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745DD2FD-7D30-4C45-A893-F2C12941A12F}"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T317"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T1000" i="1"/>
  <c r="BT1001" i="1"/>
</calcChain>
</file>

<file path=xl/sharedStrings.xml><?xml version="1.0" encoding="utf-8"?>
<sst xmlns="http://schemas.openxmlformats.org/spreadsheetml/2006/main" count="59833" uniqueCount="19498">
  <si>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</si>
  <si>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</si>
  <si>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</si>
  <si>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</si>
  <si>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</si>
  <si>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</si>
  <si>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</si>
  <si>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</si>
  <si>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</si>
  <si>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</si>
  <si>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</si>
  <si>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</si>
  <si>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</si>
  <si>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</si>
  <si>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</si>
  <si>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</si>
  <si>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</si>
  <si>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</si>
  <si>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</si>
  <si>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</si>
  <si>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</si>
  <si>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</si>
  <si>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</si>
  <si>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</si>
  <si>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</si>
  <si>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</si>
  <si>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</si>
  <si>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</si>
  <si>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</si>
  <si>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</si>
  <si>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</si>
  <si>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</si>
  <si>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</si>
  <si>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</si>
  <si>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</si>
  <si>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</si>
  <si>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</si>
  <si>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</si>
  <si>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</si>
  <si>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</si>
  <si>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</si>
  <si>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</si>
  <si>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</si>
  <si>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</si>
  <si>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</si>
  <si>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</si>
  <si>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</si>
  <si>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</si>
  <si>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</si>
  <si>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</si>
  <si>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</si>
  <si>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</si>
  <si>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</si>
  <si>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</si>
  <si>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</si>
  <si>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</si>
  <si>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</si>
  <si>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</si>
  <si>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</si>
  <si>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</si>
  <si>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</si>
  <si>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</si>
  <si>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</si>
  <si>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</si>
  <si>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</si>
  <si>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</si>
  <si>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</si>
  <si>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</si>
  <si>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</si>
  <si>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</si>
  <si>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</si>
  <si>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</si>
  <si>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</si>
  <si>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Fettweis, X; Hofer, S; Krebs-Kanzow, U; Amory, C; Aoki, T; Berends, CJ; Born, A; Box, JE; Delhasse, A; Fujita, K; Gierz, P; Goelzer, H; Hanna, E; Hashimoto, A; Huybrechts, P; Kapsch, ML; King, MD; Kittel, C; Lang, C; Langen, PL; Lenaerts, JTM; Liston, GE; Lohmann, G; Mernild, SH; Mikolajewicz, U; Modali, K; Mottram, RH; Niwano, M; Noël, B; Ryan, JC; Smith, A; Streffing, J; Tedesco, M; van de Berg, WJ; van den Broeke, M; van de Wal, RSW; van Kampenhout, L; Wilton, D; Wouters, B; Ziemen, F; Zolles, T</t>
  </si>
  <si>
    <t/>
  </si>
  <si>
    <t>Fettweis, Xavier; Hofer, Stefan; Krebs-Kanzow, Uta; Amory, Charles; Aoki, Teruo; Berends, Constantijn J.; Born, Andreas; Box, Jason E.; Delhasse, Alison; Fujita, Koji; Gierz, Paul; Goelzer, Heiko; Hanna, Edward; Hashimoto, Akihiro; Huybrechts, Philippe; Kapsch, Marie-Luise; King, Michalea D.; Kittel, Christoph; Lang, Charlotte; Langen, Peter L.; Lenaerts, Jan T. M.; Liston, Glen E.; Lohmann, Gerrit; Mernild, Sebastian H.; Mikolajewicz, Uwe; Modali, Kameswarrao; Mottram, Ruth H.; Niwano, Masashi; Noel, Brice; Ryan, Jonathan C.; Smith, Amy; Streffing, Jan; Tedesco, Marco; van de Berg, Willem Jan; van den Broeke, Michiel; van de Wal, Roderik S. W.; van Kampenhout, Leo; Wilton, David; Wouters, Bert; Ziemen, Florian; Zolles, Tobias</t>
  </si>
  <si>
    <t>GrSMBMIP: intercomparison of the modelled 1980-2012 surface mass balance over the Greenland Ice Sheet</t>
  </si>
  <si>
    <t>CRYOSPHERE</t>
  </si>
  <si>
    <t>English</t>
  </si>
  <si>
    <t>Article</t>
  </si>
  <si>
    <t>BRIEF COMMUNICATION; HIGH-RESOLUTION; ATMOSPHERIC MODEL; CLIMATE MODEL; SEA-ICE; SNOW; MELT; VARIABILITY; PRECIPITATION; SIMULATIONS</t>
  </si>
  <si>
    <t>Observations and models agree that the Greenland Ice Sheet (GrIS) surface mass balance (SMB) has decreased since the end of the 1990s due to an increase in meltwater runoff and that this trend will accelerate in the future. However, large uncertainties remain, partly due to different approaches for modelling the GrIS SMB, which have to weigh physical complexity or low computing time, different spatial and temporal resolutions, different forcing fields, and different ice sheet topographies and extents, which collectively make an inter-comparison difficult. Our GrIS SMB model intercomparison project (GrSMBMIP) aims to refine these uncertainties by intercomparing 13 models of four types which were forced with the same ERA-Interim reanalysis forcing fields, except for two global models. We interpolate all modelled SMB fields onto a common ice sheet mask at 1 km horizontal resolution for the period 1980-2012 and score the outputs against (1) SMB estimates from a combination of gravimetric remote sensing data from GRACE and measured ice discharge; (2) ice cores, snow pits and in situ SMB observations; and (3) remotely sensed bare ice extent from MODerate-resolution Imaging Spectroradiometer (MODIS). Spatially, the largest spread among models can be found around the margins of the ice sheet, highlighting model deficiencies in an accurate representation of the GrIS ablation zone extent and processes related to surface melt and runoff. Overall, polar regional climate models (RCMs) perform the best compared to observations, in particular for simulating precipitation patterns. However, other simpler and faster models have biases of the same order as RCMs compared with observations and therefore remain useful tools for long-term simulations or coupling with ice sheet models. Finally, it is interesting to note that the ensemble mean of the 13 models produces the best estimate of the present-day SMB relative to observations, suggesting that biases are not systematic among models and that this ensemble estimate can be used as a reference for current climate when carrying out future model developments. However, a higher density of in situ SMB observations is required, especially in the south-east accumulation zone, where the model spread can reach 2 m w.e. yr(-1) due to large discrepancies in modelled snowfall accumulation.</t>
  </si>
  <si>
    <t>[Fettweis, Xavier; Hofer, Stefan; Amory, Charles; Delhasse, Alison; Kittel, Christoph; Lang, Charlotte] Univ Liege, Spheres Res Unit, Geog, Liege, Belgium; [Hofer, Stefan] Univ Oslo, Dept Geosci, Sect Meteorol &amp; Oceanog, Oslo, Norway; [Krebs-Kanzow, Uta; Gierz, Paul; Lohmann, Gerrit; Streffing, Jan] Alfred Wegener Inst, Helmholtz Ctr Polar &amp; Marine Res, Bremerhaven, Germany; [Aoki, Teruo] Natl Inst Polar Res, Tachikawa, Tokyo, Japan; [Aoki, Teruo; Hashimoto, Akihiro; Niwano, Masashi] Japan Meteorol Agcy, Meteorol Res Inst, Tsukuba, Ibaraki, Japan; [Berends, Constantijn J.; Goelzer, Heiko; Noel, Brice; van de Berg, Willem Jan; van den Broeke, Michiel; van de Wal, Roderik S. W.; van Kampenhout, Leo; Wouters, Bert] Univ Utrecht, Inst Marine &amp; Atmospher Res Utrecht, Utrecht, Netherlands; [Born, Andreas; Zolles, Tobias] Univ Bergen, Dept Earth Sci, Bergen, Norway; [Born, Andreas; Zolles, Tobias] Bjerknes Ctr Climate Res, Bergen, Norway; [Box, Jason E.] Geol Survey Denmark &amp; Greenland, Copenhagen, Denmark; [Fujita, Koji] Nagoya Univ, Grad Sch Environm Studies, Nagoya, Aichi, Japan; [Goelzer, Heiko] Univ Libre Bruxelles, Lab Glaciol, Brussels, Belgium; [Goelzer, Heiko] Bjerknes Ctr Climate Res, NORCE Norwegian Res Ctr, Bergen, Norway; [Hanna, Edward] Sch Geog, Lincoln, England; [Hanna, Edward] Lincoln Ctr Water &amp; Planetary Hlth, Lincoln, England; [Huybrechts, Philippe] Vrije Univ Brussel, Earth Syst Sci &amp; Dept Geog, Brussels, Belgium; [Kapsch, Marie-Luise; Mikolajewicz, Uwe; Ziemen, Florian] Max Planck Inst Meteorol, Hamburg, Germany; [King, Michalea D.] Ohio State Univ, Byrd Polar &amp; Climate Res Ctr, Columbus, OH 43210 USA; [King, Michalea D.] Ohio State Univ, Sch Earth Sci, Columbus, OH 43210 USA; [Langen, Peter L.] Aarhus Univ, Dept Environm Sci, iClimate, Roskilde, Denmark; [Langen, Peter L.; Mottram, Ruth H.] Danish Meteorol Inst, Copenhagen, Denmark; [Lenaerts, Jan T. M.] Univ Colorado, Dept Atmospher &amp; Ocean Sci, Boulder, CO 80309 USA; [Liston, Glen E.] Colorado State Univ, Cooperat Inst Res Atmosphere, Ft Collins, CO 80528 USA; [Mernild, Sebastian H.] Nansen Environm &amp; Remote Sensing Ctr, Bergen, Norway; [Mernild, Sebastian H.] Western Norway Univ Appl Sci, Dept Environm Sci, Sogndal, Norway; [Mernild, Sebastian H.] Univ Bergen, Geophys Inst, Bergen, Norway; [Mernild, Sebastian H.] Univ Magallanes, Antarctic &amp; Sub Antarctic Program, Punta Arenas, Chile; [Mernild, Sebastian H.] Southern Danish Univ, Vice Chancellors Off, Odense, Denmark; [Modali, Kameswarrao] Univ Hamburg, Reg Rechenzentrum, Hamburg, Germany; [Ryan, Jonathan C.] Brown Univ, Inst Brown Environm &amp; Soc, Providence, RI 02912 USA; [Smith, Amy] Univ Sheffield, Dept Geog, Sheffield S3 7ND, S Yorkshire, England; [Tedesco, Marco] Columbia Univ, Lamont Doherty Earth Observ, New York, NY USA; [van de Wal, Roderik S. W.] Univ Utrecht, Dept Phys Geog, Utrecht, Netherlands; [Wilton, David] Univ Sheffield, Dept Comp Sci, Sheffield S1 4DP, S Yorkshire, England; [Wouters, Bert] Delft Univ Technol, Dept Geosci &amp; Remote Sensing, Delft, Netherlands</t>
  </si>
  <si>
    <t>University of Liege; University of Oslo; Helmholtz Association; Alfred Wegener Institute, Helmholtz Centre for Polar &amp; Marine Research; Research Organization of Information &amp; Systems (ROIS); National Institute of Polar Research (NIPR) - Japan; Japan Meteorological Agency; Meteorological Research Institute - Japan; Utrecht University; University of Bergen; Bjerknes Centre for Climate Research; Geological Survey Of Denmark &amp; Greenland; Nagoya University; Universite Libre de Bruxelles; Norwegian Research Centre (NORCE); Bjerknes Centre for Climate Research; Vrije Universiteit Brussel; Max Planck Society; University System of Ohio; Ohio State University; University System of Ohio; Ohio State University; Aarhus University; Danish Meteorological Institute DMI; University of Colorado System; University of Colorado Boulder; Colorado State University; Nansen Environmental &amp; Remote Sensing Center (NERSC); Western Norway University of Applied Sciences; University of Bergen; Universidad de Magallanes; University of Southern Denmark; University of Hamburg; Brown University; University of Sheffield; Columbia University; Utrecht University; University of Sheffield; Delft University of Technology</t>
  </si>
  <si>
    <t>Fettweis, X (corresponding author), Univ Liege, Spheres Res Unit, Geog, Liege, Belgium.</t>
  </si>
  <si>
    <t>xavier.fettweis@uliege.be</t>
  </si>
  <si>
    <t>van de Berg, Willem Jan/H-4385-2011; Langen, Peter L/AAR-1120-2021; Lenaerts, Jan/D-9423-2012; van de wal, roderik/D-1705-2011; Niwano, Masashi/N-6723-2016; Hanna, Edward/W-5927-2019; Goelzer, Heiko/M-2367-2016; Box, Jason/H-5770-2013; Fujita, Koji/E-6104-2010; Born, Andreas/B-1554-2013; Van den Broeke, Michiel R./F-7867-2011; Wouters, Bert/A-5301-2017; Mernild, Sebastian H./M-5516-2013</t>
  </si>
  <si>
    <t>van de Berg, Willem Jan/0000-0002-8232-2040; Langen, Peter L/0000-0003-2185-012X; Lenaerts, Jan/0000-0003-4309-4011; van de wal, roderik/0000-0003-2543-3892; Hanna, Edward/0000-0002-8683-182X; Goelzer, Heiko/0000-0002-5878-9599; Box, Jason/0000-0003-0052-8705; Fujita, Koji/0000-0003-3753-4981; Van den Broeke, Michiel R./0000-0003-4662-7565; Wouters, Bert/0000-0002-1086-2435; Amory, Charles/0000-0002-5906-4303; Mernild, Sebastian H./0000-0003-0797-3975; Delhasse, Alison/0000-0003-0961-1601</t>
  </si>
  <si>
    <t>F.R.S.FNRS; FondsWetenschappelijk Onderzoek-Vlaanderen (FWO) under the EOS [O0100718F]; European Union's Horizon 2020 research and innovation programme under the PROTECT project [869304]</t>
  </si>
  <si>
    <t>F.R.S.FNRS(Fonds de la Recherche Scientifique - FNRS); FondsWetenschappelijk Onderzoek-Vlaanderen (FWO) under the EOS; European Union's Horizon 2020 research and innovation programme under the PROTECT project</t>
  </si>
  <si>
    <t>This research has been supported by F.R.S.FNRS, the FondsWetenschappelijk Onderzoek-Vlaanderen (FWO) under the EOS project no. O0100718F and the European Union's Horizon 2020 research and innovation programme under the PROTECT project no. 869304. This is PROTECT contribution number 3.</t>
  </si>
  <si>
    <t>COPERNICUS GESELLSCHAFT MBH</t>
  </si>
  <si>
    <t>GOTTINGEN</t>
  </si>
  <si>
    <t>BAHNHOFSALLEE 1E, GOTTINGEN, 37081, GERMANY</t>
  </si>
  <si>
    <t>1994-0416</t>
  </si>
  <si>
    <t>1994-0424</t>
  </si>
  <si>
    <t>Cryosphere</t>
  </si>
  <si>
    <t>NOV 11</t>
  </si>
  <si>
    <t>10.5194/tc-14-3935-2020</t>
  </si>
  <si>
    <t>Geography, Physical; Geosciences, Multidisciplinary</t>
  </si>
  <si>
    <t>Science Citation Index Expanded (SCI-EXPANDED)</t>
  </si>
  <si>
    <t>Physical Geography; Geology</t>
  </si>
  <si>
    <t>OV5MW</t>
  </si>
  <si>
    <t>Green Submitted, Green Published, Green Accepted, gold</t>
  </si>
  <si>
    <t>2024-04-21</t>
  </si>
  <si>
    <t>WOS:000592254800003</t>
  </si>
  <si>
    <t>Ling, SD; Cowan, ZL; Boada, J; Flukes, EB; Pratchett, MS</t>
  </si>
  <si>
    <t>Ling, S. D.; Cowan, Z-L; Boada, J.; Flukes, E. B.; Pratchett, M. S.</t>
  </si>
  <si>
    <t>Homing behaviour by destructive crown-of-thorns starfish is triggered by local availability of coral prey</t>
  </si>
  <si>
    <t>PROCEEDINGS OF THE ROYAL SOCIETY B-BIOLOGICAL SCIENCES</t>
  </si>
  <si>
    <t>coral reefs; predation; behaviour; movement; time-lapse photography; random-walk-model</t>
  </si>
  <si>
    <t>ACANTHASTER-PLANCI L.; GREAT-BARRIER-REEF; MOVEMENT; ECHINODERMATA; MANAGEMENT; ASTEROIDEA; PREDATORS; OUTBREAKS; PATTERNS; SUCCESS</t>
  </si>
  <si>
    <t>Corallivorous crown-of-thorns starfishes (Acanthaster spp.) can decimate coral assemblages on Indo-Pacific coral reefs during population outbreaks. While initial drivers of population irruptions leading to outbreaks remain largely unknown, subsequent dispersal of outbreaks appears coincident with depletion of coral prey. Here, we used in situ time-lapse photography to characterize movement of the Pacific crown-of-thorns starfish (Acanthaster cf. solaris) in the northern and southern Great Barrier Reef in 2015, during the fourth recorded population outbreak of the starfish, but prior to widespread coral bleaching. Daily tracking of 58 individuals over a total of 1117 h revealed all starfish to move a minimum of 0.52 m, with around half of all tracked starfish showing negligible daily displacement (less than 1 m day(-1)), ranging up to a maximum of 19 m day(-1). Movement was primarily nocturnal and daily displacement varied spatially with variation in local availability of Acropora spp., which is the preferred coral prey. Two distinct behavioural modes emerged: (i) homing movement, whereby tracked paths (as tested against a random-walk-model) involved short displacement distances following distinct 'outward' movement to Acropora prey (typically displaying 'feeding scars') and 'homebound' movement to nearby shelter; versus (ii) roaming movement, whereby individuals showed directional movement beyond initial tracking positions without return. Logistic modelling revealed more than half of all tracked starfish demonstrated homing when local abundance (percentage cover) of preferred Acropora coral prey was greater than 33%. Our results reveal facultative homing by Acanthaster with the prey-dependent behavioural switch to roaming forays providing a mechanism explaining localized aggregations and diffusion of these population irruptions as prey is locally depleted.</t>
  </si>
  <si>
    <t>[Ling, S. D.; Flukes, E. B.] Univ Tasmania, Inst Marine &amp; Antarctic Studies, 20 Castray Esplanade, Battery Point, Tas 7004, Australia; [Cowan, Z-L; Pratchett, M. S.] James Cook Univ, ARC Ctr Excellence Coral Reef Studies, Townsville, Qld 4811, Australia; [Cowan, Z-L] Univ Cambridge, Dept Zool, Downing St, Cambridge, England; [Boada, J.] Univ Barcelona, Dept Biol Evolut Ecol &amp; Ciencies Ambientals, Barcelona, Spain; [Boada, J.] Ctr Estud Avancats Blanes, Blanes, Spain</t>
  </si>
  <si>
    <t>University of Tasmania; James Cook University; University of Cambridge; University of Barcelona; Consejo Superior de Investigaciones Cientificas (CSIC); CSIC - Centre d'Estudis Avancats de Blanes (CEAB)</t>
  </si>
  <si>
    <t>Ling, SD (corresponding author), Univ Tasmania, Inst Marine &amp; Antarctic Studies, 20 Castray Esplanade, Battery Point, Tas 7004, Australia.</t>
  </si>
  <si>
    <t>scott.ling@utas.edu.au</t>
  </si>
  <si>
    <t>Pratchett, Morgan/AAW-5179-2020; Boada, Jordi/U-3934-2017; Ling, Scott/J-7161-2014</t>
  </si>
  <si>
    <t>Pratchett, Morgan/0000-0002-1862-8459; Boada, Jordi/0000-0002-3815-625X; Ling, Scott/0000-0002-5544-8174; Flukes, Emma/0000-0003-2749-834X; Cowan, Zara-Louise/0000-0002-3862-7111</t>
  </si>
  <si>
    <t>NESP Tropical Water Quality Hub; ARC Centre of Excellence for Coral Reef Studies; Australian Research Council; Spanish Ministry of Economy and Competitiveness [EEBB-I-2015-09823]</t>
  </si>
  <si>
    <t>NESP Tropical Water Quality Hub; ARC Centre of Excellence for Coral Reef Studies(Australian Research Council); Australian Research Council(Australian Research Council); Spanish Ministry of Economy and Competitiveness(Spanish Government)</t>
  </si>
  <si>
    <t>This study was supported by the NESP Tropical Water Quality Hub (M.P.), the ARC Centre of Excellence for Coral Reef Studies (Z.-L.C. and M.P.) and the Australian Research Council (S.D.L.). J.B. participation in this study was supported by the Spanish Ministry of Economy and Competitiveness grant no. EEBB-I-2015-09823.</t>
  </si>
  <si>
    <t>ROYAL SOC</t>
  </si>
  <si>
    <t>LONDON</t>
  </si>
  <si>
    <t>6-9 CARLTON HOUSE TERRACE, LONDON SW1Y 5AG, ENGLAND</t>
  </si>
  <si>
    <t>0962-8452</t>
  </si>
  <si>
    <t>1471-2954</t>
  </si>
  <si>
    <t>P ROY SOC B-BIOL SCI</t>
  </si>
  <si>
    <t>Proc. R. Soc. B-Biol. Sci.</t>
  </si>
  <si>
    <t>10.1098/rspb.2020.1341</t>
  </si>
  <si>
    <t>Biology; Ecology; Evolutionary Biology</t>
  </si>
  <si>
    <t>Life Sciences &amp; Biomedicine - Other Topics; Environmental Sciences &amp; Ecology; Evolutionary Biology</t>
  </si>
  <si>
    <t>OR7TY</t>
  </si>
  <si>
    <t>Green Accepted, Green Published, Green Submitted, Bronze</t>
  </si>
  <si>
    <t>WOS:000589671900001</t>
  </si>
  <si>
    <t>Burton-Johnson, A; Dziadek, R; Martin, C</t>
  </si>
  <si>
    <t>Burton-Johnson, Alex; Dziadek, Ricarda; Martin, Carlos</t>
  </si>
  <si>
    <t>Review article: Geothermal heat flow in Antarctica: current and future directions</t>
  </si>
  <si>
    <t>Review</t>
  </si>
  <si>
    <t>CURIE-POINT DEPTH; SUBGLACIAL HYDROLOGICAL NETWORKS; AMUNDSEN SEA EMBAYMENT; ICE-SHEET; MAGNETIC-ANOMALIES; CONTINENTAL-CRUST; AEROMAGNETIC DATA; THERMAL STRUCTURE; WEST ANTARCTICA; TEMPERATURE-MEASUREMENTS</t>
  </si>
  <si>
    <t>Antarctic geothermal heat flow (GHF) affects the temperature of the ice sheet, determining its ability to slide and internally deform, as well as the behaviour of the continental crust. However, GHF remains poorly constrained, with few and sparse local, borehole-derived estimates and large discrepancies in the magnitude and distribution of existing continent-scale estimates from geophysical models. We review the methods to estimate GHF, discussing the strengths and limitations of each approach; compile bore-hole and probe-derived estimates from measured temperature profiles; and recommend the following future directions. (1) Obtain more borehole-derived estimates from the subglacial bedrock and englacial temperature profiles. (2) Estimate GHF from inverse glaciological modelling, constrained by evidence for basal melting and englacial temperatures (e.g. using microwave emissivity). (3) Revise geophysically derived GHF estimates using a combination of Curie depth, seismic, and thermal isostasy models. (4) Integrate in these geophysical approaches a more accurate model of the structure and distribution of heat production elements within the crust and considering heterogeneities in the underlying mantle. (5) Continue international interdisciplinary communication and data access.</t>
  </si>
  <si>
    <t>[Burton-Johnson, Alex; Martin, Carlos] British Antarctic Survey, Madingley Rd, Cambridge CB3 0ET, England; [Dziadek, Ricarda] Helmholtz Ctr Polar &amp; Marine Res, Alfred Wegener Inst, Bremerhaven, Germany</t>
  </si>
  <si>
    <t>UK Research &amp; Innovation (UKRI); Natural Environment Research Council (NERC); NERC British Antarctic Survey; Helmholtz Association; Alfred Wegener Institute, Helmholtz Centre for Polar &amp; Marine Research</t>
  </si>
  <si>
    <t>Burton-Johnson, A (corresponding author), British Antarctic Survey, Madingley Rd, Cambridge CB3 0ET, England.</t>
  </si>
  <si>
    <t>alerto@bas.ac.uk</t>
  </si>
  <si>
    <t>Burton-Johnson, Alex/0000-0003-2208-0075; Dziadek, Ricarda/0000-0001-8689-9181</t>
  </si>
  <si>
    <t>Natural Environment Research Council, British Antarctic Survey Polar Science for Planet Earth programme; Deutsche Forschungsgemeinschaft (DFG) [GO 724/14-1, 1158]; AWI Research Program PACES-II Workpackage 3.2; NERC [bas0100034, bas0100029] Funding Source: UKRI</t>
  </si>
  <si>
    <t>Natural Environment Research Council, British Antarctic Survey Polar Science for Planet Earth programme; Deutsche Forschungsgemeinschaft (DFG)(German Research Foundation (DFG)); AWI Research Program PACES-II Workpackage 3.2; NERC(UK Research &amp; Innovation (UKRI)Natural Environment Research Council (NERC))</t>
  </si>
  <si>
    <t>Alex Burton-Johnson and Carlos Martin were funded by the Natural Environment Research Council as part of the British Antarctic Survey Polar Science for Planet Earth programme. Ricarda Dziadek was supported by the Deutsche Forschungsgemeinschaft (DFG) in the framework of the Priority Program 1158 Antarctic research with comparative investigations in Arctic ice areas by grant GO 724/14-1. Additional funds were contributed by the AWI Research Program PACES-II Workpackage 3.2.</t>
  </si>
  <si>
    <t>NOV 10</t>
  </si>
  <si>
    <t>10.5194/tc-14-3843-2020</t>
  </si>
  <si>
    <t>OS8LK</t>
  </si>
  <si>
    <t>gold, Green Accepted, Green Submitted</t>
  </si>
  <si>
    <t>WOS:000590409800001</t>
  </si>
  <si>
    <t>Van De Vijver, B; Tusset, E; Williams, DM; Ector, L</t>
  </si>
  <si>
    <t>Van De Vijver, Bart; Tusset, Eduardo; Williams, David M.; Ector, Luc</t>
  </si>
  <si>
    <t>Analysis of the type specimens of Fragilaria alpestris (Bacillariophyta) with description of two new 'araphid' species from the sub-Antarctic and Arctic Region</t>
  </si>
  <si>
    <t>PHYTOTAXA</t>
  </si>
  <si>
    <t>Fragilaria; morphology; biogeography; new species</t>
  </si>
  <si>
    <t>DIATOM COMMUNITIES; MORPHOLOGY; IDENTITY; ISLAND</t>
  </si>
  <si>
    <t>During a survey of the sub-Antarctic diatom flora, several populations previously identified as Fragilaria alpestris were reanalysed and compared with type material of the latter species. The morphological ultrastructure of the type of F. alpestris, the sub-Antarctic populations and an additional population of F. cf. alpestris from Spitsbergen has been analysed using light and scanning electron microscopy observations. The analysis revealed that Fragilaria alpestris clearly belongs to the genus Fragilaria whereas the sub-Antarctic populations show all morphological features of the genus Staurosira. Comparison with similar taxa worldwide showed that these populations belonged to an unknown taxon that could not be identified using the currently available literature. A new species, Staurosira vandenbusscheana Van de Vijver sp. nov. is therefore described. The F. cf. alpestris population from Spitsbergen forms long, ribbon-like colonies, unlike the type of F. alpestris that never produces band-like colonies. Following the observation of additional morphological differences such as the presence of two rimoportulae and the shape of the linking spines, the Spitsbergen taxon is described as a new species: Fragilaria confusa sp. nov. The three taxa described herein share a number of morphological features. Their specific features are detailed below along with notes on their ecology. A literature survey and an analysis of the records for F. alpestris are given.</t>
  </si>
  <si>
    <t>[Van De Vijver, Bart] Meise Bot Garden Meise, Res Dept, Nieuwelaan 38, B-1860 Meise, Belgium; [Van De Vijver, Bart] Univ Antwerp, Dept Biol ECOBE, Univ Pl 1, B-2610 Antwerp, Belgium; [Tusset, Eduardo] Univ Fed Parana, Dept Bot, Ctr Politecn, Setor Ciencias Biol, Curitiba, Parana, Brazil; [Williams, David M.] Nat Hist Museum, Dept Life Sci, Cromwell Rd, London SW7 5BD, England; [Ector, Luc] Luxembourg Inst Sci &amp; Technol LIST, Environm Res &amp; Innovat ERIN Dept, 41 Rue Brill, L-4422 Belvaux, Luxembourg</t>
  </si>
  <si>
    <t>University of Antwerp; Universidade Federal do Parana; Natural History Museum London; Luxembourg Institute of Science &amp; Technology</t>
  </si>
  <si>
    <t>Van De Vijver, B (corresponding author), Meise Bot Garden Meise, Res Dept, Nieuwelaan 38, B-1860 Meise, Belgium.;Van De Vijver, B (corresponding author), Univ Antwerp, Dept Biol ECOBE, Univ Pl 1, B-2610 Antwerp, Belgium.</t>
  </si>
  <si>
    <t>bart.vandevijver@plantentuinmeise.be; eduardotussetufpr@gmail.com; davidmywilliams@gmail.com; luc.ector@list.lu</t>
  </si>
  <si>
    <t>Tusset, Eduardo/HNB-8837-2023</t>
  </si>
  <si>
    <t>Van de Vijver, Bart/0000-0002-6244-1886</t>
  </si>
  <si>
    <t>Institut Polaire Francais-Paul-Emile Victor (IPEV)</t>
  </si>
  <si>
    <t>he late Dr N.J.M. Gremmen is thanked for providing the samples of Heard Island. Sampling on Iles Crozet was made possible with the logistic and financial support of the Institut Polaire Francais-Paul-Emile Victor (IPEV) in the frame of the Terrestrial Ecology program 136 (Dr Yves Frenot &amp; Dr Marc Lebouvier). Sampling in Spitsbergen was done by Prof. Dr L. Beyens, Mr P. Ledeganck &amp; Dr G. Potters. This study was further supported by the BELSPO MICROBIAN project to visit the Natural History Museum in London, UK. Dr Alex Ball and the staff of the IAC laboratory at the Natural History Museum are thanked for their help with the scanning electron microscopy observations.</t>
  </si>
  <si>
    <t>MAGNOLIA PRESS</t>
  </si>
  <si>
    <t>AUCKLAND</t>
  </si>
  <si>
    <t>PO BOX 41383, AUCKLAND, ST LUKES 1030, NEW ZEALAND</t>
  </si>
  <si>
    <t>1179-3155</t>
  </si>
  <si>
    <t>1179-3163</t>
  </si>
  <si>
    <t>Phytotaxa</t>
  </si>
  <si>
    <t>10.11646/phytotaxa.471.1.1</t>
  </si>
  <si>
    <t>Plant Sciences</t>
  </si>
  <si>
    <t>OT4TN</t>
  </si>
  <si>
    <t>WOS:000590840700001</t>
  </si>
  <si>
    <t>Song, S; You, JC; Cao, Q; Chen, B; Cao, XM</t>
  </si>
  <si>
    <t>Song, Sha; You, Jiachun; Cao, Qing; Chen, Bin; Cao, Xiaomeng</t>
  </si>
  <si>
    <t>Depth Migration Based on Two-Way Wave Equation to Image OBS Multiples: A Case Study in the South Shetland Margin (Antarctica)</t>
  </si>
  <si>
    <t>GEOFLUIDS</t>
  </si>
  <si>
    <t>ONE-WAY; GAS HYDRATE; PROPAGATION; SCATTERING; VELOCITY</t>
  </si>
  <si>
    <t>With the development of marine seismic exploration, the ocean bottom seismometer (OBS) as a new seismic acquisition technology has been widely concerned. Although multiple waves are frequently viewed as noises, they may carry a wealth of subsurface information and produce a broader illumination than primary waves. To perform multiple wave imaging, we propose to utilize a two-way wave equation depth wavefield extrapolation method which is rarely used in this field. A simple dipping model is imaged by using primary and multiple waves, which proves the superiority of multiple waves in imaging over the primary waves and lays a foundation for practical application. Moreover, the comparison of multiple imaging results by reverse time migration and those by our proposed method demonstrates that our proposed method requires less storage space. In this study, we apply this migration method to actual OBS data collected in the South Shetland margin (Antarctica), where gas hydrates have been well documented. Firstly, the wavefield separation method is adopted to process the OBS data, so as to produce reliable primary and multiples waves; secondly, the ray-tracing method is used to derive the velocity field; and finally, the depth wavefield extrapolation method based on the two-way wave equation is applied to image primary and multiple waves. Migration results show that multiple waves provide a broader illumination and a clearer sediment structure than primary waves, especially for the highly shallow reflections.</t>
  </si>
  <si>
    <t>[Song, Sha] Changan Univ, Sch Geol Engn &amp; Geomat, Xian 710054, Peoples R China; [Song, Sha; Cao, Qing; Chen, Bin] Xian Shiyou Univ, Shaanxi Key Lab Petr Accumulat Geol, Xian 710065, Peoples R China; [You, Jiachun] Chengdu Univ Technol, Sch Geophys, Chengdu 610059, Peoples R China; [Cao, Xiaomeng] Pilot Natl Lab Marine Sci &amp; Technol Qingdao, Qingdao 266237, Peoples R China</t>
  </si>
  <si>
    <t>Chang'an University; Xi'an Shiyou University; Chengdu University of Technology; Laoshan Laboratory</t>
  </si>
  <si>
    <t>You, JC (corresponding author), Chengdu Univ Technol, Sch Geophys, Chengdu 610059, Peoples R China.</t>
  </si>
  <si>
    <t>songsha2014@126.com; youjiachun2009@163.com; caoqing@xsyu.edu.cn; chenbinoil@xsyu.edu.cn; xmcao@qnlm.ac</t>
  </si>
  <si>
    <t>Cao, Xiaomeng/HIK-0466-2022</t>
  </si>
  <si>
    <t>You, Jiachun/0000-0002-3125-026X</t>
  </si>
  <si>
    <t>National Natural Science Foundation of China [41874123]; Open Fund of Shaanxi Key Laboratory of Petroleum Accumulation Geology [PAG-202001]; China Postdoctoral Science Foundation [2018M643554]; Natural Science Basic Research Program of Shaanxi [2020JQ-357]; Open Fund of Key Laboratory of Coal Resources Exploration and Comprehensive Utilization [KF2019-1, ZP2018-2]; Italian National Antarctic Program (PNRA)</t>
  </si>
  <si>
    <t>National Natural Science Foundation of China(National Natural Science Foundation of China (NSFC)); Open Fund of Shaanxi Key Laboratory of Petroleum Accumulation Geology; China Postdoctoral Science Foundation(China Postdoctoral Science Foundation); Natural Science Basic Research Program of Shaanxi; Open Fund of Key Laboratory of Coal Resources Exploration and Comprehensive Utilization; Italian National Antarctic Program (PNRA)</t>
  </si>
  <si>
    <t>This work was supported by the National Natural Science Foundation of China (Grant number 41874123), the Open Fund of Shaanxi Key Laboratory of Petroleum Accumulation Geology (Grant number PAG-202001), the China Postdoctoral Science Foundation (Grant number 2018M643554), the Natural Science Basic Research Program of Shaanxi (Program No. 2020JQ-357), and the Open Fund of Key Laboratory of Coal Resources Exploration and Comprehensive Utilization (Grant numbers KF2019-1 and ZP2018-2). The geophysical data were acquired in the frame of the project Gas Hydrates: impact on climate environmental of the sub-Antarctic regions (BSR) supported by the Italian National Antarctic Program (PNRA). The authors would like to thank Umberta Tinivella and Michela Giustiniani for useful comments.</t>
  </si>
  <si>
    <t>WILEY-HINDAWI</t>
  </si>
  <si>
    <t>ADAM HOUSE, 3RD FL, 1 FITZROY SQ, LONDON, WIT 5HE, ENGLAND</t>
  </si>
  <si>
    <t>1468-8115</t>
  </si>
  <si>
    <t>1468-8123</t>
  </si>
  <si>
    <t>Geofluids</t>
  </si>
  <si>
    <t>10.1155/2020/8843048</t>
  </si>
  <si>
    <t>Geochemistry &amp; Geophysics; Geology</t>
  </si>
  <si>
    <t>PA4SV</t>
  </si>
  <si>
    <t>gold</t>
  </si>
  <si>
    <t>WOS:000595628500003</t>
  </si>
  <si>
    <t>Benaud, N; Edwards, RJ; Amos, TG; D'Agostino, PM; Gutiérrez-Chávez, C; Montgomery, K; Nicetic, I; Ferrari, BC</t>
  </si>
  <si>
    <t>Benaud, Nicole; Edwards, Richard J.; Amos, Timothy G.; D'Agostino, Paul M.; Gutierrez-Chavez, Carolina; Montgomery, Kate; Nicetic, Iskra; Ferrari, Belinda C.</t>
  </si>
  <si>
    <t>Antarctic desert soil bacteria exhibit high novel natural product potential, evaluated through long-read genome sequencing and comparative genomics</t>
  </si>
  <si>
    <t>ENVIRONMENTAL MICROBIOLOGY</t>
  </si>
  <si>
    <t>NONRIBOSOMAL PEPTIDE; GENE CLUSTERS; POLYKETIDE SYNTHASES; STREPTOMYCES; BIOSYNTHESIS; DISCOVERY; IDENTIFICATION; SESQUITERPENE; ENVIRONMENTS; ACTINOMYCETE</t>
  </si>
  <si>
    <t>Actinobacteria and Proteobacteria are important producers of bioactive natural products (NP), and these phyla dominate in the arid soils of Antarctica, where metabolic adaptations influence survival under harsh conditions. Biosynthetic gene clusters (BGCs) which encode NPs, are typically long and repetitious high G + C regions difficult to sequence with short-read technologies. We sequenced 17 Antarctic soil bacteria from multi-genome libraries, employing the long-read PacBio platform, to optimize capture of BGCs and to facilitate a comprehensive analysis of their NP capacity. We report 13 complete bacterial genomes of high quality and contiguity, representing 10 different cold-adapted genera including novel species. Antarctic BGCs exhibited low similarity to known compound BGCs (av. 31%), with an abundance of terpene, non-ribosomal peptide and polyketide-encoding clusters. Comparative genome analysis was used to map BGC variation between closely related strains from geographically distant environments. Results showed the greatest biosynthetic differences to be in a psychrotolerant Streptomyces strain, as well as a rare Actinobacteria genus, Kribbella, while two other Streptomyces spp. were surprisingly similar to known genomes. Streptomyces and Kribbella BGCs were predicted to encode antitumour, antifungal, antibacterial and biosurfactant-like compounds, and the synthesis of NPs with antibacterial, antifungal and surfactant properties was confirmed through bioactivity assays.</t>
  </si>
  <si>
    <t>[Benaud, Nicole; Edwards, Richard J.; Amos, Timothy G.; Gutierrez-Chavez, Carolina; Montgomery, Kate; Nicetic, Iskra; Ferrari, Belinda C.] UNSW Sydney, Sch Biotechnol &amp; Biomol Sci, Sydney, NSW 2052, Australia; [D'Agostino, Paul M.] Tech Univ Dresden, Chair Tech Biochem, Bergstr 66, D-01602 Dresden, Germany</t>
  </si>
  <si>
    <t>University of New South Wales Sydney; Technische Universitat Dresden</t>
  </si>
  <si>
    <t>Ferrari, BC (corresponding author), UNSW Sydney, Sch Biotechnol &amp; Biomol Sci, Sydney, NSW 2052, Australia.</t>
  </si>
  <si>
    <t>b.ferrari@unsw.edu.au</t>
  </si>
  <si>
    <t>Amos, Timothy G/ABC-8890-2021; D'Agostino, Paul Michael/B-9890-2015; Edwards, Richard/JAX-3732-2023; Ferrari, Belinda/AAI-3022-2020; Edwards, Richard/C-8755-2011</t>
  </si>
  <si>
    <t>Amos, Timothy G/0000-0002-5829-6655; D'Agostino, Paul Michael/0000-0002-8323-5416; Ferrari, Belinda/0000-0001-5043-3726; Edwards, Richard/0000-0002-3645-5539; Benaud, Nicole/0000-0002-1649-7096</t>
  </si>
  <si>
    <t>Hermon-Slade Foundation [HSF15/13]</t>
  </si>
  <si>
    <t>Hermon-Slade Foundation</t>
  </si>
  <si>
    <t>This work was supported by a Hermon-Slade Foundation Grant HSF15/13 awarded to B.C.F. The authors would like to thank the Australian Antarctic Division's expedition teams for soil sample collection. Tonia Russell and Carolina Correa Ospina for PacBio sequencing and advice; Timothy Williams, Lucien Alperstein, Xabier Vazquez Campos, John Kalaitzis and Josie van Dorst for experimental assistance and advice.</t>
  </si>
  <si>
    <t>WILEY</t>
  </si>
  <si>
    <t>HOBOKEN</t>
  </si>
  <si>
    <t>111 RIVER ST, HOBOKEN 07030-5774, NJ USA</t>
  </si>
  <si>
    <t>1462-2912</t>
  </si>
  <si>
    <t>1462-2920</t>
  </si>
  <si>
    <t>ENVIRON MICROBIOL</t>
  </si>
  <si>
    <t>Environ. Microbiol.</t>
  </si>
  <si>
    <t>JUL</t>
  </si>
  <si>
    <t>10.1111/1462-2920.15300</t>
  </si>
  <si>
    <t>NOV 2020</t>
  </si>
  <si>
    <t>Microbiology</t>
  </si>
  <si>
    <t>TR8GX</t>
  </si>
  <si>
    <t>WOS:000587703900001</t>
  </si>
  <si>
    <t>Maureaud, AA; Frelat, R; Pécuchet, L; Shackell, N; Mérigot, B; Pinsky, ML; Amador, K; Anderson, SC; Arkhipkin, A; Auber, A; Barri, I; Bell, RJ; Belmaker, J; Beukhof, E; Camara, ML; Guevara-Carrasco, R; Choi, J; Christensen, HT; Conner, J; Cubillos, LA; Diadhiou, HD; Edelist, D; Emblemsvåg, M; Ernst, B; Fairweather, TP; Fock, HO; Friedland, KD; Garcia, CB; Gascuel, D; Gislason, H; Goren, M; Guitton, JM; Jouffre, D; Hattab, T; Hidalgo, M; Kathena, JN; Knuckey, I; Kidé, SO; Koen-Alonso, M; Koopman, M; Kulik, V; León, JP; Levitt-Barmats, Y; Lindegren, M; Llope, M; Massiot-Granier, F; Masski, H; McLean, M; Meissa, B; Mérillet, L; Mihneva, V; Nunoo, FKE; O'Driscoll, R; O'Leary, CA; Petrova, E; Ramos, JE; Refes, W; Román-Marcote, E; Siegstad, H; Sobrino, I; Sólmundsson, J; Sonin, O; Spies, I; Steingrund, P; Stephenson, F; Stern, N; Tserkova, F; Tserpes, G; Tzanatos, E; van Rijn, I; van Zwieten, PAM; Vasilakopoulos, P; Yepsen, DV; Ziegler, P; Thorson, JT</t>
  </si>
  <si>
    <t>A. Maureaud, Aurore; Frelat, Romain; Pecuchet, Laurene; Shackell, Nancy; Merigot, Bastien; Pinsky, Malin L.; Amador, Kofi; Anderson, Sean C.; Arkhipkin, Alexander; Auber, Arnaud; Barri, Ica; Bell, Richard J.; Belmaker, Jonathan; Beukhof, Esther; Camara, Mohamed L.; Guevara-Carrasco, Renato; Choi, Junghwa; Christensen, Helle T.; Conner, Jason; Cubillos, Luis A.; Diadhiou, Hamet D.; Edelist, Dori; Emblemsvag, Margrete; Ernst, Billy; Fairweather, Tracey P.; Fock, Heino O.; Friedland, Kevin D.; Garcia, Camilo B.; Gascuel, Didier; Gislason, Henrik; Goren, Menachem; Guitton, Jerome; Jouffre, Didier; Hattab, Tarek; Hidalgo, Manuel; Kathena, Johannes N.; Knuckey, Ian; Kide, Saikou O.; Koen-Alonso, Mariano; Koopman, Matt; Kulik, Vladimir; Leon, Jacqueline P.; Levitt-Barmats, Ya'arit; Lindegren, Martin; Llope, Marcos; Massiot-Granier, Felix; Masski, Hicham; McLean, Matthew; Meissa, Beyah; Merillet, Laurene; Mihneva, Vesselina; Nunoo, Francis K. E.; O'Driscoll, Richard; O'Leary, Cecilia A.; Petrova, Elitsa; Ramos, Jorge E.; Refes, Wahid; Roman-Marcote, Esther; Siegstad, Helle; Sobrino, Ignacio; Solmundsson, Jon; Sonin, Oren; Spies, Ingrid; Steingrund, Petur; Stephenson, Fabrice; Stern, Nir; Tserkova, Feriha; Tserpes, Georges; Tzanatos, Evangelos; van Rijn, Itai; van Zwieten, Paul A. M.; Vasilakopoulos, Paraskevas; Yepsen, Daniela V.; Ziegler, Philippe; T. Thorson, James</t>
  </si>
  <si>
    <t>Are we ready to track climate-driven shifts in marine species across international boundaries? - A global survey of scientific bottom trawl data</t>
  </si>
  <si>
    <t>GLOBAL CHANGE BIOLOGY</t>
  </si>
  <si>
    <t>bottom trawl survey; climate change; demersal fish; fisheries policy; global data synthesis; open science; species distribution; transboundary conservation</t>
  </si>
  <si>
    <t>LONG-TERM; RANGE SHIFTS; FISHERIES; MANAGEMENT; ECOSYSTEM; BIODIVERSITY; RESPONSES; IMPACTS; STOCK; CATCH</t>
  </si>
  <si>
    <t>Marine biota are redistributing at a rapid pace in response to climate change and shifting seascapes. While changes in fish populations and community structure threaten the sustainability of fisheries, our capacity to adapt by tracking and projecting marine species remains a challenge due to data discontinuities in biological observations, lack of data availability, and mismatch between data and real species distributions. To assess the extent of this challenge, we review the global status and accessibility of ongoing scientific bottom trawl surveys. In total, we gathered metadata for 283,925 samples from 95 surveys conducted regularly from 2001 to 2019. We identified that 59% of the metadata collected are not publicly available, highlighting that the availability of data is the most important challenge to assess species redistributions under global climate change. Given that the primary purpose of surveys is to provide independent data to inform stock assessment of commercially important populations, we further highlight that single surveys do not cover the full range of the main commercial demersal fish species. An average of 18 surveys is needed to cover at least 50% of species ranges, demonstrating the importance of combining multiple surveys to evaluate species range shifts. We assess the potential for combining surveys to track transboundary species redistributions and show that differences in sampling schemes and inconsistency in sampling can be overcome with spatio-temporal modeling to follow species density redistributions. In light of our global assessment, we establish a framework for improving the management and conservation of transboundary and migrating marine demersal species. We provide directions to improve data availability and encourage countries to share survey data, to assess species vulnerabilities, and to support management adaptation in a time of climate-driven ocean changes.</t>
  </si>
  <si>
    <t>[A. Maureaud, Aurore; Lindegren, Martin] Tech Univ Denmark, Natl Inst Aquat Resources DTU Aqua, Ctr Ocean Life, Lyngby, Denmark; [A. Maureaud, Aurore; Gislason, Henrik] Tech Univ Denmark, Natl Inst Aquat Resources DTU Aqua, Sect Ecosyst Based Marine Management, Lyngby, Denmark; [Frelat, Romain; van Zwieten, Paul A. M.] Wageningen Univ &amp; Res, Aquaculture &amp; Fisheries Grp, Wageningen, Netherlands; [Pecuchet, Laurene] UiT Arctic Univ Norway, Norwegian Coll Fishery Sci, Tromso, Norway; [Shackell, Nancy] Fisheries &amp; Oceans Canada, Bedford Inst Oceanog, Dartmouth, NS, Canada; [Merigot, Bastien; Jouffre, Didier; Hattab, Tarek] Univ Montpellier, CNRS, MARBEC, Sete, France; [Pinsky, Malin L.] State Univ New Jersey, Dept Ecol Evolut &amp; Nat Resources, New Brunswick, NJ USA; [Amador, Kofi] Fisheries Commiss, Fisheries Sci Survey Div, Tema, Ghana; [Anderson, Sean C.] Fisheries &amp; Oceans Canada, Pacific Biol Stn, Nanaimo, BC, Canada; [Arkhipkin, Alexander; Ramos, Jorge E.] Directorate Nat Resources, Falkland Islands Fisheries Dept, Stanley, Falkland Island; [Auber, Arnaud] French Res Inst Exploitat Sea IFREMER, Halieut Manche Mer Nord Unit, Boulogne Sur Mer, France; [Barri, Ica] Ctr Invest Pesqueira Aplicada CIPA, Bissau, Guinea Bissau; [Bell, Richard J.] Nature Conservancy, Narragansett, RI USA; [Belmaker, Jonathan; Goren, Menachem; Levitt-Barmats, Ya'arit] Sch Zool, Tel Aviv, Israel; [Belmaker, Jonathan; Goren, Menachem; Levitt-Barmats, Ya'arit] Steinhardt Museum Nat Hist, Tel Aviv, Israel; [Beukhof, Esther] Wageningen Marine Res, Ijmuiden, Netherlands; [Camara, Mohamed L.] Natl Ctr Fisheries Sci Boussoura, Halieute, Conakry, Guinea; [Guevara-Carrasco, Renato; Leon, Jacqueline P.] Inst Mar Peru IMARPE, General Directorate Demersal &amp; Coastal Resource, Callao, Peru; [Choi, Junghwa] Natl Inst Fisheries Sci, Fisheries Resources Res Ctr, Tongyeong Si, South Korea; [Christensen, Helle T.] Greenland Inst Nat Resources, Nuuk, Greenland; [Conner, Jason; Siegstad, Helle] NOAA, Resource Assessment &amp; Conservat Engn, Alaska Fisheries Sci Ctr, Natl Marine Fisheries Serv, Seattle, WA USA; [Cubillos, Luis A.] Univ Concepcion, Dept Oceanog, COPAS Sur Austral, Concepcion, Chile; [Diadhiou, Hamet D.] CRODT, ISRA, Dakar, Senegal; [Edelist, Dori] Univ Haifa, Recanati Inst Maritime Studies, Charney Sch Marine Sci, Haifa, Israel; [Edelist, Dori] Univ Haifa, Charney Sch Marine Sci, Dept Maritime Civilizat, Haifa, Israel; [Emblemsvag, Margrete] Moreforsking Alesund AS, Alesund, Norway; [Ernst, Billy] Univ Concepcion, Fac Ciencias Nat &amp; Oceanograf, Dept Oceanog, Millennium Nucleus Ecol &amp; Sustainable Management, Concepcion, Chile; [Fairweather, Tracey P.] Dept Forestry Fisheries &amp; Environm, Cape Town, South Africa; [Fock, Heino O.] Thuenen Inst Sea Fisheries, Bremerhaven, Germany; [Friedland, Kevin D.] Natl Marine Fisheries Serv, Narragansett Lab, Narragansett, RI USA; [Garcia, Camilo B.] Univ Nacl Colombia, Dept Biol, Bogota, Colombia; [Gascuel, Didier; Guitton, Jerome] Inst Agro, ESE, Ecol &amp; Ecosyst Hlth, Rennes, France; [Hidalgo, Manuel] Inst Espanol Oceanog, Ecosyst Oceanog Grp GRECO, Ctr Oceanog Balears, Palma De Mallorca, Spain; [Kathena, Johannes N.] Minist Fisheries &amp; Marine Resources MFMR, Natl Marine Informat &amp; Res Ctr, Swakopmund, Namibia; [Knuckey, Ian] Fishwell Consulting Pty Ltd, Queenscliff, Vic, Australia; [Kide, Saikou O.; Koopman, Matt; Meissa, Beyah] Inst Mauritanien Rech Oceanog &amp; Peches, Nouadhibou, Mauritania; [Koen-Alonso, Mariano] Fisheries &amp; Oceans Canada, Northwest Atlantic Fisheries Ctr, St John, NF, Canada; [Kulik, Vladimir] Res Inst Fisheries &amp; Oceanog VNIRO, Pacific Branch TINRO Russian Fed, Vladivostok, Russia; [Llope, Marcos; Sobrino, Ignacio] Inst Espanol Oceanog, Cadiz, Andalucia, Spain; [Massiot-Granier, Felix] Museum Natl Hist Nat, Dept Adaptat Vivant, UMR BOREA, Paris, France; [Masski, Hicham] Inst Natl Rech Halieut, Casablanca, Morocco; [McLean, Matthew] Dalhousie Univ, Dept Biol, Halifax, NS, Canada; [Merillet, Laurene] Natl Museum Nat Hist, Paris, France; [Merillet, Laurene] Ifremer, Lorient, France; [Mihneva, Vesselina] Inst Fish Resources, Varna, Bulgaria; [Nunoo, Francis K. E.; Petrova, Elitsa; Tserkova, Feriha] Univ Ghana, Dept Marine &amp; Fisheries Sci, Accra, Ghana; [O'Driscoll, Richard; Stephenson, Fabrice] Natl Inst Water &amp; Atmospher Res Ltd, Wellington, New Zealand; [O'Leary, Cecilia A.] NOAA, Resource Assessment &amp; Conservat Engn Div, Alaska Fisheries Sci Ctr, Seattle, WA USA; [Ramos, Jorge E.] Univ Tasmania, Inst Marine &amp; Antarctic Studies, Hobart, Tas, Australia; [Refes, Wahid] Natl Higher Sch Marine Sci &amp; Coastal Management, Dely Ibrahim, Algeria; [Roman-Marcote, Esther] Ctr Oceanog Vigo, Inst Espanol Oceanog, Vigo, Spain; [Solmundsson, Jon] Marine &amp; Freshwater Res Inst, Reykjavik, Iceland; [Sonin, Oren] Minist Agr, Israeli Fisheries Div, Fisheries &amp; Aquaculture Dept, Kiryat Haim, Israel; [Spies, Ingrid] NOAA, Resource Ecol &amp; Fisheries Management, Alaska Fisheries Sci Ctr, Natl Marine Fisheries Serv, Seattle, WA USA; [Steingrund, Petur] Faroe Marine Res Inst, Torshavn, Faroe Islands; [Stern, Nir] Israel Oceanog &amp; Limnol Res, Haifa, Israel; [Tserpes, Georges] Hellen Ctr Marine Res HCMR, Iraklion, Greece; [Tzanatos, Evangelos] Univ Patras, Dept Biol, Patras, Greece; [van Rijn, Itai] Tel Aviv Univ, Sch Zool, Tel Aviv, Israel; [Vasilakopoulos, Paraskevas] European Commiss, Joint Res Ctr JRC, Ispra, Italy; [Yepsen, Daniela V.] Univ Concepcion, Fac Ciencias Nat &amp; Oceanog, Programa Doctorado Ciencias con Menc Manejo Recur, Concepcion, Chile; [Ziegler, Philippe] Australian Antarctic Div, Dept Agr Water &amp; Environm, Antarctic Conservat &amp; Management Program, Kingston, Tas, Australia; [T. Thorson, James] NOAA, Habitat &amp; Ecol Processes Res Program, Alaska Fisheries Sci Ctr, Natl Marine Fisheries Serv, Seattle, WA USA</t>
  </si>
  <si>
    <t>Technical University of Denmark; Technical University of Denmark; Wageningen University &amp; Research; UiT The Arctic University of Tromso; Fisheries &amp; Oceans Canada; Bedford Institute of Oceanography; Centre National de la Recherche Scientifique (CNRS); Ifremer; Universite de Montpellier; Rutgers University System; Rutgers University New Brunswick; Fisheries &amp; Oceans Canada; Ifremer; Nature Conservancy; Wageningen University &amp; Research; Instituto del Mar del Peru; National Institute of Fisheries Science; Greenland Institute of Natural Resources; National Oceanic Atmospheric Admin (NOAA) - USA; Universidad de Concepcion; University of Haifa; University of Haifa; Universidad de Concepcion; Johann Heinrich von Thunen Institute; National Oceanic Atmospheric Admin (NOAA) - USA; Universidad Nacional de Colombia; Institut Agro; Spanish Institute of Oceanography; Fishwell Consulting; Fisheries &amp; Oceans Canada; Spanish Institute of Oceanography; Centre National de la Recherche Scientifique (CNRS); Institut de Recherche pour le Developpement (IRD); Museum National d'Histoire Naturelle (MNHN); Sorbonne Universite; Dalhousie University; Museum National d'Histoire Naturelle (MNHN); Ifremer; Agricultural Academy - Bulgaria; University of Ghana; National Institute of Water &amp; Atmospheric Research (NIWA) - New Zealand; National Oceanic Atmospheric Admin (NOAA) - USA; University of Tasmania; Spanish Institute of Oceanography; Marine &amp; Freshwater Research Institute (MFRI); National Oceanic Atmospheric Admin (NOAA) - USA; Faroe Marine Research Institute (FAMRI); Israel Oceanographic &amp; Limnological Research Institute; Hellenic Centre for Marine Research; University of Patras; Tel Aviv University; European Commission Joint Research Centre; EC JRC ISPRA Site; Universidad de Concepcion; Australian Antarctic Division; National Oceanic Atmospheric Admin (NOAA) - USA</t>
  </si>
  <si>
    <t>Maureaud, AA (corresponding author), Yale Univ, Dept Ecol &amp; Evolutionary Biol, New Haven, CT 06520 USA.</t>
  </si>
  <si>
    <t>aurore.aqua@gmail.com</t>
  </si>
  <si>
    <t>Masski, Hicham/KFS-5056-2024; Beukhof, Esther D./GRR-8969-2022; Levitt-Barmats, Ya'arit/AFL-7219-2022; Robledo, Jorge Alejandro Kurczyn/I-8473-2017; Mérigot, Bastien/H-7754-2018; Llope, Marcos/T-6885-2017; Mihneva, Vesselina/AAK-7421-2020; Maureaud, Aurore A./AAN-9197-2020; Yepsen, Daniela/KEI-3870-2024; edelist, dor/HGD-5614-2022; Belmaker, Jonathan/I-1004-2019; Garcia, Camilo Bernardo/AAE-8921-2022; Kathena, Johannes Nduvudi/JXO-5203-2024; Anderson, Sean C./AFN-3267-2022; Auber, Arnaud/AAI-8794-2021; Thorson, James T/O-7937-2014; Kulik, Vladimir/N-8667-2013; Gislason, Henrik/C-1357-2008; Goren, Menachem/GQZ-3762-2022; Gascuel, Didier/C-1439-2011; Cubillos, Luis A/S-5455-2019; Auber, Arnaud/IQW-7770-2023; auber, arnaud/AAY-5532-2021; Romain, Frelat/G-9930-2018; Tzanatos, Evangelos/A-7693-2013; Stern, Nir/J-2221-2016; Hidalgo, Manuel/B-8023-2015; Pinsky, Malin/K-2884-2015; van Zwieten, Paul A.M./C-4759-2008</t>
  </si>
  <si>
    <t>Masski, Hicham/0000-0002-2863-4107; Beukhof, Esther D./0000-0002-0350-9596; Mérigot, Bastien/0000-0001-5264-4324; Llope, Marcos/0000-0003-1408-6848; Mihneva, Vesselina/0000-0003-4581-7738; Maureaud, Aurore A./0000-0003-4778-9443; Belmaker, Jonathan/0000-0002-5618-7359; Anderson, Sean C./0000-0001-9563-1937; Thorson, James T/0000-0001-7415-1010; Kulik, Vladimir/0000-0003-0920-5312; Gislason, Henrik/0000-0003-0242-3333; Gascuel, Didier/0000-0001-5447-6977; Cubillos, Luis A/0000-0003-0641-3722; Romain, Frelat/0000-0002-8631-4398; Tzanatos, Evangelos/0000-0001-9972-9632; Conner, Jason/0000-0001-9913-7805; Auber, Arnaud/0000-0002-8415-1652; Levitt-Barmats, Ya'arit/0000-0001-7596-7257; Stern, Nir/0000-0002-4834-3091; Vasilakopoulos, Paraskevas/0000-0001-6263-9844; Solmundsson, Jon/0000-0002-2685-777X; Hidalgo, Manuel/0000-0002-3494-9658; Lindegren, Martin/0000-0002-9185-951X; Pinsky, Malin/0000-0002-8523-8952; Roman-Marcote, E. (Esther)/0000-0003-2524-4346; Shackell, Nancy/0000-0001-5128-948X; Emblemsvag, Margrete/0000-0002-8940-4575; Ramos, Jorge E/0000-0002-8690-761X; Pecuchet, Laurene/0000-0002-8930-8786; , Jung Hwa/0000-0003-3392-0818; van Zwieten, Paul A.M./0000-0003-2627-2373</t>
  </si>
  <si>
    <t>FRB-CESAB; CIEE; Villum Foundation [13159]; Villum Foundation; National Institute of Fisheries Science [R2020021]; EU through the European Maritime and Fisheries Fund (EMFF)</t>
  </si>
  <si>
    <t>FRB-CESAB; CIEE; Villum Foundation(Villum Fonden); Villum Foundation(Villum Fonden); National Institute of Fisheries Science; EU through the European Maritime and Fisheries Fund (EMFF)</t>
  </si>
  <si>
    <t>We thank all persons who have collected the survey data around the world. We are also grateful to everyone who answered our emails and provided contacts, expertise and guidance on survey existence and status. We thank Ines Dias Bernardes for providing the survey metadata from the Nansen Program. We are grateful to Christopher Free, who compiled the RAM Legacy Stock Boundary Database and made it publicly available, and to Daniel van Denderen for preprocessing the global fisheries landing data. We thank M. Karp and D. Ovando for providing editorial comments that improved the quality of the manuscript. We thank Myron Peck and one anonymous reviewer for their insightful comments on the manuscript. We thank the International Council for the Exploration of the Sea (ICES) for providing the space to organize side-meetings during the Annual Science Conference (Goteborg, Sweden, 2019), at the origin of this project. This work has been performed within the FISHGLOB project Fish biodiversity under global change - a worldwide assessment from scientific trawl surveys, supported by the FRB-CESAB and CIEE. Aurore A. Maureaud was funded by the Villum Foundation (research grant No. 13159 awarded to Martin Lindegren) and conducted the work within the Centre for Ocean Life, a Center of Excellence supported by the Villum Foundation. We further thank the National Institute of Fisheries Science (R2020021) for providing the Korean trawl survey data. The scientific results and conclusions, as well as any views or opinions expressed herein, are those of the author(s) and do not necessarily reflect those of NOAA or the US Department of Commerce, nor any other government agency. The EU NAFO data used in this paper have been funded by the EU through the European Maritime and Fisheries Fund (EMFF) within the National Program of collection, management and use of data in the fisheries sector and support for scientific advice regarding the Common Fisheries Policy.</t>
  </si>
  <si>
    <t>1354-1013</t>
  </si>
  <si>
    <t>1365-2486</t>
  </si>
  <si>
    <t>GLOBAL CHANGE BIOL</t>
  </si>
  <si>
    <t>Glob. Change Biol.</t>
  </si>
  <si>
    <t>JAN</t>
  </si>
  <si>
    <t>10.1111/gcb.15404</t>
  </si>
  <si>
    <t>Biodiversity Conservation; Ecology; Environmental Sciences</t>
  </si>
  <si>
    <t>Science Citation Index Expanded (SCI-EXPANDED); Social Science Citation Index (SSCI)</t>
  </si>
  <si>
    <t>Biodiversity &amp; Conservation; Environmental Sciences &amp; Ecology</t>
  </si>
  <si>
    <t>PE9FE</t>
  </si>
  <si>
    <t>Green Submitted, Green Published, hybrid</t>
  </si>
  <si>
    <t>WOS:000587698100001</t>
  </si>
  <si>
    <t>Olalla, A; Moreno, L; Valcárcel, Y</t>
  </si>
  <si>
    <t>Olalla, A.; Moreno, L.; Valcarcel, Y.</t>
  </si>
  <si>
    <t>Prioritisation of emerging contaminants in the northern Antarctic Peninsula based on their environmental risk</t>
  </si>
  <si>
    <t>SCIENCE OF THE TOTAL ENVIRONMENT</t>
  </si>
  <si>
    <t>Anthropogenic contaminants; Priority substances; Antarctic Peninsula; Environmental risk; Environmental monitoring; Watch list</t>
  </si>
  <si>
    <t>PERSONAL CARE PRODUCTS; JAPANESE MEDAKA; IN-VIVO; PHARMACEUTICALS; IBUPROFEN; WATER; DICLOFENAC; TOXICITY; MIXTURE; BIOACCUMULATION</t>
  </si>
  <si>
    <t>Although Antarctica is protected and human activity is restricted exclusively to scientific research, with numerous restrictions on tourism, the steadily increasing human presence appears to be having a marked impact on terrestrial and aquatic, especially marine, ecosystems. Evidence of this excessive presence can be seen from the recent detection of contaminants linked to human activity in locations that should be considered to be untouched. The aim of this study is to determine the environmental risk present on the Antarctic Peninsula due to the 54 emerging contaminants linked to human presence previously detected and reported in previous studies published in leading scientific journals. The substances analysed belong to the group of drugs/medicines of abuse, endocrine disruptors, pyrethroids, perfluorinated compounds and sunscreens. The environmental risk was determined for all substances detected by calculating the hazard quotient (HQ) following the guidelines established by the European Union. An HQ value higher than 10 was taken to represent a high environmental risk. In the group of drugs/medicines of abuse, a high risk was detected for two analgesics, namely acetaminophen and didolenac, and the anti-inflammatory ibuprofen. Although the risk detected was considered to be medium, the presence of the antibiotic clarithromydn, one of the substances included in the Ell's current watch list for emerging contaminants, should be noted. In the group of endocrine disruptors, the high risk posed by the metabolite nonylphenol diethoxylate, which is higher than that for its parent compound nonylphenol, should be noted. In the group of pyrethroids/sunscreensiperfluorinated compounds, two pyrethroids, namely bifenthrin and cyhalothrin, were found to pose a high environmental risk. We propose the need to establish a monitoring system for emerging contaminants linked to human presence on the Antarctic Peninsula similar to the watch list found in the EU Water Framework Directive. Subsequently, an environmental monitoring plan based on individual ecotoxicological studies with the substances concerned, and analysing their possible synergic effects, should be implemented. (C) 2020 Elsevier B.V. All rights reserved.</t>
  </si>
  <si>
    <t>[Olalla, A.; Valcarcel, Y.] Univ Rey Juan Carlos, RiSAMA, Hlth &amp; Environm Risk Assessment Grp, Avda Tulipan Sn, Madrid, Spain; [Moreno, L.] Inst Geol &amp; Minero Espana IGME, C Rios Rosas 23, Madrid 28003, Spain; [Valcarcel, Y.] Rey Juan Carlos Univ, Fac Hlth Sci, Dept Med Specialties &amp; Publ Hlth, Avda Atenas S-N, Madrid 28922, Spain</t>
  </si>
  <si>
    <t>Universidad Rey Juan Carlos; Universidad Rey Juan Carlos</t>
  </si>
  <si>
    <t>Valcárcel, Y (corresponding author), Rey Juan Carlos Univ, Fac Hlth Sci, Dept Med Specialties &amp; Publ Hlth, Avda Atenas S-N, Madrid 28922, Spain.</t>
  </si>
  <si>
    <t>adrian.olalla@urjc.es; l.moreno@igme.es; yolanda.valcarcel@urjc.es</t>
  </si>
  <si>
    <t>Moreno Merino, Luis/0000-0002-9984-6035</t>
  </si>
  <si>
    <t>Spanish National R+D Plan [RTI2018-098099-B-100]</t>
  </si>
  <si>
    <t>Spanish National R+D Plan</t>
  </si>
  <si>
    <t>This research was supported by project RTI2018-098099-B-100 of the Spanish National R+D Plan.</t>
  </si>
  <si>
    <t>ELSEVIER</t>
  </si>
  <si>
    <t>AMSTERDAM</t>
  </si>
  <si>
    <t>RADARWEG 29, 1043 NX AMSTERDAM, NETHERLANDS</t>
  </si>
  <si>
    <t>0048-9697</t>
  </si>
  <si>
    <t>1879-1026</t>
  </si>
  <si>
    <t>SCI TOTAL ENVIRON</t>
  </si>
  <si>
    <t>Sci. Total Environ.</t>
  </si>
  <si>
    <t>10.1016/j.scitotenv.2020.140417</t>
  </si>
  <si>
    <t>Environmental Sciences</t>
  </si>
  <si>
    <t>Environmental Sciences &amp; Ecology</t>
  </si>
  <si>
    <t>NO3WB</t>
  </si>
  <si>
    <t>WOS:000569415400019</t>
  </si>
  <si>
    <t>Renedo, M; Bustamante, P; Cherel, Y; Pedrero, Z; Tessier, E; Amouroux, D</t>
  </si>
  <si>
    <t>Renedo, Marina; Bustamante, Paco; Cherel, Yves; Pedrero, Zoyne; Tessier, Emmanuel; Amouroux, David</t>
  </si>
  <si>
    <t>A seabird-eye on mercury stable isotopes and cycling in the Southern Ocean</t>
  </si>
  <si>
    <t>Methylmercury; Biogeochemistiy; Latitude; Penguins; Slams</t>
  </si>
  <si>
    <t>MASS-INDEPENDENT FRACTIONATION; TROPHIC TRANSFER; METHYLMERCURY PRODUCTION; INORGANIC MERCURY; MIXED-LAYER; METHYLATION; REDUCTION; PENGUINS; SEA; HG</t>
  </si>
  <si>
    <t>Since mercury (Hg) biogeochemistry in the Southern Ocean is minimally documented, we investigated Hg stable isotopes in the blood of seabirds breeding at different latitudes in the Antarctic, Subantarctic and Subtropical zones. Hg isotopic composition was determined in adult penguins (5 species) and skua chicks (2 species) from Adelie Land (66 degrees 39 ' S, Antarctic) to Crozet (46 degrees 25 ' S, Subantarctic) and Amsterdam Island (37 degrees 47 ' S, Subtropical). Massdependent (MDF, 6202Hg) and mass-independent (MIF, Delta 199Hg) Hg isotopic values separated populations geographically. Antarctic seabirds exhibited lower 6202Hg values (-0.02 to 0.79 %degrees, min-max) than Subantarctic (0.88 to 2.12 %degrees) and Subtropical (1.44 to 2.37 %degrees) seabirds. In contrast, Delta 199Hg values varied slightly from Antarctic (1.31 to 1.73 %degrees) to Subtropical (1.69 to 2.04 %degrees) waters. The extent of methylmercury (MeHg) photodemethylation extrapolated from Delta 199Hg values was not significantly different between locations, implying that most of the bioaccumulated MeHg was of mesopelagic origin. The larger increase of MDF between the three latitudes co-varies with MeHg concentrations. This supports an increasing effect of specific biogenic Hg pathways from Antarctic to Subtropical waters, such as Hg biological transformations and accumulations. This biogenic effect among different productive southern oceanic regions can also be related to different mixed layer depth dynamics and biological productivity turnover that specifically influence the vertical transport between the mesopelagic and the photic zones. This study shows the first Hg isotopic data of the Southern Ocean at large scale and reveals how regional Southern Ocean dynamics and productivity control marine MeHg biogeochemistry and the exposure of seabirds to Hg contamination. (C) 2020 Elsevier B.V. All rights reserved.</t>
  </si>
  <si>
    <t>[Renedo, Marina; Bustamante, Paco] La Rochelle Univ, Littoral Environm &amp; Soc LIENSs, UMR 7266, CNRS, 2 Rue Olympe de Gouges, F-17000 La Rochelle, France; [Renedo, Marina; Pedrero, Zoyne; Tessier, Emmanuel; Amouroux, David] Univ Pau &amp; Pays Adour, E2S UPPA, CNRS, IPREM,Inst Sci Analyt &amp; Physicochim Environm &amp; Ma, Pau, France; [Bustamante, Paco] Inst Univ France IUF, 1 Rue Descartes, F-75005 Paris, France; [Cherel, Yves] La Rochelle Univ, Ctr Etud Biol Chize CEBC, UMR 7372, CNRS, F-79360 Villiers En Bois, France</t>
  </si>
  <si>
    <t>Centre National de la Recherche Scientifique (CNRS); CNRS - Institute of Ecology &amp; Environment (INEE); Centre National de la Recherche Scientifique (CNRS); Universite de Pau et des Pays de l'Adour; Institut Universitaire de France; Centre National de la Recherche Scientifique (CNRS); CNRS - Institute of Ecology &amp; Environment (INEE)</t>
  </si>
  <si>
    <t>Renedo, M (corresponding author), La Rochelle Univ, Littoral Environm &amp; Soc LIENSs, UMR 7266, CNRS, 2 Rue Olympe de Gouges, F-17000 La Rochelle, France.;Amouroux, D (corresponding author), Univ Pau &amp; Pays Adour, E2S UPPA, CNRS, IPREM,Inst Sci Analyt &amp; Physicochim Environm &amp; Ma, Pau, France.</t>
  </si>
  <si>
    <t>marina.renedo@ird.fr; david.amouroux@univ-pau.fr</t>
  </si>
  <si>
    <t>Bustamante, Paco/G-5833-2011; Renedo, Marina/ABG-4572-2020</t>
  </si>
  <si>
    <t>Bustamante, Paco/0000-0003-3877-9390; Cherel, Yves/0000-0001-9469-9489; Amouroux, David/0000-0002-0056-8590; Renedo Elizalde, Marina/0000-0002-9224-8745</t>
  </si>
  <si>
    <t>Institut Polaire Francais Paul Emile Victor (IPEV) [109]; French Southern and Antarctic Lands; Agence Nationale de la Recherche (ANR, program POLARTOP); Region Nouvelle Aquitaine; French national program EC2CO Biohefect/Ecodyn//Dril/MicrobiEen (TIMOTAAF project); IUF (Institut Universitaire de France)</t>
  </si>
  <si>
    <t>Institut Polaire Francais Paul Emile Victor (IPEV); French Southern and Antarctic Lands; Agence Nationale de la Recherche (ANR, program POLARTOP)(Agence Nationale de la Recherche (ANR)); Region Nouvelle Aquitaine(Region Nouvelle-Aquitaine); French national program EC2CO Biohefect/Ecodyn//Dril/MicrobiEen (TIMOTAAF project); IUF (Institut Universitaire de France)</t>
  </si>
  <si>
    <t>The authors wish to thank the fieldworkers who helped collecting blood samples. This study received financial and logistical support from the Institut Polaire Francais Paul Emile Victor (IPEV, program no. 109, H. Weimerskirch), the French Southern and Antarctic Lands, and by the Agence Nationale de la Recherche (ANR, program POLARTOP, O. Chastel). Special thanks are due to A. Carravieri whomanaged the sample database. Wealsowish to thank Prof. S. Blain (UPMC) for fruitful discussions and help with the oceanographic interpretation of our data. The present work was supported financially by the Region PoitouCharentes (now the Region Nouvelle Aquitaine) through a Ph.D. scholarship to MR, and by the French national program EC2CO Biohefect/Ecodyn//Dril/MicrobiEen (TIMOTAAF project, P.I. D. Amouroux). The IUF (Institut Universitaire de France) is also acknowledged for its support to PB as a senior member.</t>
  </si>
  <si>
    <t>10.1016/j.scitotenv.2020.140499</t>
  </si>
  <si>
    <t>NO3VY</t>
  </si>
  <si>
    <t>hybrid, Green Submitted</t>
  </si>
  <si>
    <t>WOS:000569415100012</t>
  </si>
  <si>
    <t>Ste-Marie, E; Watanabe, YY; Semmens, JM; Marcoux, M; Hussey, NE</t>
  </si>
  <si>
    <t>Ste-Marie, Eric; Watanabe, Yuuki Y.; Semmens, Jayson M.; Marcoux, Marianne; Hussey, Nigel E.</t>
  </si>
  <si>
    <t>A first look at the metabolic rate of Greenland sharks (Somniosus microcephalus) in the Canadian Arctic</t>
  </si>
  <si>
    <t>SCIENTIFIC REPORTS</t>
  </si>
  <si>
    <t>COLD ADAPTATION; OXYGEN-CONSUMPTION; POLAR FISH; BODY-MASS; TEMPERATURE; LIFE; RESPIROMETRY; SPEED; WATER; FACT</t>
  </si>
  <si>
    <t>Metabolic rate is intricately linked to the ecology of organisms and can provide a framework to study the behaviour, life history, population dynamics, and trophic impact of a species. Acquiring measures of metabolic rate, however, has proven difficult for large water-breathing animals such as sharks, greatly limiting our understanding of the energetic lives of these highly threatened and ecologically important fish. Here, we provide the first estimates of resting and active routine metabolic rate for the longest lived vertebrate, the Greenland shark (Somniosus microcephalus). Estimates were acquired through field respirometry conducted on relatively large-bodied sharks (33-126 kg), including the largest individual shark studied via respirometry. We show that despite recording very low whole-animal resting metabolic rates for this species, estimates are within the confidence intervals predicted by derived interspecies allometric and temperature scaling relationships, suggesting this species may not be unique among sharks in this respect. Additionally, our results do not support the theory of metabolic cold adaptation which assumes that polar species maintain elevated metabolic rates to cope with the challenges of life at extreme cold temperatures.</t>
  </si>
  <si>
    <t>[Ste-Marie, Eric; Hussey, Nigel E.] Univ Windsor, Dept Integrat Biol, Windsor, ON N9B 3P4, Canada; [Watanabe, Yuuki Y.] Natl Inst Polar Res, Tachikawa, Tokyo 1908518, Japan; [Watanabe, Yuuki Y.] Grad Univ Adv Studies, Dept Polar Sci, SOKENDAI, Tachikawa, Tokyo 1908518, Japan; [Semmens, Jayson M.] Univ Tasmania, Fisheries &amp; Aquaculture Ctr, Inst Marine &amp; Antarctic Studies, Taroona, Tas 7053, Australia; [Marcoux, Marianne] Fisheries &amp; Oceans Canada, Arctic &amp; Aquat Res Div, 501 Univ Crescent, Winnipeg, MB R3T 2N6, Canada</t>
  </si>
  <si>
    <t>University of Windsor; Research Organization of Information &amp; Systems (ROIS); National Institute of Polar Research (NIPR) - Japan; Graduate University for Advanced Studies - Japan; University of Tasmania; Fisheries &amp; Oceans Canada</t>
  </si>
  <si>
    <t>Ste-Marie, E (corresponding author), Univ Windsor, Dept Integrat Biol, Windsor, ON N9B 3P4, Canada.</t>
  </si>
  <si>
    <t>stemari@uwindsor.ca</t>
  </si>
  <si>
    <t>Hussey, Nigel E/F-9699-2015</t>
  </si>
  <si>
    <t>Ste Marie, Eric/0000-0002-1173-4726; Semmens, Jayson/0000-0003-1742-6692</t>
  </si>
  <si>
    <t>Department of Fisheries and Oceans Canada; Government of Nunavut; Nunavut Fisheries Association; Molson Foundation; Natural Sciences and Engineering Research Council of Canada; Mitacs; Garfield Weston Foundation; Japan Society for the Promotion of Science; Arctic Challenge for Sustainability (ArCS) project; CanNor</t>
  </si>
  <si>
    <t>Department of Fisheries and Oceans Canada; Government of Nunavut; Nunavut Fisheries Association; Molson Foundation; Natural Sciences and Engineering Research Council of Canada(Natural Sciences and Engineering Research Council of Canada (NSERC)CGIAR); Mitacs; Garfield Weston Foundation; Japan Society for the Promotion of Science(Ministry of Education, Culture, Sports, Science and Technology, Japan (MEXT)Japan Society for the Promotion of Science); Arctic Challenge for Sustainability (ArCS) project; CanNor</t>
  </si>
  <si>
    <t>We thank the HTOs of Pond Inlet and Clyde River for their continued support and contributions to this research. We also thank the many people who provided logistical support in the field, notably the crew of the MV Kiviuq II and partners at the EAT research camp in Tremblay Sound. Special thanks to Golder Associates for transporting our large respirometry setup to Tremblay Sound in 2018 and to Robert Hodgson for organization of EAT. Funding for this study came from the Department of Fisheries and Oceans Canada, the Government of Nunavut, the Nunavut Fisheries Association, CanNor, the Molson Foundation, the Natural Sciences and Engineering Research Council of Canada, Mitacs, and the Garfield Weston Foundation. Additional funding was provided by the Japan Society for the Promotion of Science and the Arctic Challenge for Sustainability (ArCS) project.</t>
  </si>
  <si>
    <t>NATURE RESEARCH</t>
  </si>
  <si>
    <t>BERLIN</t>
  </si>
  <si>
    <t>HEIDELBERGER PLATZ 3, BERLIN, 14197, GERMANY</t>
  </si>
  <si>
    <t>2045-2322</t>
  </si>
  <si>
    <t>SCI REP-UK</t>
  </si>
  <si>
    <t>Sci Rep</t>
  </si>
  <si>
    <t>NOV 9</t>
  </si>
  <si>
    <t>10.1038/s41598-020-76371-0</t>
  </si>
  <si>
    <t>Multidisciplinary Sciences</t>
  </si>
  <si>
    <t>Science &amp; Technology - Other Topics</t>
  </si>
  <si>
    <t>OZ0KT</t>
  </si>
  <si>
    <t>Green Published, gold</t>
  </si>
  <si>
    <t>WOS:000594625900008</t>
  </si>
  <si>
    <t>Zheng, L; Zhou, CX; Zhang, TJ; Liang, Q; Wang, K</t>
  </si>
  <si>
    <t>Zheng, Lei; Zhou, Chunxia; Zhang, Tingjun; Liang, Qi; Wang, Kang</t>
  </si>
  <si>
    <t>Recent changes in pan-Antarctic region surface snowmelt detected by AMSR-E and AMSR2</t>
  </si>
  <si>
    <t>SEA-ICE MELT; SOUTHEAST-ALASKAN ICEFIELDS; PASSIVE-MICROWAVE; INTERANNUAL VARIABILITY; CLIMATE; DURATION; EXTENT; OCEAN; WEST; OSCILLATION</t>
  </si>
  <si>
    <t>Surface snowmelt in the pan-Antarctic region, including the Antarctic ice sheet (AIS) and sea ice, is crucial to the mass and energy balance in polar regions and can serve as an indicator of climate change. In this study, we investigate the spatial and temporal variations in surface snowmelt over the entire pan-Antarctic region from 2002 to 2017 by using passive microwave remote sensing data. The stable orbits and appropriate acquisition times of the Advanced Microwave Scanning Radiometer for the Earth Observing System (AMSR-E) and the Advanced Microwave Scanning Radiometer 2 (AMSR2) enable us to take full advantage of daily brightness temperature (T-b) variations to detect surface snowmelt. The difference between AMSR-E/2 ascending and descending 36.5 GHz Tb values in vertical polarization (DAV36) was utilized to map the pan-Antarctic region snowmelt, as this method is unaffected by snow metamorphism. We evaluated the DAV36 algorithm against ground-based measurements and further improved the method over the marginal sea ice zone by excluding the effect of open water. Snowmelt detected by AMSR-E/2 data was more extensive and persistent than that detected by the Special Sensor Microwave/Imager (SSM/I) data. Continuous melt onset (CMO) ranged from August in the marginal sea ice zone to January in the Antarctic inland, and the early transient melt events occurred several days to more than 2 months earlier. The pan-Antarctic region CMO was significantly correlated (R = 0.54, p &lt; 0.05) with the summer Southern Annular Mode (SAM). The decreased AIS melt extent was very likely linked (R = 0.82, p &lt; 0.01) with the enhanced summer SAM.</t>
  </si>
  <si>
    <t>[Zheng, Lei; Liang, Qi] Sun Yat Sen Univ, Sch Geospatial Engn &amp; Sci, Guangzhou 510275, Peoples R China; [Zheng, Lei; Zhou, Chunxia; Liang, Qi] Wuhan Univ, Chinese Antarctic Ctr Surveying &amp; Mapping, Wuhan 430079, Peoples R China; [Zheng, Lei; Liang, Qi] Southern Marine Sci &amp; Engn Guangdong Lab Zhuhai, Zhuhai 519082, Peoples R China; [Zhang, Tingjun] Lanzhou Univ, Coll Earth &amp; Environm Sci, Key Lab Western Chinas Environm Syst, Minist Educ, Lanzhou 730000, Peoples R China; [Wang, Kang] East China Normal Univ, Sch Geog Sci, Shanghai 200241, Peoples R China; [Wang, Kang] Univ Colorado, Inst Arctic &amp; Alpine Res, Boulder, CO 80309 USA</t>
  </si>
  <si>
    <t>Sun Yat Sen University; Wuhan University; Southern Marine Science &amp; Engineering Guangdong Laboratory; Southern Marine Science &amp; Engineering Guangdong Laboratory (Zhuhai); Lanzhou University; East China Normal University; University of Colorado System; University of Colorado Boulder</t>
  </si>
  <si>
    <t>Zhou, CX (corresponding author), Wuhan Univ, Chinese Antarctic Ctr Surveying &amp; Mapping, Wuhan 430079, Peoples R China.;Zhang, TJ (corresponding author), Lanzhou Univ, Coll Earth &amp; Environm Sci, Key Lab Western Chinas Environm Syst, Minist Educ, Lanzhou 730000, Peoples R China.</t>
  </si>
  <si>
    <t>zhoucx@whu.edu.cn; tjzhang@lzu.edu.cn</t>
  </si>
  <si>
    <t>Liang, Qi/AAI-4973-2020; Wang, Kang/J-7351-2019</t>
  </si>
  <si>
    <t>Wang, Kang/0000-0003-3416-572X; Liang, Qi/0000-0002-6766-9361</t>
  </si>
  <si>
    <t>National Natural Science Foundation of China (NSFC) [41776200, 41941010, 41531069]; Funds for the Distinguished Young Scientists of Hubei Province (China) [2019CFA057]</t>
  </si>
  <si>
    <t>National Natural Science Foundation of China (NSFC)(National Natural Science Foundation of China (NSFC)); Funds for the Distinguished Young Scientists of Hubei Province (China)</t>
  </si>
  <si>
    <t>This research has been supported by the National Natural Science Foundation of China (NSFC) (grant nos. 41776200, 41941010 and 41531069) and the Funds for the Distinguished Young Scientists of Hubei Province (China) (grant no. 2019CFA057).</t>
  </si>
  <si>
    <t>10.5194/tc-14-3811-2020</t>
  </si>
  <si>
    <t>OS1WQ</t>
  </si>
  <si>
    <t>gold, Green Submitted</t>
  </si>
  <si>
    <t>WOS:000589956500001</t>
  </si>
  <si>
    <t>Salavasidis, G; Munafò, A; Fenucci, D; Harris, CA; Prampart, T; Templeton, R; Smart, M; Roper, DT; Pebody, M; Abrahamsen, EP; McPhail, SD; Rogers, E; Phillips, AB</t>
  </si>
  <si>
    <t>Salavasidis, Georgios; Munafo, Andrea; Fenucci, Davide; Harris, Catherine A.; Prampart, Thomas; Templeton, Robert; Smart, Michael; Roper, Daniel T.; Pebody, Miles; Abrahamsen, E. Povl; McPhail, Stephen D.; Rogers, Eric; Phillips, Alexander B.</t>
  </si>
  <si>
    <t>Terrain-aided navigation for long-range AUVs in dynamic under-mapped environments</t>
  </si>
  <si>
    <t>JOURNAL OF FIELD ROBOTICS</t>
  </si>
  <si>
    <t>long‐ range AUVs; long‐ range terrain‐ aided navigation; nonlinear filtering</t>
  </si>
  <si>
    <t>DIGITAL ELEVATION MODELS; PARTICLE FILTERS; ACCURACY; LOCALIZATION; COST</t>
  </si>
  <si>
    <t>Deploying long-range autonomous underwater vehicles (AUVs) mid-water column in the deep ocean is one of the most challenging applications for these submersibles. Without external support and speed over the ground measurements, dead-reckoning (DR) navigation inevitably experiences an error proportional to the mission range and the speed of the water currents. In response to this problem, a computationally feasible and low-power terrain-aided navigation (TAN) system is developed. A Rao-Blackwellized Particle Filter robust to estimation divergence is designed to estimate the vehicle's position and the speed of water currents. To evaluate performance, field data from multiday AUV deployments in the Southern Ocean are used. These form a unique test case for assessing the TAN performance under extremely challenging conditions. Despite the use of a small number of low-power sensors and a Doppler velocity log to enable TAN, the algorithm limits the localisation error to within a few hundreds of metres, as opposed to a DR error of 40 km, given a 50 m resolution bathymetric map. To evaluate further the effectiveness of the system under a varying map quality, grids of 100, 200, and 400 m resolution are generated by subsampling the original 50 m resolution map. Despite the high complexity of the navigation problem, the filter exhibits robust and relatively accurate behaviour. Given the current aim of the oceanographic community to develop maps of similar resolution, the results of this study suggest that TAN can enable AUV operations of the order of months using global bathymetric models.</t>
  </si>
  <si>
    <t>[Salavasidis, Georgios; Munafo, Andrea; Fenucci, Davide; Harris, Catherine A.; Prampart, Thomas; Templeton, Robert; Smart, Michael; Roper, Daniel T.; Pebody, Miles; McPhail, Stephen D.; Phillips, Alexander B.] Natl Oceanog Ctr, Marine Autonomous &amp; Robot Syst, Southampton SO14 3ZH, Hants, England; [Abrahamsen, E. Povl] British Antarctic Survey, Polar Oceans, Cambridge, England; [Rogers, Eric] Univ Southampton, Elect &amp; Comp Sci, Southampton, Hants, England</t>
  </si>
  <si>
    <t>NERC National Oceanography Centre; UK Research &amp; Innovation (UKRI); Natural Environment Research Council (NERC); NERC British Antarctic Survey; University of Southampton</t>
  </si>
  <si>
    <t>Salavasidis, G (corresponding author), Natl Oceanog Ctr, Marine Autonomous &amp; Robot Syst, Southampton SO14 3ZH, Hants, England.</t>
  </si>
  <si>
    <t>geosal@noc.ac.uk</t>
  </si>
  <si>
    <t>Munafò, Andrea/AAO-7199-2020; Abrahamsen, Povl/B-2140-2008</t>
  </si>
  <si>
    <t>Munafò, Andrea/0000-0003-2284-0011; Abrahamsen, Povl/0000-0001-5924-5350; Salavasidis, Georgios/0000-0002-0716-6682; Harris, Catherine A/0000-0002-4112-6158; Fenucci, Davide/0000-0002-0338-3428; Roper, Daniel/0000-0001-9255-6564</t>
  </si>
  <si>
    <t>DynOPO-Funder NERC (UK) [NE/K012843/1, NE/N018095/1]; EU FP-7 ROBOCADEMY [608096]; Oceanids-Funder ISCF/NERC (UK); NERC [NE/N018095/1, bas0100033] Funding Source: UKRI</t>
  </si>
  <si>
    <t>DynOPO-Funder NERC (UK)(UK Research &amp; Innovation (UKRI)Natural Environment Research Council (NERC)); EU FP-7 ROBOCADEMY(European Union (EU)); Oceanids-Funder ISCF/NERC (UK); NERC(UK Research &amp; Innovation (UKRI)Natural Environment Research Council (NERC))</t>
  </si>
  <si>
    <t>DynOPO-Funder NERC (UK), Grant/Award Number: NE/K012843/1 (DynOPO), NE/N018095/1 (ORCHESTRA); Oceanids-Funder ISCF/NERC (UK); EU FP-7 ROBOCADEMY, Grant/Award Number: 608096</t>
  </si>
  <si>
    <t>1556-4959</t>
  </si>
  <si>
    <t>1556-4967</t>
  </si>
  <si>
    <t>J FIELD ROBOT</t>
  </si>
  <si>
    <t>J. Field Robot.</t>
  </si>
  <si>
    <t>MAY</t>
  </si>
  <si>
    <t>10.1002/rob.21994</t>
  </si>
  <si>
    <t>Robotics</t>
  </si>
  <si>
    <t>RH2PT</t>
  </si>
  <si>
    <t>Green Accepted</t>
  </si>
  <si>
    <t>WOS:000587475100001</t>
  </si>
  <si>
    <t>Struve, T; Pahnke, K; Lamy, F; Wengler, M; Böning, P; Winckler, G</t>
  </si>
  <si>
    <t>Struve, Torben; Pahnke, Katharina; Lamy, Frank; Wengler, Marc; Boening, Philipp; Winckler, Gisela</t>
  </si>
  <si>
    <t>A circumpolar dust conveyor in the glacial Southern Ocean</t>
  </si>
  <si>
    <t>NATURE COMMUNICATIONS</t>
  </si>
  <si>
    <t>PB ISOTOPIC COMPOSITIONS; C ICE-CORE; EAST ANTARCTICA; IRON FERTILIZATION; PACIFIC SECTOR; CARBON EXPORT; CENTRAL ANDES; EOLIAN DUST; GRAIN-SIZE; DEEP-WATER</t>
  </si>
  <si>
    <t>The increased flux of soluble iron (Fe) to the Fe-deficient Southern Ocean by atmospheric dust is considered to have stimulated the net primary production and carbon export, thus promoting atmospheric CO2 drawdown during glacial periods. Yet, little is known about the sources and transport pathways of Southern Hemisphere dust during the Last Glacial Maximum (LGM). Here we show that Central South America (similar to 2432 degrees S) contributed up to similar to 80% of the dust deposition in the South Pacific Subantarctic Zone via efficient circum-Antarctic dust transport during the LGM, whereas the Antarctic Zone was dominated by dust from Australia. This pattern is in contrast to the modern/Holocene pattern, when South Pacific dust fluxes are thought to be primarily supported by Australian sources. Our findings reveal that in the glacial Southern Ocean, Fe fertilization critically relies on the dynamic interaction of changes in dust-Fe sources in Central South America with the circumpolar westerly wind system.</t>
  </si>
  <si>
    <t>[Struve, Torben; Pahnke, Katharina; Boening, Philipp] Carl von Ossietzky Univ Oldenburg, Inst Chem &amp; Biol Marine Environm ICBM, Marine Isotope Geochem, D-26129 Oldenburg, Germany; [Lamy, Frank; Wengler, Marc] Alfred Wegener Inst Polar &amp; Marine Res, D-27568 Bremerhaven, Germany; [Winckler, Gisela] Columbia Univ, Lamont Doherty Earth Observ, Palisades, NY 10964 USA; [Winckler, Gisela] Columbia Univ, Dept Earth &amp; Environm Sci, New York, NY 10027 USA</t>
  </si>
  <si>
    <t>Carl von Ossietzky Universitat Oldenburg; Helmholtz Association; Alfred Wegener Institute, Helmholtz Centre for Polar &amp; Marine Research; Columbia University; Columbia University</t>
  </si>
  <si>
    <t>Struve, T (corresponding author), Carl von Ossietzky Univ Oldenburg, Inst Chem &amp; Biol Marine Environm ICBM, Marine Isotope Geochem, D-26129 Oldenburg, Germany.</t>
  </si>
  <si>
    <t>t.struve@icbm.de</t>
  </si>
  <si>
    <t>Pahnke, Katharina/0000-0001-9114-8411; Struve, Torben/0000-0002-6453-5552; Boning, Philipp/0009-0003-7375-4567</t>
  </si>
  <si>
    <t>NSF [OCE-09-35115]; Max Planck Society; Helmholtz Association; DFG; Carl von Ossietzky University Oldenburg</t>
  </si>
  <si>
    <t>NSF(National Science Foundation (NSF)); Max Planck Society(Max Planck Society); Helmholtz Association(Helmholtz Association); DFG(German Research Foundation (DFG)); Carl von Ossietzky University Oldenburg</t>
  </si>
  <si>
    <t>We acknowledge the crews and science teams of cruises E17, SO213, PS35, PS58, PS75, and PS97 for collecting sample material, which was in part supported by NSF grant OCE-09-35115 to K.P. We thank B.G. Koffman and S.L. Goldstein for valuable discussions on dust provenance, as well as M. Schulz and S. Wiebe for support during sample preparation. We acknowledge financial support from the Max Planck Society and the Helmholtz Association. Open Access funding enabled by the DFG open access publication fund and the Carl von Ossietzky University Oldenburg.</t>
  </si>
  <si>
    <t>2041-1723</t>
  </si>
  <si>
    <t>NAT COMMUN</t>
  </si>
  <si>
    <t>Nat. Commun.</t>
  </si>
  <si>
    <t>10.1038/s41467-020-18858-y</t>
  </si>
  <si>
    <t>OT4LY</t>
  </si>
  <si>
    <t>Green Published, Green Accepted, gold</t>
  </si>
  <si>
    <t>WOS:000590821000001</t>
  </si>
  <si>
    <t>Sen Gupta, A; Thomsen, M; Benthuysen, JA; Hobday, AJ; Oliver, E; Alexander, LV; Burrows, MT; Donat, MG; Feng, M; Holbrook, NJ; Perkins-Kirkpatrick, S; Moore, PJ; Rodrigues, RR; Scannell, HA; Taschetto, AS; Ummenhofer, CC; Wernberg, T; Smale, DA</t>
  </si>
  <si>
    <t>Sen Gupta, Alex; Thomsen, Mads; Benthuysen, Jessica A.; Hobday, Alistair J.; Oliver, Eric; Alexander, Lisa, V; Burrows, Michael T.; Donat, Markus G.; Feng, Ming; Holbrook, Neil J.; Perkins-Kirkpatrick, Sarah; Moore, Pippa J.; Rodrigues, Regina R.; Scannell, Hillary A.; Taschetto, Andrea S.; Ummenhofer, Caroline C.; Wernberg, Thomas; Smale, Dan A.</t>
  </si>
  <si>
    <t>Drivers and impacts of the most extreme marine heatwaves events</t>
  </si>
  <si>
    <t>NINO-SOUTHERN-OSCILLATION; NORTH PACIFIC; VARIABILITY; SUMMER; PHYTOPLANKTON; AUSTRALIA; EVOLUTION; SEA</t>
  </si>
  <si>
    <t>Prolonged high-temperature extreme events in the ocean, marine heatwaves, can have severe and long-lasting impacts on marine ecosystems, fisheries and associated services. This study applies a marine heatwave framework to analyse a global sea surface temperature product and identify the most extreme events, based on their intensity, duration and spatial extent. Many of these events have yet to be described in terms of their physical attributes, generation mechanisms, or ecological impacts. Our synthesis identifies commonalities between marine heatwave characteristics and seasonality, links to the El Nino-Southern Oscillation, triggering processes and impacts on ocean productivity. The most intense events preferentially occur in summer, when climatological oceanic mixed layers are shallow and winds are weak, but at a time preceding climatological maximum sea surface temperatures. Most subtropical extreme marine heatwaves were triggered by persistent atmospheric high-pressure systems and anomalously weak wind speeds, associated with increased insolation, and reduced ocean heat losses. Furthermore, the most extreme events tended to coincide with reduced chlorophyll-a concentration at low and mid-latitudes. Understanding the importance of the oceanic background state, local and remote drivers and the ocean productivity response from past events are critical steps toward improving predictions of future marine heatwaves and their impacts.</t>
  </si>
  <si>
    <t>[Sen Gupta, Alex; Alexander, Lisa, V; Perkins-Kirkpatrick, Sarah; Taschetto, Andrea S.] Univ New South Wales, Climate Change Res Ctr, Sydney, NSW 2052, Australia; [Sen Gupta, Alex; Alexander, Lisa, V; Donat, Markus G.; Perkins-Kirkpatrick, Sarah; Taschetto, Andrea S.; Ummenhofer, Caroline C.] Univ New South Wales, Australian Res Council, Ctr Excellence Climate Extremes, Sydney, NSW 2052, Australia; [Thomsen, Mads] Univ Canterbury, Sch Biol Sci, Private Bag 4800, Christchurch, New Zealand; [Benthuysen, Jessica A.] Australian Inst Marine Sci, Indian Ocean Marine Res Ctr, Crawley, WA, Australia; [Hobday, Alistair J.] CSIRO Oceans &amp; Atmosphere, Hobart, Tas, Australia; [Oliver, Eric] Dalhousie Univ, Dept Oceanog, Halifax, NS B3H 4R2, Canada; [Burrows, Michael T.] Scottish Marine Inst, Scottish Assoc Marine Sci, Oban PA37 1QA, Argyll, Scotland; [Donat, Markus G.] Barcelona Supercomp Ctr, Barcelona, Spain; [Feng, Ming] CSIRO Oceans &amp; Atmosphere, Indian Ocean Marine Res Ctr, Crawley, WA, Australia; [Holbrook, Neil J.] Univ Tasmania, Inst Marine &amp; Antarctic Studies, Hobart, Tas, Australia; [Holbrook, Neil J.] Univ Tasmania, Australian Res Council, Ctr Excellence Climate Extremes, Hobart, Tas, Australia; [Moore, Pippa J.] Aberystwyth Univ, Inst Biol Environm &amp; Rural Sci, Aberystwyth SY23 3DA, Dyfed, Wales; [Rodrigues, Regina R.] Univ Fed Santa Catarina, Dept Oceanog, Florianopolis, SC, Brazil; [Scannell, Hillary A.] Univ Washington, Sch Oceanog, Seattle, WA 98195 USA; [Ummenhofer, Caroline C.] Woods Hole Oceanog Inst, Dept Phys Oceanog, Woods Hole, MA 02543 USA; [Wernberg, Thomas; Smale, Dan A.] Univ Western Australia, UWA Oceans Inst, Crawley, WA, Australia; [Wernberg, Thomas; Smale, Dan A.] Univ Western Australia, Sch Biol Sci, Crawley, WA, Australia; [Smale, Dan A.] Marine Biol Assoc UK, Citadel Hill, Plymouth PL1 2PB, Devon, England</t>
  </si>
  <si>
    <t>University of New South Wales Sydney; University of New South Wales Sydney; University of Canterbury; University of Western Australia; Australian Institute of Marine Science; Commonwealth Scientific &amp; Industrial Research Organisation (CSIRO); Dalhousie University; UHI Millennium Institute; Universitat Politecnica de Catalunya; Barcelona Supercomputer Center (BSC-CNS); University of Western Australia; Commonwealth Scientific &amp; Industrial Research Organisation (CSIRO); University of Tasmania; University of Tasmania; UK Research &amp; Innovation (UKRI); Biotechnology and Biological Sciences Research Council (BBSRC); Institute of Biological, Environmental, Rural &amp; Sciences (IBERS); Aberystwyth University; Universidade Federal de Santa Catarina (UFSC); University of Washington; University of Washington Seattle; Woods Hole Oceanographic Institution; University of Western Australia; University of Western Australia; Marine Biological Association United Kingdom</t>
  </si>
  <si>
    <t>Sen Gupta, A (corresponding author), Univ New South Wales, Climate Change Res Ctr, Sydney, NSW 2052, Australia.;Sen Gupta, A (corresponding author), Univ New South Wales, Australian Res Council, Ctr Excellence Climate Extremes, Sydney, NSW 2052, Australia.</t>
  </si>
  <si>
    <t>a.sengupta@unsw.edu.au</t>
  </si>
  <si>
    <t>Smale, Dan A/B-3240-2011; Moore, Pippa/HCH-3738-2022; Donat, Markus/J-8331-2012; Hobday, Alistair/A-1460-2012; Thomsen, Mads/B-1204-2011; Rodrigues, Regina R./AAU-4018-2020; Wernberg, Thomas/B-4172-2010; Perkins-Kirkpatrick, Sarah E/O-5042-2015; Sen Gupta, Alexander/B-7995-2011; Holbrook, Neil/M-7544-2013; Oliver, Eric/G-5118-2014; Feng, Ming/F-5411-2010; Alexander, Lisa/A-8477-2011</t>
  </si>
  <si>
    <t>Donat, Markus/0000-0002-0608-7288; Rodrigues, Regina R./0000-0001-8010-4018; Wernberg, Thomas/0000-0003-1185-9745; Sen Gupta, Alexander/0000-0001-5226-871X; Thomsen, Mads/0000-0003-4597-3343; Holbrook, Neil/0000-0002-3523-6254; Moore, Pippa/0000-0002-9889-2216; Taschetto, Andrea/0000-0001-6020-1603; Oliver, Eric/0000-0002-4006-2826; Feng, Ming/0000-0002-2855-7092; Alexander, Lisa/0000-0002-5635-2457</t>
  </si>
  <si>
    <t>University of Western Australia Research Collaboration Award; Natural Environment Research Council (UK) International Opportunity Fund [NE/N00678X/1]; UKRI Future Leaders Fellowship [MR/S032827/1]; Australian Research Council [FT110100174, DP170100023, FT160100495]; ARC Centre of Excellence for Climate Extremes [CE170100023]; Brian Mason Trust; Marie Curie Career Integration Grant [PCIG10-GA-2011-303685]; Natural Environment Research Council (UK) [NE/J024082/1]; National Sciences and Engineering Research Council of Canada (NSERC) [RGPIN-2018-05255]; Marine Environmental Observation, Prediction and Response Network (MEOPAR) project [1-02-02-059.1]; Andrew W. Mellon Foundation at WHOI; Spanish Ministry for the Economy, Industry and Competitiveness Ramon y Cajal 2017 grant [RYC-2017-22964]; FLF [MR/S032827/1] Funding Source: UKRI; NERC [NE/J024082/1, NE/J021938/1] Funding Source: UKRI; Australian Research Council [FT160100495] Funding Source: Australian Research Council</t>
  </si>
  <si>
    <t>University of Western Australia Research Collaboration Award; Natural Environment Research Council (UK) International Opportunity Fund; UKRI Future Leaders Fellowship(UK Research &amp; Innovation (UKRI)); Australian Research Council(Australian Research Council); ARC Centre of Excellence for Climate Extremes; Brian Mason Trust; Marie Curie Career Integration Grant(Marie Curie Actions); Natural Environment Research Council (UK)(UK Research &amp; Innovation (UKRI)Natural Environment Research Council (NERC)); National Sciences and Engineering Research Council of Canada (NSERC)(Natural Sciences and Engineering Research Council of Canada (NSERC)); Marine Environmental Observation, Prediction and Response Network (MEOPAR) project; Andrew W. Mellon Foundation at WHOI; Spanish Ministry for the Economy, Industry and Competitiveness Ramon y Cajal 2017 grant; FLF; NERC(UK Research &amp; Innovation (UKRI)Natural Environment Research Council (NERC)); Australian Research Council(Australian Research Council)</t>
  </si>
  <si>
    <t>Concepts and analyses were developed during three workshops organized by an international working group on marine heatwaves (https://www.marineheatwaves.org) funded by a University of Western Australia Research Collaboration Award and a Natural Environment Research Council (UK) International Opportunity Fund (NE/N00678X/1). D.A.S. is supported by a UKRI Future Leaders Fellowship (MR/S032827/1). The Australian Research Council supported T.W. (FT110100174 and DP170100023) and A.S.T. (FT160100495). N.J.H. and L.V.A. are supported by the ARC Centre of Excellence for Climate Extremes (CE170100023). M.S. T was supported by the Brian Mason Trust. P.J.M. is supported by a Marie Curie Career Integration Grant (PCIG10-GA-2011-303685) and a Natural Environment Research Council (UK) Grant (NE/J024082/1). E.C.J.O. was supported by National Sciences and Engineering Research Council of Canada (NSERC) Discovery Grant RGPIN-2018-05255 and Marine Environmental Observation, Prediction and Response Network (MEOPAR) project 1-02-02-059.1. C.C.U. acknowledges financial support through the Early Career Scientist Endowed Fund, George E. Thibault Early Career Scientist Fund, and The Joint Initiative Awards Fund from the Andrew W. Mellon Foundation at WHOI. M.G.D. received funding by the Spanish Ministry for the Economy, Industry and Competitiveness Ramon y Cajal 2017 grant reference RYC-2017-22964. NOAA High Resolution SST data provided by the NOAA/OAR/ESRL PSD, Boulder, Colorado, USA, from their Web site at https://www.esrl.noaa.gov/psd/.All datasets used in this work are freely available. NOAA high resolution SST were provided by NOAA/OAR/ESRL PSD (Boulder, CO, USA) from their website (www.esrl.noaa.gov/psd/).Processed MHW severity data are stored at the National Computing Infrastructure, Australia and is available on request. Python and MATLAB codes for processing raw SST data, analysing and plotting datasets and most extremes MHW characteristics are available at https://githu b.com/alexsengupta/Extre meExtremes.git.</t>
  </si>
  <si>
    <t>NATURE PORTFOLIO</t>
  </si>
  <si>
    <t>10.1038/s41598-020-75445-3</t>
  </si>
  <si>
    <t>OZ0LW</t>
  </si>
  <si>
    <t>Green Submitted, Green Published, gold</t>
  </si>
  <si>
    <t>Y</t>
  </si>
  <si>
    <t>N</t>
  </si>
  <si>
    <t>WOS:000594628800021</t>
  </si>
  <si>
    <t>Nunes, AJP; Soares, AN; Sabry-Neto, H; Burri, L</t>
  </si>
  <si>
    <t>Nunes, Alberto Jorge Pinto; Soares, Artur Nepomuceno; Sabry-Neto, Hassan; Burri, Lena</t>
  </si>
  <si>
    <t>Effect of dietary graded levels of astaxanthin krill oil and high protein krill meal on the growth performance and stress resistance of post larval Litopenaeus vannamei under hyper-intensive nursery culture</t>
  </si>
  <si>
    <t>AQUACULTURE NUTRITION</t>
  </si>
  <si>
    <t>astaxanthin; high‐ protein krill meal; krill oil; Litopenaeus vannamei; nursery; post larval; shrimp</t>
  </si>
  <si>
    <t>PACIFIC WHITE SHRIMP; OPEN THELYCUM SHRIMP; NUTRITIONAL-EVALUATION; CLEAR-WATER; FATTY-ACIDS; SYSTEM; EFFICIENCY; SURVIVAL; IMPROVE; PHASE</t>
  </si>
  <si>
    <t>This study evaluated the effect of graded dietary levels of astaxanthin krill oil (AKO) and high protein krill meal (HPK) on the growth performance and stress resistance of postlarval (PL) Litopenaeus vannamei. Shrimp of 3.6-2.5 mg body weight (BW) were stocked in outdoor and indoor tanks at 2,371-2,504 PLs m(-3), respectively. Diets contained 10.0, 30.0 and 50.0 g/kg AKO (outdoor) and 30.0, 50.0 and 70.0 g/kg AKO with 80.0 g/kg HPK (indoor). After 52 and 41 days of nursery in outdoor and indoor tanks, no statistical effect from the inclusion of AKO and AKO with HPK was observed on final mean survival (84.0%-91.8%), gained yield (1,568-1,611 g/m(3)), daily growth (14.2-14.2 mg/day) and feed conversion ratio (1.70-0.89), respectively. However, final shrimp BW was significantly improved with 50.0 g/kg AKO (775 mg) and 30.0 g/kg AKO with 80.0 g/kg HPK (629 mg), respectively, compared with control groups (711 and 567 mg). Resistance to osmotic and thermal stress was significantly increased with 10.0 g/kg AKO. Enhancement in growth performance and resistance may be related to a higher supply of dietary EPA, DHA and astaxanthin resulting from the inclusion of AKO and HPK.</t>
  </si>
  <si>
    <t>[Nunes, Alberto Jorge Pinto; Soares, Artur Nepomuceno; Sabry-Neto, Hassan] Univ Fed Ceara, LABOMAR Inst Ciencias Mar, Ave Abolicao 3207, BR-60165081 Fortaleza, Ceara, Brazil; [Burri, Lena] Aker BioMarine Antarct AS, Lysaker, Norway</t>
  </si>
  <si>
    <t>Universidade Federal do Ceara</t>
  </si>
  <si>
    <t>Nunes, AJP (corresponding author), Univ Fed Ceara, LABOMAR Inst Ciencias Mar, Ave Abolicao 3207, BR-60165081 Fortaleza, Ceara, Brazil.</t>
  </si>
  <si>
    <t>alberto.nunes@ufc.br</t>
  </si>
  <si>
    <t>Aker Biomarine Antarctic AS</t>
  </si>
  <si>
    <t>Aker Biomarine Antarctic AS provided financial support for acquiring raw materials for manufacturing experimental diets, shrimp postlarval and running feed chemical analyses described in this manuscript.</t>
  </si>
  <si>
    <t>1353-5773</t>
  </si>
  <si>
    <t>1365-2095</t>
  </si>
  <si>
    <t>AQUACULT NUTR</t>
  </si>
  <si>
    <t>Aquac. Nutr.</t>
  </si>
  <si>
    <t>APR</t>
  </si>
  <si>
    <t>10.1111/anu.13187</t>
  </si>
  <si>
    <t>Fisheries</t>
  </si>
  <si>
    <t>RA6LC</t>
  </si>
  <si>
    <t>WOS:000587320400001</t>
  </si>
  <si>
    <t>La Mesa, M; Llompart, F; Riginella, E; Eastman, JT</t>
  </si>
  <si>
    <t>La Mesa, Mario; Llompart, Facundo; Riginella, Emilio; Eastman, Joseph T.</t>
  </si>
  <si>
    <t>Parental care and reproductive strategies in notothenioid fishes</t>
  </si>
  <si>
    <t>FISH AND FISHERIES</t>
  </si>
  <si>
    <t>Antarctic fishes; egg guarding; nesting behaviour; parental investment; spawning activities; trade‐ offs</t>
  </si>
  <si>
    <t>EARLY-LIFE-HISTORY; SEXUAL SIZE DIMORPHISM; TERRA-NOVA BAY; PATAGONOTOTHEN-TESSELLATA RICHARDSON; ICEFISH CHIONOBATHYSCUS-DEWITTI; SCOTIA SEA ICEFISH; CHAENOCEPHALUS-ACERATUS; ANTARCTIC FISH; BEAGLE CHANNEL; SOUTH SHETLAND</t>
  </si>
  <si>
    <t>The adoption of parental care behaviours is the distinctive reproductive characteristic associated with the diversification and divergence of notothenioid fishes into an array of habitats in the subzero shelf and upper slope waters around Antarctica and sub-Antarctic environments. These include a variety of pre- and post-fertilization activities, including courtship behaviour and mate choice, linked to the development of sexually dimorphic traits, nest construction and egg guarding until hatch. Using published literature and new data, this review synthesizes and evaluates, in a phylogenetic context, information related to parental care, specifically sex-specific morphological adaptations, nest location and structure, sexual differences in egg guarding and post-spawning mortality, duration of egg incubation times and larval size at hatch. The existence of parental care in phylogenetically basal notothenioids is not documented and unlikely; however, the derived lineages of the Antarctic clade (cryonotothenioids), especially bathydraconids and channichthyids, clearly exhibit a trend towards larger egg size and reduced fecundity that are considered proxies for parental care behaviours. In addition, the reproductive strategies of cryonotothenioids exhibiting parental care show latitudinal patterns at intra- and inter-specific levels. Antarctic species spawn in spring-summer and have low fecundity, large egg size at spawning and large larvae at hatching. Sub-Antarctic species spawn in autumn-winter and have moderate to high fecundity, moderate egg size and larval size at hatching, whereas non-Antarctic species spawn in winter and possess high fecundity, small egg size at spawning and small larvae at hatching.</t>
  </si>
  <si>
    <t>[La Mesa, Mario] CNR, Ist Sci Polari ISP, Bologna, Italy; [Llompart, Facundo] Consejo Nacl Invest Cient &amp; Tecn, Ctr Austral Invest Cient, CADIC, Ushuaia, Argentina; [Llompart, Facundo] Inst Ciencias Polares Ambiente &amp; Recursos Nat ICP, Ushuaia, Argentina; [Riginella, Emilio] Stn Zool Anton Dohrn, Dipartimento Ecol Marina Integrata, Naples, Italy; [Eastman, Joseph T.] Ohio Univ, Dept Biomed Sci, Athens, OH 45701 USA</t>
  </si>
  <si>
    <t>Consiglio Nazionale delle Ricerche (CNR); Istituto di Scienze Polari (ISP-CNR); Consejo Nacional de Investigaciones Cientificas y Tecnicas (CONICET); Stazione Zoologica Anton Dohrn di Napoli; University System of Ohio; Ohio University</t>
  </si>
  <si>
    <t>La Mesa, M (corresponding author), CNR, Ist Sci Polari ISP, Area Ric Bologna, Via P Gobetti 101, I-40129 Bologna, Italy.</t>
  </si>
  <si>
    <t>mario.lamesa@cnr.it</t>
  </si>
  <si>
    <t>Riginella, Emilio/Q-2987-2019; Eastman, Joseph T./O-6150-2019</t>
  </si>
  <si>
    <t>Riginella, Emilio/0000-0002-1442-8310; Eastman, Joseph T./0000-0003-3868-261X</t>
  </si>
  <si>
    <t>Italian National Antarctic Research Program (PNRA) [2013/C1.07]</t>
  </si>
  <si>
    <t>Italian National Antarctic Research Program (PNRA)(Ministry of Education, Universities and Research (MIUR))</t>
  </si>
  <si>
    <t>Italian National Antarctic Research Program (PNRA), Grant/Award Number: 2013/C1.07</t>
  </si>
  <si>
    <t>1467-2960</t>
  </si>
  <si>
    <t>1467-2979</t>
  </si>
  <si>
    <t>FISH FISH</t>
  </si>
  <si>
    <t>Fish. Fish.</t>
  </si>
  <si>
    <t>MAR</t>
  </si>
  <si>
    <t>10.1111/faf.12523</t>
  </si>
  <si>
    <t>QM4QO</t>
  </si>
  <si>
    <t>WOS:000587151900001</t>
  </si>
  <si>
    <t>Rosa, LH; Pinto, OHB; Convey, P; Carvalho-Silva, M; Rosa, CA; Câmara, PEAS</t>
  </si>
  <si>
    <t>Rosa, Luiz Henrique; Pinto, Otavio Henrique Bezerra; Convey, Peter; Carvalho-Silva, Micheline; Rosa, Carlos Augusto; Camara, Paulo Eduardo Aguiar Saraiva</t>
  </si>
  <si>
    <t>DNA Metabarcoding to Assess the Diversity of Airborne Fungi Present over Keller Peninsula, King George Island, Antarctica</t>
  </si>
  <si>
    <t>MICROBIAL ECOLOGY</t>
  </si>
  <si>
    <t>Antarctic Peninsula; Ecology; Fungi; Metabarcoding; Taxonomy</t>
  </si>
  <si>
    <t>COMMUNITIES; MACROALGAE</t>
  </si>
  <si>
    <t>We assessed fungal diversity present in air samples obtained from King George Island, Antarctica, using DNA metabarcoding through high-throughput sequencing. We detected 186 fungal amplicon sequence variants (ASVs) dominated by the phyla Ascomycota, Basidiomycota, Mortierellomycota, Mucoromycota, and Chytridiomycota. Fungi sp. 1, Agaricomycetes sp. 1, Mortierella parvispora, Mortierella sp. 2, Penicillium sp., Pseudogymnoascus roseus, Microdochium lycopodinum, Mortierella gamsii, Arrhenia sp., Cladosporium sp., Mortierella fimbricystis, Moniliella pollinis, Omphalina sp., Mortierella antarctica, and Pseudogymnoascus appendiculatus were the most dominant ASVs. In addition, several ASVs could only be identified at higher taxonomic levels and may represent previously unknown fungi and/or new records for Antarctica. The fungi detected in the air displayed high indices of diversity, richness, and dominance. The airborne fungal diversity included saprophytic, mutualistic, and plant and animal opportunistic pathogenic taxa. The diversity of taxa detected reinforces the hypothesis that the Antarctic airspora includes fungal propagules of both intra- and inter-continental origin. If regional Antarctic environmental conditions ameliorate further in concert with climate warming, these fungi might be able to reactivate and colonize different Antarctic ecosystems, with as yet unknown consequences for ecosystem function in Antarctica. Further aeromycological studies are necessary to understand how and from where these fungi arrive and move within Antarctica and if environmental changes will encourage the development of non-native fungal species in Antarctica.</t>
  </si>
  <si>
    <t>[Rosa, Luiz Henrique; Rosa, Carlos Augusto] Univ Fed Minas Gerais, Dept Microbiol, Belo Horizonte, MG, Brazil; [Pinto, Otavio Henrique Bezerra] Univ Brasilia, Dept Biol Celular, Brasilia, DF, Brazil; [Convey, Peter] NERC, British Antarctic Survey, High Cross,Madingley Rd, Cambridge CB3 0ET, England; [Carvalho-Silva, Micheline; Camara, Paulo Eduardo Aguiar Saraiva] Univ Brasilia, Dept Bot, Brasilia, DF, Brazil</t>
  </si>
  <si>
    <t>Universidade Federal de Minas Gerais; Universidade de Brasilia; UK Research &amp; Innovation (UKRI); Natural Environment Research Council (NERC); NERC British Antarctic Survey; Universidade de Brasilia</t>
  </si>
  <si>
    <t>Rosa, LH (corresponding author), Univ Fed Minas Gerais, Dept Microbiol, Belo Horizonte, MG, Brazil.</t>
  </si>
  <si>
    <t>lhrosa@icb.ufmg.br</t>
  </si>
  <si>
    <t>Convey, Peter/AAV-5728-2020; Camara, Paulo/GPP-2054-2022</t>
  </si>
  <si>
    <t>Convey, Peter/0000-0001-8497-9903; Camara, Paulo/0000-0002-3944-996X; Silva, Micheline/0000-0002-2389-3804; Pinto, Otavio/0000-0002-8382-2987</t>
  </si>
  <si>
    <t>CNPq; PROANTAR; FAPEMIG; Coordenacao de Aperfeicoamento de Pessoal de Nivel Superior - Brasil (CAPES); INCT Criosfera 2; NERC; NERC [bas0100036] Funding Source: UKRI</t>
  </si>
  <si>
    <t>CNPq(Conselho Nacional de Desenvolvimento Cientifico e Tecnologico (CNPQ)); PROANTAR; FAPEMIG(Fundacao de Amparo a Pesquisa do Estado de Minas Gerais (FAPEMIG)); Coordenacao de Aperfeicoamento de Pessoal de Nivel Superior - Brasil (CAPES)(Coordenacao de Aperfeicoamento de Pessoal de Nivel Superior (CAPES)); INCT Criosfera 2; NERC(UK Research &amp; Innovation (UKRI)Natural Environment Research Council (NERC)); NERC(UK Research &amp; Innovation (UKRI)Natural Environment Research Council (NERC))</t>
  </si>
  <si>
    <t>This study received financial support from CNPq, PROANTAR, FAPEMIG, Coordenacao de Aperfeicoamento de Pessoal de Nivel Superior - Brasil (CAPES), INCT Criosfera 2. P. Convey is supported by NERC core funding to the British Antarctic Survey's Biodiversity, Evolution and Adaptation Team. We also thank congresswoman Jo Moraes and the Biological Sciences Institute of the University of Brasilia.</t>
  </si>
  <si>
    <t>SPRINGER</t>
  </si>
  <si>
    <t>NEW YORK</t>
  </si>
  <si>
    <t>ONE NEW YORK PLAZA, SUITE 4600, NEW YORK, NY, UNITED STATES</t>
  </si>
  <si>
    <t>0095-3628</t>
  </si>
  <si>
    <t>1432-184X</t>
  </si>
  <si>
    <t>MICROB ECOL</t>
  </si>
  <si>
    <t>Microb. Ecol.</t>
  </si>
  <si>
    <t>SI</t>
  </si>
  <si>
    <t>10.1007/s00248-020-01627-1</t>
  </si>
  <si>
    <t>Ecology; Marine &amp; Freshwater Biology; Microbiology</t>
  </si>
  <si>
    <t>Environmental Sciences &amp; Ecology; Marine &amp; Freshwater Biology; Microbiology</t>
  </si>
  <si>
    <t>TK8LS</t>
  </si>
  <si>
    <t>WOS:000587610800002</t>
  </si>
  <si>
    <t>Carter-Gates, M; Balestreri, C; Thorpe, SE; Cottier, F; Baylay, A; Bibby, TS; Moore, CM; Schroeder, DC</t>
  </si>
  <si>
    <t>Carter-Gates, Michael; Balestreri, Cecilia; Thorpe, Sally E.; Cottier, Finlo; Baylay, Alison; Bibby, Thomas S.; Moore, C. Mark; Schroeder, Declan C.</t>
  </si>
  <si>
    <t>Implications of increasing Atlantic influence for Arctic microbial community structure</t>
  </si>
  <si>
    <t>SEA-ICE; PHOSPHORUS LIMITATION; MARINE-BACTERIA; CLIMATE-CHANGE; FRESH-WATER; PHYTOPLANKTON; DIVERSITY; RNA; MICRODIVERSITY; BIOSPHERE</t>
  </si>
  <si>
    <t>Increasing influence of Atlantic water in the Arctic Ocean has the potential to significantly impact regional water temperature and salinity. Here we use a rDNA barcoding approach to reveal how microbial communities are partitioned into distinct assemblages across a gradient of Atlantic-Polar Water influence in the Norwegian Sea. Data suggest that temperate adapted bacteria may replace cold water taxa under a future scenario of increasing Atlantic influence, but the eukaryote response is more complex. Some abundant eukaryotic cold water taxa could persist, while less abundant eukaryotic taxa may be replaced by warmer adapted temperate species. Furthermore, within lineages, different taxa display evidence of increased relative abundance in reaction to favourable conditions and we observed that rare microbial taxa are sample site rather than region specific. Our findings have significant implications for the vulnerability of polar associated community assemblages, which may change, impacting the ecosystem services they provide, under predicted increases of Atlantic mixing and warming within the Arctic region.</t>
  </si>
  <si>
    <t>[Carter-Gates, Michael; Balestreri, Cecilia; Schroeder, Declan C.] Marine Biol Assoc UK, Cellular &amp; Mol Dept, Plymouth PL1 2PB, Devon, England; [Thorpe, Sally E.] British Antarctic Survey, Cambridge CB3 0ET, England; [Cottier, Finlo] Scottish Assoc Marine Sci, Oban PA37 1QA, Argyll, Scotland; [Cottier, Finlo] Arctic Univ Norway, Univ Tromso, Dept Arctic &amp; Marine Biol, N-9037 Tromso, Norway; [Baylay, Alison; Bibby, Thomas S.; Moore, C. Mark] Univ Southampton, Ocean &amp; Earth Sci, Southampton SO14 3ZH, Hants, England; [Schroeder, Declan C.] Univ Minnesota, Vet Populat Med, St Paul, MN 55108 USA; [Schroeder, Declan C.] Univ Reading, Sch Biol Sci, Reading RG6 6AH, Berks, England</t>
  </si>
  <si>
    <t>Marine Biological Association United Kingdom; UK Research &amp; Innovation (UKRI); Natural Environment Research Council (NERC); NERC British Antarctic Survey; UHI Millennium Institute; UiT The Arctic University of Tromso; University of Southampton; University of Minnesota System; University of Minnesota Twin Cities; University of Reading</t>
  </si>
  <si>
    <t>Schroeder, DC (corresponding author), Marine Biol Assoc UK, Cellular &amp; Mol Dept, Plymouth PL1 2PB, Devon, England.;Schroeder, DC (corresponding author), Univ Minnesota, Vet Populat Med, St Paul, MN 55108 USA.;Schroeder, DC (corresponding author), Univ Reading, Sch Biol Sci, Reading RG6 6AH, Berks, England.</t>
  </si>
  <si>
    <t>dcschroe@umn.edu</t>
  </si>
  <si>
    <t>Schroeder, Declan C./O-9131-2019; Bibby, Thomas S/C-9159-2014</t>
  </si>
  <si>
    <t>Schroeder, Declan C./0000-0001-5991-2838; Balestreri, Cecilia/0000-0002-8855-7772; Thorpe, Sally/0000-0002-5193-6955; Moore, Mark/0000-0002-9541-6046; Baylay, Alison/0000-0002-0814-0740</t>
  </si>
  <si>
    <t>Arctic PRIZE research project, Changing Arctic Ocean programme - UKRI Natural Environment Research Council (NERC) [NE/P006302/1]; Natural Environmental Research Council [NE/H017348/1, NE/H016996/1]; NERC UKRI SPITFIRE studentship; Cnes; NERC [NE/H016996/1, bas0100035, NE/P006302/1] Funding Source: UKRI</t>
  </si>
  <si>
    <t>Arctic PRIZE research project, Changing Arctic Ocean programme - UKRI Natural Environment Research Council (NERC); Natural Environmental Research Council(UK Research &amp; Innovation (UKRI)Natural Environment Research Council (NERC)); NERC UKRI SPITFIRE studentship; Cnes(Centre National D'etudes Spatiales); NERC(UK Research &amp; Innovation (UKRI)Natural Environment Research Council (NERC))</t>
  </si>
  <si>
    <t>The altimeter products were produced by Ssalto/Duacs and distributed by Aviso with support from Cnes. The OSTIA high resolution sea surface temperature and sea ice data were provided through the Copernicus Marine Environment Monitoring Service (www.marine.copernicus.eu).The map in Fig. 1 was produced using the m_ map toolbox for -Matlab76. We'd also like to thank the UK Ocean Acidification programme, the crew and officers of the RSS James Clark Ross during cruise JR271. Contribution to manuscript preparation by FC was supported by Arctic PRIZE research project (NE/P006302/1), part of the Changing Arctic Ocean programme funded by the UKRI Natural Environment Research Council (NERC). The UK Ocean Acidification research program was funded by the Natural Environmental Research Council through grant numbers NE/H017348/1 and NE/H016996/1. Finally, MCG received a NERC UKRI SPITFIRE studentship.</t>
  </si>
  <si>
    <t>NOV 6</t>
  </si>
  <si>
    <t>10.1038/s41598-020-76293-x</t>
  </si>
  <si>
    <t>OU1PK</t>
  </si>
  <si>
    <t>Green Accepted, Green Published, gold</t>
  </si>
  <si>
    <t>WOS:000591306700011</t>
  </si>
  <si>
    <t>Van Breedam, J; Goelzer, H; Huybrechts, P</t>
  </si>
  <si>
    <t>Van Breedam, Jonas; Goelzer, Heiko; Huybrechts, Philippe</t>
  </si>
  <si>
    <t>Semi-equilibrated global sea-level change projections tor the next 10 000 years</t>
  </si>
  <si>
    <t>EARTH SYSTEM DYNAMICS</t>
  </si>
  <si>
    <t>ANTARCTIC ICE-SHEET; LAST INTERGLACIAL CLIMATE; CARBON-DIOXIDE; ATMOSPHERIC LIFETIME; BOUNDARY-CONDITIONS; OCEAN-CIRCULATION; SOUTHERN-OCEAN; METHANE; SYSTEM; MODEL</t>
  </si>
  <si>
    <t>The emphasis for informing policy makers on future sea-level rise has been on projections by the end of the 21st century. However, due to the long lifetime of atmospheric CO2, the thermal inertia of the climate system and the slow equilibration of the ice sheets, global sea level will continue to rise on a multi-millennial timescale even when anthropogenic CO2 emissions cease completely during the coming decades to centuries. Here we present global sea-level change projections due to the melting of land ice combined with steric sea effects during the next 10 000 years calculated in a fully interactive way with the Earth system model of intermediate complexity LOVECLIMv1.3. The greenhouse forcing is based on the Extended Concentration Pathways defined until 2300 CE with no carbon dioxide emissions thereafter, equivalent to a cumulative CO2 release of between 460 and 5300 GtC. We performed one additional experiment for the highest-forcing scenario with the inclusion of a methane emission feedback where methane is slowly released due to a strong increase in surface and oceanic temperatures. After 10 000 years, the sea-level change rate drops below 0.05 m per century and a semi-equilibrated state is reached. The Greenland ice sheet is found to nearly disappear for all forcing scenarios. The Antarctic ice sheet contributes only about 1.6 m to sea level for the lowest forcing scenario with a limited retreat of the grounding line in West Antarctica. For the higher-forcing scenarios, the marine basins of the East Antarctic Ice Sheet also become ice free, resulting in a sea-level rise of up to 27 m. The global mean sea-level change after 10 000 years ranges from 9.2 to more than 37 m. For the highest-forcing scenario, the model uncertainty does not exclude the complete melting of the Antarctic ice sheet during the next 10 000 years.</t>
  </si>
  <si>
    <t>[Van Breedam, Jonas; Goelzer, Heiko; Huybrechts, Philippe] Vrije Univ Brussel, Earth Syst Sci, Pl Laan 2, B-1050 Brussels, Belgium; [Van Breedam, Jonas; Goelzer, Heiko; Huybrechts, Philippe] Vrije Univ Brussel, Dept Geog, Pl Laan 2, B-1050 Brussels, Belgium; [Goelzer, Heiko] Bjerknes Ctr Climate Res, NORCE Norwegian Res Ctr, Bergen, Norway</t>
  </si>
  <si>
    <t>Vrije Universiteit Brussel; Vrije Universiteit Brussel; Bjerknes Centre for Climate Research; Norwegian Research Centre (NORCE)</t>
  </si>
  <si>
    <t>Van Breedam, J (corresponding author), Vrije Univ Brussel, Earth Syst Sci, Pl Laan 2, B-1050 Brussels, Belgium.;Van Breedam, J (corresponding author), Vrije Univ Brussel, Dept Geog, Pl Laan 2, B-1050 Brussels, Belgium.</t>
  </si>
  <si>
    <t>jonas.van.breedam@vub.be</t>
  </si>
  <si>
    <t>Goelzer, Heiko/M-2367-2016; Huybrechts, Philippe/J-5278-2013</t>
  </si>
  <si>
    <t>Goelzer, Heiko/0000-0002-5878-9599; Van Breedam, Jonas/0000-0003-1504-9520; Huybrechts, Philippe/0000-0003-1406-0525</t>
  </si>
  <si>
    <t>Belgian Federal Science Policy Office [SD/CS/06A]</t>
  </si>
  <si>
    <t>Belgian Federal Science Policy Office(Belgian Federal Science Policy Office)</t>
  </si>
  <si>
    <t>This research has been supported by the Belgian Federal Science Policy Office (grant no. SD/CS/06A).</t>
  </si>
  <si>
    <t>2190-4979</t>
  </si>
  <si>
    <t>2190-4987</t>
  </si>
  <si>
    <t>EARTH SYST DYNAM</t>
  </si>
  <si>
    <t>Earth Syst. Dynam.</t>
  </si>
  <si>
    <t>10.5194/esd-11-953-2020</t>
  </si>
  <si>
    <t>Geosciences, Multidisciplinary</t>
  </si>
  <si>
    <t>Geology</t>
  </si>
  <si>
    <t>OR3XV</t>
  </si>
  <si>
    <t>WOS:000589408200001</t>
  </si>
  <si>
    <t>Cremonesi, L; Minnai, C; Ferri, F; Parola, A; Paroli, B; Sanvito, T; Potenza, MAC</t>
  </si>
  <si>
    <t>Cremonesi, Llorenc; Minnai, Chloe; Ferri, Fabio; Parola, Alberto; Paroli, Bruno; Sanvito, Tiziano; Potenza, Marco A. C.</t>
  </si>
  <si>
    <t>Light extinction and scattering from aggregates composed of submicron particles</t>
  </si>
  <si>
    <t>JOURNAL OF NANOPARTICLE RESEARCH</t>
  </si>
  <si>
    <t>Light scattering; Fractal aggregates; Optical properties; Extinction cross section; Effective medium approximation; Aerosols</t>
  </si>
  <si>
    <t>DISCRETE DIPOLE APPROXIMATION; FRACTAL DIMENSION; OPTICAL-PROPERTIES; DUST GRAINS; SURFACE BRIGHTNESS; ABSORPTION; SIZE; AEROSOL; WAVELENGTH; SOOT</t>
  </si>
  <si>
    <t>The influence of the internal structure of inhomogeneous particles on their radiative properties is an open issue repeatedly questioned in many fields of science and technology. The importance of a refined description of the particle composition and structure, going beyond mean-field approximations, is generally recognized. Here, we focus on describing internal inhomogeneities from a statistical point of view. We introduce an analytical description based on the two-point density-density correlation function, or the corresponding static structure factor, to calculate the extinction cross sections. The model agrees with numerical predictions and is validated experimentally with colloidal aggregates in the 0.3-6 mu m size range, which serve as an inhomogeneous model system that can be characterized enough to work without any free parameters. The model can be tightly compared to measurements with single particle extinction and scattering and spectrophotometry and suggests a simple behavior for 90 degrees scattering from fractal aggregates as a function of extinction, which is also confirmed experimentally and numerically. We also discuss the case of absorbing particles and report the experimental results for water suspensions of black carbon for both the forward and 90 degrees scattering properties. In this case, the total scattering and the extinction cross sections determine the single scattering albedo, which agrees with numerical simulations. The three parameters necessary to feed radiative transfer models, namely, extinction, asymmetry parameter, and single scattering albedo, can all be set by the analytical model, with explicit dependence on a few parameters. Results are applicable to radiative transfer problems in climate, paleoclimate, star and planetary formation, and nanoparticle optical characterization for science and industry, including the intercomparison of different optical methods such as those adopted by ISO standards.</t>
  </si>
  <si>
    <t>[Cremonesi, Llorenc; Paroli, Bruno; Potenza, Marco A. C.] Univ Milan, Dept Phys, Via Celoria 16, I-20133 Milan, Italy; [Minnai, Chloe] Okinawa Inst Sci &amp; Technol Grad Univ, Nanoparticles Design Unit, 1919-1 Tancha, Onna Son, Okinawa 9040495, Japan; [Ferri, Fabio; Parola, Alberto] Univ Insubria, Dept Sci &amp; High Technol, Via Valleggio 11, I-22100 Como, Italy; [Parola, Alberto] Univ Insubria, To Sca Lab, Via Valleggio 11, I-22100 Como, Italy; [Sanvito, Tiziano] EOS Srl, Viale Ortles 22-4, I-20139 Milan, Italy; [Potenza, Marco A. C.] Univ Milan, CIMAINA, Via Celoria 16, I-20133 Milan, Italy</t>
  </si>
  <si>
    <t>University of Milan; Okinawa Institute of Science &amp; Technology Graduate University; University of Insubria; University of Insubria; University of Milan</t>
  </si>
  <si>
    <t>Cremonesi, L; Potenza, MAC (corresponding author), Univ Milan, Dept Phys, Via Celoria 16, I-20133 Milan, Italy.;Potenza, MAC (corresponding author), Univ Milan, CIMAINA, Via Celoria 16, I-20133 Milan, Italy.</t>
  </si>
  <si>
    <t>llorenc.cremonesi@unimi.it; marco.potenza@unimi.it</t>
  </si>
  <si>
    <t>Cremonesi, Llorenc/IUP-4805-2023; Minnai, Chloé/ABB-3719-2021; Ferri, Fabio/C-6026-2008</t>
  </si>
  <si>
    <t>Cremonesi, Llorenc/0000-0002-4276-0660; Ferri, Fabio/0000-0003-2802-5181; Potenza, Marco/0000-0002-9379-6540; PAROLA, ALBERTO/0000-0001-7844-6916</t>
  </si>
  <si>
    <t>Universita degli Studi di Milano -Bicocca within the CRUI-CARE Agreement; project OPTAIR - Italian National Antarctic Program, PNRA [PNRA16_00231]; Italian Regional Affairs and Autonomies Department (DARA)</t>
  </si>
  <si>
    <t>Universita degli Studi di Milano -Bicocca within the CRUI-CARE Agreement; project OPTAIR - Italian National Antarctic Program, PNRA; Italian Regional Affairs and Autonomies Department (DARA)</t>
  </si>
  <si>
    <t>Open access funding provided by Universita degli Studi di Milano -Bicocca within the CRUI-CARE Agreement. This study was partially funded by project OPTAIR, funded by the Italian National Antarctic Program, PNRA (proj. n. PNRA16_00231). L. Cremonesi has been partially supported by a research grant of the Italian Regional Affairs and Autonomies Department (DARA).</t>
  </si>
  <si>
    <t>DORDRECHT</t>
  </si>
  <si>
    <t>VAN GODEWIJCKSTRAAT 30, 3311 GZ DORDRECHT, NETHERLANDS</t>
  </si>
  <si>
    <t>1388-0764</t>
  </si>
  <si>
    <t>1572-896X</t>
  </si>
  <si>
    <t>J NANOPART RES</t>
  </si>
  <si>
    <t>J. Nanopart. Res.</t>
  </si>
  <si>
    <t>10.1007/s11051-020-05075-3</t>
  </si>
  <si>
    <t>Chemistry, Multidisciplinary; Nanoscience &amp; Nanotechnology; Materials Science, Multidisciplinary</t>
  </si>
  <si>
    <t>Chemistry; Science &amp; Technology - Other Topics; Materials Science</t>
  </si>
  <si>
    <t>OO0ZE</t>
  </si>
  <si>
    <t>hybrid, Green Published</t>
  </si>
  <si>
    <t>WOS:000587116100001</t>
  </si>
  <si>
    <t>Cherel, Y</t>
  </si>
  <si>
    <t>Cherel, Yves</t>
  </si>
  <si>
    <t>A review of Southern Ocean squids using nets and beaks</t>
  </si>
  <si>
    <t>MARINE BIODIVERSITY</t>
  </si>
  <si>
    <t>Antarctica; Biogeography; Cephalopods; Predators; Taxonomy; Trophic relationships</t>
  </si>
  <si>
    <t>ANTARCTIC FUR SEALS; TOOTHFISH DISSOSTICHUS-ELEGINOIDES; PENGUINS APTENODYTES-PATAGONICUS; BLACK-BROWED ALBATROSSES; GREY-HEADED ALBATROSSES; KING-GEORGE ISLAND; DEEP-WATER SQUID; PETRELS PROCELLARIA-AEQUINOCTIALIS; MOROTEUTHIS INGENS CEPHALOPODA; KONDAKOVIA-LONGIMANA FILIPPOVA</t>
  </si>
  <si>
    <t>This review presents an innovative approach to investigate the teuthofauna from the Southern Ocean by combining two complementary data sets, the literature on cephalopod taxonomy and biogeography, together with predator dietary investigations. Sixty squids were recorded south of the Subtropical Front, including one circumpolar Antarctic (Psychroteuthis glacialis Thiele, 1920), 13 circumpolar Southern Ocean, 20 circumpolar subantarctic, eight regional subantarctic, and 12 occasional subantarctic species. A critical evaluation removed five species from the list, and one species has an unknown taxonomic status. The 42 Southern Ocean squids belong to three large taxonomic units, bathyteuthoids (n = 1 species), myopsids (n = 1), and oegopsids (n = 40). A high level of endemism (21 species, 50%, all oegopsids) characterizes the Southern Ocean teuthofauna. Seventeen families of oegopsids are represented, with three dominating families, onychoteuthids (seven species, five endemics), ommastrephids (six species, three endemics), and cranchiids (five species, three endemics). Recent improvements in beak identification and taxonomy allowed making new correspondence between beak and species names, such as Galiteuthis suhmi (Hoyle 1886), Liguriella podophtalma Issel, 1908, and the recently described Taonius notalia Evans, in prep. Gonatus phoebetriae beaks were synonymized with those of Gonatopsis octopedatus Sasaki, 1920, thus increasing significantly the number of records and detailing the circumpolar distribution of this rarely caught Southern Ocean squid. The review extends considerably the number of species, including endemics, recorded from the Southern Ocean, but it also highlights that the corresponding species to two well-described beaks (Moroteuthopsis sp. B and Psychroteuthis sp. B) are still unknown.</t>
  </si>
  <si>
    <t>[Cherel, Yves] La Rochelle Univ, Ctr Etud Biol Chize CEBC, CNRS, UMR 7372, F-79360 Villiers En Bois, France</t>
  </si>
  <si>
    <t>Centre National de la Recherche Scientifique (CNRS); CNRS - Institute of Ecology &amp; Environment (INEE)</t>
  </si>
  <si>
    <t>Cherel, Y (corresponding author), La Rochelle Univ, Ctr Etud Biol Chize CEBC, CNRS, UMR 7372, F-79360 Villiers En Bois, France.</t>
  </si>
  <si>
    <t>cherel@cebc.cnrs.fr</t>
  </si>
  <si>
    <t>Cherel, Yves/0000-0001-9469-9489</t>
  </si>
  <si>
    <t>Institut Polaire Francais Paul Emile Victor [109]</t>
  </si>
  <si>
    <t>Institut Polaire Francais Paul Emile Victor</t>
  </si>
  <si>
    <t>The present work was supported financially and logistically by the Institut Polaire Francais Paul Emile Victor (Program N degrees 109, C Barbraud).</t>
  </si>
  <si>
    <t>SPRINGER HEIDELBERG</t>
  </si>
  <si>
    <t>HEIDELBERG</t>
  </si>
  <si>
    <t>TIERGARTENSTRASSE 17, D-69121 HEIDELBERG, GERMANY</t>
  </si>
  <si>
    <t>1867-1616</t>
  </si>
  <si>
    <t>1867-1624</t>
  </si>
  <si>
    <t>MAR BIODIVERS</t>
  </si>
  <si>
    <t>Mar. Biodivers.</t>
  </si>
  <si>
    <t>10.1007/s12526-020-01113-4</t>
  </si>
  <si>
    <t>Biodiversity Conservation; Marine &amp; Freshwater Biology</t>
  </si>
  <si>
    <t>Biodiversity &amp; Conservation; Marine &amp; Freshwater Biology</t>
  </si>
  <si>
    <t>OO0ZI</t>
  </si>
  <si>
    <t>WOS:000587116500001</t>
  </si>
  <si>
    <t>Tierney, JE; Poulsen, CJ; Montañez, IP; Bhattacharya, T; Feng, R; Ford, HL; Hönisch, B; Inglis, GN; Petersen, SV; Sagoo, N; Tabor, CR; Thirumalai, K; Zhu, J; Burls, NJ; Foster, GL; Goddéris, Y; Huber, BT; Ivany, LC; Turner, SK; Lunt, DJ; McElwain, JC; Mills, BJW; Otto-Bliesner, BL; Ridgwell, A; Zhang, YG</t>
  </si>
  <si>
    <t>Tierney, Jessica E.; Poulsen, Christopher J.; Montanez, Isabel P.; Bhattacharya, Tripti; Feng, Ran; Ford, Heather L.; Honisch, Barbel; Inglis, Gordon N.; Petersen, Sierra V.; Sagoo, Navjit; Tabor, Clay R.; Thirumalai, Kaustubh; Zhu, Jiang; Burls, Natalie J.; Foster, Gavin L.; Godderis, Yves; Huber, Brian T.; Ivany, Linda C.; Turner, Sandra Kirtland; Lunt, Daniel J.; McElwain, Jennifer C.; Mills, Benjamin J. W.; Otto-Bliesner, Bette L.; Ridgwell, Andy; Zhang, Yi Ge</t>
  </si>
  <si>
    <t>Past climates inform our future</t>
  </si>
  <si>
    <t>SCIENCE</t>
  </si>
  <si>
    <t>ANTARCTIC ICE-SHEET; SEA-LEVEL; CARBON; MODEL; TEMPERATURE; CIRCULATION; OCEAN; WARM; SENSITIVITY; RECORD</t>
  </si>
  <si>
    <t>As the world warms, there is a profound need to improve projections of climate change. Although the latest Earth system models offer an unprecedented number of features, fundamental uncertainties continue to cloud our view of the future. Past climates provide the only opportunity to observe how the Earth system responds to high carbon dioxide, underlining a fundamental role for paleoclimatology in constraining future climate change. Here, we review the relevancy of paleoclimate information for climate prediction and discuss the prospects for emerging methodologies to further insights gained from past climates. Advances in proxy methods and interpretations pave the way for the use of past climates for model evaluation-a practice that we argue should be widely adopted.</t>
  </si>
  <si>
    <t>[Tierney, Jessica E.; Thirumalai, Kaustubh] Univ Arizona, Dept Geosci, Tucson, AZ 85721 USA; [Poulsen, Christopher J.; Petersen, Sierra V.; Zhu, Jiang] Univ Michigan, Dept Earth &amp; Environm Sci, Ann Arbor, MI 48109 USA; [Montanez, Isabel P.] Univ Calif Davis, Dept Earth &amp; Planetary Sci, Davis, CA 95616 USA; [Bhattacharya, Tripti; Ivany, Linda C.] Syracuse Univ, Dept Earth &amp; Environm Sci, Syracuse, NY USA; [Feng, Ran; Tabor, Clay R.] Univ Connecticut, Dept Geosci, Storrs, CT USA; [Ford, Heather L.] Queen Mary Univ London, Sch Geog, London, England; [Honisch, Barbel] Columbia Univ, Lamont Doherty Earth Observ, Palisades, NY USA; [Inglis, Gordon N.; Foster, Gavin L.] Columbia Univ, Dept Earth &amp; Environm Sci, Palisades, NY USA; [Inglis, Gordon N.; Foster, Gavin L.] Univ Southampton, Sch Ocean &amp; Earth Sci, Natl Oceanog Ctr Southampton, Southampton, Hants, England; [Sagoo, Navjit] Univ Stockholm, Dept Meteorol, Stockholm, Sweden; [Burls, Natalie J.] George Mason Univ, Dept Atmospher Ocean &amp; Earth Sci, Fairfax, VA 22030 USA; [Godderis, Yves] CNRS, Geosci Environm Toulouse, Toulouse, France; [Huber, Brian T.] Smithsonian Natl Museum Nat Hist, Dept Paleobiol, Washington, DC USA; [Turner, Sandra Kirtland; Ridgwell, Andy] Univ Calif Riverside, Dept Earth Sci, Riverside, CA 92521 USA; [Lunt, Daniel J.] Univ Bristol, Sch Geog Sci, Bristol, Avon, England; [McElwain, Jennifer C.] Trinity Coll Dublin, Dept Bot, Dublin, Ireland; [Mills, Benjamin J. W.] Univ Leeds, Sch Earth &amp; Environm, Leeds, W Yorkshire, England; [Otto-Bliesner, Bette L.] Natl Ctr Atmospher Res, POB 3000, Boulder, CO 80307 USA; [Zhang, Yi Ge] Texas A&amp;M Univ, Dept Oceanog, College Stn, TX 77843 USA</t>
  </si>
  <si>
    <t>University of Arizona; University of Michigan System; University of Michigan; University of California System; University of California Davis; Syracuse University; University of Connecticut; University of London; Queen Mary University London; Columbia University; Columbia University; University of Southampton; NERC National Oceanography Centre; Stockholm University; George Mason University; Centre National de la Recherche Scientifique (CNRS); Universite de Toulouse; Universite Toulouse III - Paul Sabatier; Smithsonian Institution; Smithsonian National Museum of Natural History; University of California System; University of California Riverside; University of Bristol; Trinity College Dublin; University of Leeds; National Center Atmospheric Research (NCAR) - USA; Texas A&amp;M University System; Texas A&amp;M University College Station</t>
  </si>
  <si>
    <t>Tierney, JE (corresponding author), Univ Arizona, Dept Geosci, Tucson, AZ 85721 USA.</t>
  </si>
  <si>
    <t>jesst@email.arizona.edu</t>
  </si>
  <si>
    <t>McElwain, Jenny/AAX-1605-2020; Zhu, Jiang/H-6040-2011; Zhang, Yige/R-6330-2018; Feng, Ran/HPE-3363-2023; Foster, Gavin/CAF-4654-2022; Ford, Heather/CAG-7894-2022; Hoenisch, Baerbel/ABF-4968-2021; Foster, Gavin/W-5968-2019; Ridgwell, Andy/AAD-9487-2021; Thirumalai, Kaustubh/N-2511-2014; Poulsen, Chris/C-6213-2009; Lunt, Daniel/G-9451-2011</t>
  </si>
  <si>
    <t>McElwain, Jenny/0000-0002-1729-6755; Zhu, Jiang/0000-0002-0908-5130; Foster, Gavin/0000-0003-3688-9668; Hoenisch, Baerbel/0000-0001-5844-3398; Ridgwell, Andy/0000-0003-2333-0128; Petersen, Sierra/0000-0002-4498-9776; Sagoo, Navjit/0000-0002-1738-6013; Thirumalai, Kaustubh/0000-0002-7875-4182; Mills, Benjamin/0000-0002-9141-0931; Burls, Natalie/0000-0002-6950-3808; Poulsen, Chris/0000-0001-5104-4271; Tabor, Clay/0000-0002-9915-6157; Lunt, Daniel/0000-0003-3585-6928; Montanez, Isabel/0000-0003-0492-3796; Inglis, Gordon/0000-0002-0032-4668; Bhattacharya, Tripti/0000-0002-5528-3760</t>
  </si>
  <si>
    <t>Heising-Simons Foundation [2016-015, 2015-145]; National Center for Atmospheric Research; National Science Foundation [1852977]; NERC [NE/N015045/2, NE/P01903X/1, NE/P019048/1] Funding Source: UKRI</t>
  </si>
  <si>
    <t>Heising-Simons Foundation; National Center for Atmospheric Research; National Science Foundation(National Science Foundation (NSF)); NERC(UK Research &amp; Innovation (UKRI)Natural Environment Research Council (NERC))</t>
  </si>
  <si>
    <t>J.E.T. and C.J.P. acknowledge support from grant no. 2016-015 from the Heising-Simons Foundation. S.K.T. acknowledges support from grant no. 2015-145 from the Heising-Simons Foundation. B.L.O.-B. acknowledges support from the National Center for Atmospheric Research, which is a major facility sponsored by the National Science Foundation under cooperative agreement no. 1852977.</t>
  </si>
  <si>
    <t>AMER ASSOC ADVANCEMENT SCIENCE</t>
  </si>
  <si>
    <t>WASHINGTON</t>
  </si>
  <si>
    <t>1200 NEW YORK AVE, NW, WASHINGTON, DC 20005 USA</t>
  </si>
  <si>
    <t>0036-8075</t>
  </si>
  <si>
    <t>1095-9203</t>
  </si>
  <si>
    <t>Science</t>
  </si>
  <si>
    <t>+</t>
  </si>
  <si>
    <t>eaay3701</t>
  </si>
  <si>
    <t>10.1126/science.aay3701</t>
  </si>
  <si>
    <t>ON7IB</t>
  </si>
  <si>
    <t>Green Submitted, Green Accepted</t>
  </si>
  <si>
    <t>WOS:000586868600034</t>
  </si>
  <si>
    <t>Visch, W; Bergström, P; Nylund, GM; Peterson, M; Pavia, H; Lindegarth, M</t>
  </si>
  <si>
    <t>Visch, Wouter; Bergstrom, Per; Nylund, Goran M.; Peterson, My; Pavia, Henrik; Lindegarth, Mats</t>
  </si>
  <si>
    <t>Spatial differences in growth rate and nutrient mitigation of two co-cultivated, extractive species: The blue mussel (Mytilus edulis) and the kelp (Saccharina latissima)</t>
  </si>
  <si>
    <t>ESTUARINE COASTAL AND SHELF SCIENCE</t>
  </si>
  <si>
    <t>Aquaculture; Blue mussels; Kelp; Nutrient mitigation; Saccharina; Site selection</t>
  </si>
  <si>
    <t>BALTIC SEA CONSIDERATION; LONG-ISLAND SOUND; BIOCHEMICAL-COMPOSITION; LAMINARIA-SACCHARINA; SEASONAL-VARIATION; REDUCTION MEASURE; NITROGEN REMOVAL; SALMO-SALAR; COASTAL; AQUACULTURE</t>
  </si>
  <si>
    <t>Cultivation of extractive species, such as bivalves and seaweeds, provides opportunities for food production while removing excess nutrients in eutrophic coastal waters. However, to optimize these ecosystem services, selecting aquaculture sites that affect growth and nutrient uptake is important. In a transplant experiment we assessed spatial growth patterns of the blue mussel Mytilus edulis and the kelp Saccharina latissima, which were used to estimate nutrient removal. Optimal locations for growth and nutrient extraction differed, mussels grew better in relatively sheltered inner coastal areas, whereas seaweed growth increased in outer more exposed coastal areas. Estimates of mitigatory capacity indicated that under the best available conditions, mussels remove approximately 700 kg N and 6600 kg C ha(-1) yr(-1), whereas seaweed removes approximately 100 kg N and 1000 kg C ha(-1) yr(-1). We identified the importance of site selection for the overall capacity of two extractive species (bivalves and seaweeds) in order to synergistically maximise their growth and nutrient mitigation.</t>
  </si>
  <si>
    <t>[Visch, Wouter; Nylund, Goran M.; Peterson, My; Pavia, Henrik; Lindegarth, Mats] Univ Gothenburg, Dept Marine Sci, Tjarno Marine Lab, SE-45296 Stromstad, Sweden; [Bergstrom, Per] Univ Gothenburg, Dept Marine Sci, Gothenburg, Sweden; [Visch, Wouter] Univ Tasmania, Inst Marine &amp; Antarctic Studies, 20 Castray Esplanade,Battery Point, Hobart, Tas 7004, Australia</t>
  </si>
  <si>
    <t>University of Gothenburg; University of Gothenburg; University of Tasmania</t>
  </si>
  <si>
    <t>Visch, W (corresponding author), Univ Gothenburg, Dept Marine Sci, Tjarno Marine Lab, SE-45296 Stromstad, Sweden.;Visch, W (corresponding author), Univ Tasmania, Inst Marine &amp; Antarctic Studies, 20 Castray Esplanade,Battery Point, Hobart, Tas 7004, Australia.</t>
  </si>
  <si>
    <t>wouter.visch@utas.edu.au</t>
  </si>
  <si>
    <t>Visch, Wouter/0000-0003-4291-6239</t>
  </si>
  <si>
    <t>Swedish Foundation for Strategic Environmental Research MISTRA [2013/75]; Swedish Research Council Formas [213-2013-92]; Swedish Agency for Marine and Water Management [4356-2016]</t>
  </si>
  <si>
    <t>Swedish Foundation for Strategic Environmental Research MISTRA(Swedish Foundation for Strategic Research); Swedish Research Council Formas(Swedish Research Council Formas); Swedish Agency for Marine and Water Management</t>
  </si>
  <si>
    <t>This work was associated with the Swedish Mariculture Research Center (SWEMARC), Center for Sea and Society, University of Gothenburg. It was supported by The Swedish Foundation for Strategic Environmental Research MISTRA (grant no. 2013/75), The Swedish Research Council Formas (grant no. 213-2013-92), and partly funded by the Swedish Agency for Marine and Water Management, contract no 4356-2016, to the BONUS project OPTIMUS - Optimization of Mussel mitigation culture for fish feed in the Baltic Sea.</t>
  </si>
  <si>
    <t>ACADEMIC PRESS LTD- ELSEVIER SCIENCE LTD</t>
  </si>
  <si>
    <t>24-28 OVAL RD, LONDON NW1 7DX, ENGLAND</t>
  </si>
  <si>
    <t>0272-7714</t>
  </si>
  <si>
    <t>1096-0015</t>
  </si>
  <si>
    <t>ESTUAR COAST SHELF S</t>
  </si>
  <si>
    <t>Estuar. Coast. Shelf Sci.</t>
  </si>
  <si>
    <t>NOV 5</t>
  </si>
  <si>
    <t>10.1016/j.ecss.2020.107019</t>
  </si>
  <si>
    <t>Marine &amp; Freshwater Biology; Oceanography</t>
  </si>
  <si>
    <t>OU6KL</t>
  </si>
  <si>
    <t>WOS:000591635300001</t>
  </si>
  <si>
    <t>Weinhart, AH; Freitag, J; Hörhold, M; Kipfstuhl, S; Eisen, O</t>
  </si>
  <si>
    <t>Weinhart, Alexander H.; Freitag, Johannes; Hoerhold, Maria; Kipfstuhl, Sepp; Eisen, Olaf</t>
  </si>
  <si>
    <t>Representative surface snow density on the East Antarctic Plateau</t>
  </si>
  <si>
    <t>DRONNING MAUD-LAND; KOHNEN STATION; MASS-BALANCE; ICE-CORE; ACCUMULATION RATE; ELEVATION CHANGES; DOME FUJI; FIRN; CLIMATE; MODEL</t>
  </si>
  <si>
    <t>Surface mass balances of polar ice sheets are essential to estimate the contribution of ice sheets to sea level rise. Uncertain snow and firn densities lead to significant uncertainties in surface mass balances, especially in the interior regions of the ice sheets, such as the East Antarctic Plateau (EAP). Robust field measurements of surface snow density are sparse and challenging due to local noise. Here, we present a snow density dataset from an overland traverse in austral summer 2016/17 on the Dronning Maud Land plateau. The sampling strategy using 1 m carbon fiber tubes covered various spatial scales, as well as a high-resolution study in a trench at 79 degrees S, 30 degrees E. The 1 m snow density has been derived volumetrically, and vertical snow profiles have been measured using a core-scale microfocus X-ray computer tomograph. With an error of less than 2 %, our method provides higher precision than other sampling devices of smaller volume. With four spatially independent snow profiles per location, we reduce the local noise and derive a representative 1m snow density with an error of the mean of less than 1.5 %. Assessing sampling methods used in previous studies, we find the highest horizontal variability in density in the upper 0.3 m and therefore recommend the 1 m snow density as a robust measure of surface snow density in future studies. The average 1 m snow density across the EAP is 355 kg m(-3), which we identify as representative surface snow density between Kohnen Station and Dome Fuji. We cannot detect a temporal trend caused by the temperature increase over the last 2 decades. A difference of more than 10% to the density of 320 kg m(-3) suggested by a semiempirical firn model for the same region indicates the necessity for further calibration of surface snow density parameterizations. Our data provide a solid baseline for tuning the surface snow density parameterizations for regions with low accumulation and low temperatures like the EAP.</t>
  </si>
  <si>
    <t>[Weinhart, Alexander H.; Freitag, Johannes; Hoerhold, Maria; Kipfstuhl, Sepp; Eisen, Olaf] Alfred Wegener Inst Helmholtz Zentrum Polar &amp; Mee, Bremerhaven, Germany; [Kipfstuhl, Sepp] Univ Copenhagen, Niels Bohr Inst, Phys Ice Climate &amp; Earth, Copenhagen, Denmark; [Eisen, Olaf] Univ Bremen, Fachbereich Geowissensch, Bremen, Germany</t>
  </si>
  <si>
    <t>Helmholtz Association; Alfred Wegener Institute, Helmholtz Centre for Polar &amp; Marine Research; University of Copenhagen; Niels Bohr Institute; University of Bremen</t>
  </si>
  <si>
    <t>Weinhart, AH (corresponding author), Alfred Wegener Inst Helmholtz Zentrum Polar &amp; Mee, Bremerhaven, Germany.</t>
  </si>
  <si>
    <t>alexander.weinhart@awi.de</t>
  </si>
  <si>
    <t>Hörhold, Maria/IST-9483-2023</t>
  </si>
  <si>
    <t>Eisen, Olaf/0000-0002-6380-962X; Freitag, Johannes/0000-0003-2654-9440; Weinhart, Alexander Helmut/0000-0003-2856-2630</t>
  </si>
  <si>
    <t>German environmental foundation (Deutsche Bundesstiftung Umwelt)</t>
  </si>
  <si>
    <t>Alexander Weinhart is funded by the German environmental foundation (Deutsche Bundesstiftung Umwelt).</t>
  </si>
  <si>
    <t>10.5194/tc-14-3663-2020</t>
  </si>
  <si>
    <t>OR3GJ</t>
  </si>
  <si>
    <t>WOS:000589361800001</t>
  </si>
  <si>
    <t>Leong, WJ; Horgan, HJ</t>
  </si>
  <si>
    <t>Leong, Wei Ji; Horgan, Huw Joseph</t>
  </si>
  <si>
    <t>DeepBedMap: a deep neural network for resolving the bed topography of Antarctica</t>
  </si>
  <si>
    <t>ICE-THICKNESS DISTRIBUTION; WEST ANTARCTICA; ELEVATION; GLACIER; ROUGHNESS; SURFACE; BENEATH; STREAM; LANDFORMS; PATTERN</t>
  </si>
  <si>
    <t>To resolve the bed elevation of Antarctica, we present DeepBedMap - a novel machine learning method that can produce Antarctic bed topography with adequate surface roughness from multiple remote sensing data inputs. The super-resolution deep convolutional neural network model is trained on scattered regions in Antarctica where high-resolution (250 m) ground-truth bed elevation grids are available. This model is then used to generate high-resolution bed topography in less surveyed areas. DeepBedMap improves on previous interpolation methods by not restricting itself to a low-spatial-resolution (1000 m) BEDMAP2 raster image as its prior image. It takes in additional high-spatial-resolution datasets, such as ice surface elevation, velocity and snow accumulation, to better inform the bed topography even in the absence of ice thickness data from direct ice-penetrating-radar surveys. The DeepBedMap model is based on an adapted architecture of the Enhanced Super-Resolution Generative Adversarial Network, chosen to minimize perpixel elevation errors while producing realistic topography. The final product is a four-times-upsampled (250 m) bed elevation model of Antarctica that can be used by glaciologists interested in the subglacial terrain and by ice sheet modellers wanting to run catchment- or continent-scale ice sheet model simulations. We show that DeepBedMap offers a rougher topographic profile compared to the standard bicubically interpolated BEDMAP2 and BedMachine Antarctica and envision it being used where a high-resolution bed elevation model is required.</t>
  </si>
  <si>
    <t>[Leong, Wei Ji; Horgan, Huw Joseph] Victoria Univ Wellington, Antarctic Res Ctr, Wellington, New Zealand</t>
  </si>
  <si>
    <t>Victoria University Wellington</t>
  </si>
  <si>
    <t>Leong, WJ; Horgan, HJ (corresponding author), Victoria Univ Wellington, Antarctic Res Ctr, Wellington, New Zealand.</t>
  </si>
  <si>
    <t>weiji.leong@vuw.ac.nz; huw.horgan@vuw.ac.nz</t>
  </si>
  <si>
    <t>Leong, Wei Ji/AAC-7489-2021</t>
  </si>
  <si>
    <t>Leong, Wei Ji/0000-0003-2354-1988; Horgan, Huw/0000-0002-4836-0078</t>
  </si>
  <si>
    <t>Royal Society of New Zealand (Rutherford Discovery Fellowship) [RDF-VUW1602]</t>
  </si>
  <si>
    <t>Royal Society of New Zealand (Rutherford Discovery Fellowship)(Royal Society of New Zealand)</t>
  </si>
  <si>
    <t>This research has been supported by the Royal Society of New Zealand (Rutherford Discovery Fellowship -contract no. RDF-VUW1602).</t>
  </si>
  <si>
    <t>10.5194/tc-14-3687-2020</t>
  </si>
  <si>
    <t>Green Submitted, gold</t>
  </si>
  <si>
    <t>WOS:000589361800002</t>
  </si>
  <si>
    <t>Rivas-Martínez, S; del Río, S; Penas, A; Herrero, L; Prieto, I; Alvarez, M; Díaz, TE; Molero, J; Rivas-Sáenz, S; Cantó, P; Costa, M; Sancho, LG</t>
  </si>
  <si>
    <t>Rivas-Martinez, Salvador; del Rio, Sara; Penas, Angel; Herrero, Luis; Prieto, Ignacio; Alvarez, Miguel; Diaz, Tomas E.; Molero, Joaquin; Rivas-Saenz, Salvador; Canto, Paloma; Costa, Manuel; Sancho, Leopoldo G.</t>
  </si>
  <si>
    <t>Biogeographical and bioclimatic outline of Antarctica</t>
  </si>
  <si>
    <t>PLANT BIOSYSTEMS</t>
  </si>
  <si>
    <t>Bioclimatology; biogeography; cartography; chionotype; flora; the Antarctic</t>
  </si>
  <si>
    <t>VEGETATION; CLASSIFICATION; ECOLOGY; LIFE</t>
  </si>
  <si>
    <t>This study proposes a bioclimatic characterization and a new biogeographic division for the Antarctic territories up to the province level following the criteria and models of Rivas-Martinez et al. The Antarctic Kingdom comprises the continent of Antarctica, the surrounding ice-covered Antarctic islands, and the associated cold oceanic islands and archipelagos. It has two biogeographic regions: the Antarctic Region and the Subantarctic Insular Region. The Antarctic Region includes the entire pergelid Antarctic continent and the surrounding islands and archipelagos, and is characterized by upper suprapolar hyperoceanic and oceanic or Polar pergelid bioclimates on the coasts. The region has been divided into three pr6ovinces: Maritime Antarctica, West Antarctica and East Antarctica. The Subantarctic Insular Region comprises the circumantarctic islands and archipelagos that are widespread at the southern tip of the planet's most important oceans, mostly in the subtemperate latitudinal zone inside or not far from the Antarctic Convergence. Bioclimatically, all insular subantarctic territories (excluding the South-American Tierra de Fuego, Terra Magellanica and large islands) are characterized by thermo-suprapolar and semipolar antarctic hyperoceanic bioclimates on the coasts. Four provinces - Falklandian-South Georgian, Kerguelenian, Macquarian and Aucklandian-Campbellian - have been recognized in this region. All these units are characterized by floristic bioindicators.</t>
  </si>
  <si>
    <t>[Rivas-Martinez, Salvador; Rivas-Saenz, Salvador] Phytosociol Res Ctr, Madrid, Spain; [del Rio, Sara; Penas, Angel; Herrero, Luis] Univ Leon, Mt Livestock Inst CSIC UNILEON, Fac Biol &amp; Environm Sci, Dept Biodivers &amp; Environm Management Bot, E-24071 Leon, Spain; [Prieto, Ignacio; Alvarez, Miguel] Univ Leon, Cartog Serv, Leon, Spain; [Diaz, Tomas E.] Univ Oviedo, Dept Organisms &amp; Syst, Fac Biol, Oviedo, Spain; [Molero, Joaquin] Univ Granada, Dept Bot, Fac Pharm, Campus Cartuja, Granada, Spain; [Canto, Paloma; Sancho, Leopoldo G.] Univ Complutense Madrid, Dept Plant Biol 2, Fac Pharm, Madrid, Spain; [Costa, Manuel] Univ Valencia, Bot Garden, Valencia, Spain</t>
  </si>
  <si>
    <t>Universidad de Leon; Universidad de Leon; University of Oviedo; University of Granada; Complutense University of Madrid; University of Valencia</t>
  </si>
  <si>
    <t>del Río, S (corresponding author), Univ Leon, Mt Livestock Inst CSIC UNILEON, Fac Biol &amp; Environm Sci, Dept Biodivers &amp; Environm Management Bot, E-24071 Leon, Spain.</t>
  </si>
  <si>
    <t>sriog@unileon.es</t>
  </si>
  <si>
    <t>SANCHO, LEOPOLDO G/G-9120-2015; del Río, Sara/B-4023-2011</t>
  </si>
  <si>
    <t>del Río, Sara/0000-0002-0733-2150</t>
  </si>
  <si>
    <t>TAYLOR &amp; FRANCIS LTD</t>
  </si>
  <si>
    <t>ABINGDON</t>
  </si>
  <si>
    <t>2-4 PARK SQUARE, MILTON PARK, ABINGDON OR14 4RN, OXON, ENGLAND</t>
  </si>
  <si>
    <t>1126-3504</t>
  </si>
  <si>
    <t>1724-5575</t>
  </si>
  <si>
    <t>PLANT BIOSYST</t>
  </si>
  <si>
    <t>Plant Biosyst.</t>
  </si>
  <si>
    <t>10.1080/11263504.2020.1840455</t>
  </si>
  <si>
    <t>PG0EK</t>
  </si>
  <si>
    <t>Green Submitted</t>
  </si>
  <si>
    <t>WOS:000587558900001</t>
  </si>
  <si>
    <t>Tyler, J; Bonfitto, MT; Clucas, GV; Reddy, S; Younger, JL</t>
  </si>
  <si>
    <t>Tyler, Joshua; Bonfitto, Matthew T.; Clucas, Gemma V.; Reddy, Sushma; Younger, Jane L.</t>
  </si>
  <si>
    <t>Morphometric and genetic evidence for four species of gentoo penguin</t>
  </si>
  <si>
    <t>ECOLOGY AND EVOLUTION</t>
  </si>
  <si>
    <t>Antarctica; integrative taxonomy; new species; Pygoscelis; Southern Ocean</t>
  </si>
  <si>
    <t>PYGOSCELIS-PAPUA; POPULATION TRENDS; DIVERSITY; REVEALS; CLIMATE; BIRDS</t>
  </si>
  <si>
    <t>Gentoo penguins (Pygoscelis papua) are found across the Southern Ocean with a circumpolar distribution and notable genetic and morphological variation across their geographic range. Whether this geographic variation represents species-level diversity has yet to be investigated in an integrative taxonomic framework. Here, we show that four distinct populations of gentoo penguins (Iles Kerguelen, Falkland Islands, South Georgia, and South Shetlands/Western Antarctic Peninsula) are genetically and morphologically distinct from one another. We present here a revised taxonomic treatment including formal nomenclatural changes. We suggest the designation of four species of gentoo penguin: P. papua in the Falkland Islands, P. ellsworthi in the South Shetland Islands/Western Antarctic Peninsula, P. taeniata in Iles Kerguelen, and a new gentoo species P. poncetii, described herein, in South Georgia. These findings of cryptic diversity add to many other such findings across the avian tree of life in recent years. Our results further highlight the importance of reassessing species boundaries as methodological advances are made, particularly for taxa of conservation concern. We recommend reassessment by the IUCN of each species, particularly P. taeniata and P. poncetii, which both show evidence of decline.</t>
  </si>
  <si>
    <t>[Tyler, Joshua; Younger, Jane L.] Univ Bath, Dept Biol &amp; Biochem, Milner Ctr Evolut, Bath BA2 7AY, Avon, England; [Bonfitto, Matthew T.] Loyola Univ, Dept Biol, Chicago, IL 60626 USA; [Clucas, Gemma V.] Cornell Univ, Cornell Lab Ornithol, Ithaca, NY USA; [Clucas, Gemma V.] Cornell Univ, Cornell Atkinson Ctr Sustainable Future, Ithaca, NY USA; [Reddy, Sushma] Univ Minnesota, Bell Museum Nat Hist, Dept Fisheries Wildlife &amp; Conservat Biol, St Paul, MN 55108 USA</t>
  </si>
  <si>
    <t>University of Bath; Loyola University Chicago; Cornell University; Cornell University; University of Minnesota System; University of Minnesota Twin Cities</t>
  </si>
  <si>
    <t>Tyler, J (corresponding author), Univ Bath, Dept Biol &amp; Biochem, Milner Ctr Evolut, Bath BA2 7AY, Avon, England.</t>
  </si>
  <si>
    <t>jmbt20@bath.ac.uk</t>
  </si>
  <si>
    <t>Clucas, Gemma/ABF-9073-2021</t>
  </si>
  <si>
    <t>Reddy, Sushma/0000-0001-7263-0763; Younger, Jane/0000-0001-5974-7350; Tyler, Josh/0000-0002-2917-3621; Clucas, Gemma/0000-0002-4305-1719</t>
  </si>
  <si>
    <t>Evolution Education Trust Studentship; American Museum of Natural History; American Ornithological Society; Linnean Society of London</t>
  </si>
  <si>
    <t>2045-7758</t>
  </si>
  <si>
    <t>ECOL EVOL</t>
  </si>
  <si>
    <t>Ecol. Evol.</t>
  </si>
  <si>
    <t>DEC</t>
  </si>
  <si>
    <t>10.1002/ece3.6973</t>
  </si>
  <si>
    <t>Ecology; Evolutionary Biology</t>
  </si>
  <si>
    <t>Environmental Sciences &amp; Ecology; Evolutionary Biology</t>
  </si>
  <si>
    <t>PL4ES</t>
  </si>
  <si>
    <t>WOS:000585383300001</t>
  </si>
  <si>
    <t>Brown, KE; King, CK; Harrison, PL</t>
  </si>
  <si>
    <t>Brown, Kathryn E.; King, Catherine K.; Harrison, Peter L.</t>
  </si>
  <si>
    <t>Impacts of Petroleum Fuels on Fertilization and Development of the Antarctic Sea Urchin Sterechinus neumayeri</t>
  </si>
  <si>
    <t>ENVIRONMENTAL TOXICOLOGY AND CHEMISTRY</t>
  </si>
  <si>
    <t>Marine toxicity tests; Invertebrate toxicology; Oil spills; Polycyclic Aromatic hydrocarbons; Echinoid; Larval</t>
  </si>
  <si>
    <t>CRUDE-OIL; BAHIA-PARAISO; DIESEL FUEL; DISPERSANT TOXICITY; ARTHUR HARBOR; EMBRYOS; LARVAE; HYDROCARBONS; SENSITIVITY; ABUNDANCE</t>
  </si>
  <si>
    <t>Antarctic marine environments are at risk from petroleum fuel spills as shipping activities in the Southern Ocean increase. Knowledge of the sensitivity of Antarctic species to fuels under environmentally realistic exposure conditions is lacking. We determined the toxicity of 3 fuels, Special Antarctic Blend diesel (SAB), marine gas oil (MGO), and intermediate fuel oil (IFO 180) to a common Antarctic sea urchin, Sterechinus neumayeri. Sensitivity was estimated for early developmental stages from fertilization to the early 4-arm pluteus in toxicity tests of up to 24 d duration. The effects of the water accommodated fractions (WAFs) of fuels were investigated under different exposure scenarios to determine the relative sensitivity of stages and of different exposure regimes. Sensitivity to fuel WAFs increased through development. Both MGO and IFO 180 were more toxic than SAB, with median effect concentration values for the most sensitive pluteus stage of 3.5, 6.5, and 252 mu g/L total hydrocarbon content, respectively. Exposure to a single pulse during fertilization and early embryonic development showed toxicity patterns similar to those observed from continuous exposure. The results show that exposure to fuel WAFs during critical early life stages affects the subsequent viability of larvae, with consequent implications for reproductive success. The sensitivity estimates for S. neumayeri that we generated can be utilized in risk assessments for the management of Antarctic marine ecosystems. Environ Toxicol Chem 2020;00:1-13. (c) 2020 SETAC</t>
  </si>
  <si>
    <t>[Brown, Kathryn E.; King, Catherine K.] Australian Antarctic Div, Environm Protect, Kingston, Tas, Australia; [Brown, Kathryn E.; Harrison, Peter L.] Southern Cross Univ, Marine Ecol Res Ctr, Lismore, NSW, Australia</t>
  </si>
  <si>
    <t>Australian Antarctic Division; Southern Cross University</t>
  </si>
  <si>
    <t>Brown, KE (corresponding author), Australian Antarctic Div, Environm Protect, Kingston, Tas, Australia.;Brown, KE (corresponding author), Southern Cross Univ, Marine Ecol Res Ctr, Lismore, NSW, Australia.</t>
  </si>
  <si>
    <t>Kathryn.Brown@aad.gov.au</t>
  </si>
  <si>
    <t>Brown, Kathryn/AAE-9933-2021; Harrison, Peter L/B-4763-2011; King, Catherine/G-7059-2017</t>
  </si>
  <si>
    <t>Brown, Kathryn/0000-0002-9093-8742; King, Catherine/0000-0003-3356-0381</t>
  </si>
  <si>
    <t>Australian Antarctic Division; Australian Antarctic Science grant [AAS 3054]; Australian Postgraduate Award through Southern Cross University; Australian Antarctic Division (AAD) [2010/11]</t>
  </si>
  <si>
    <t>Australian Antarctic Division; Australian Antarctic Science grant; Australian Postgraduate Award through Southern Cross University; Australian Antarctic Division (AAD)</t>
  </si>
  <si>
    <t>The present study was supported by the Australian Antarctic Division, and funded through an Australian Antarctic Science grant to P. Harrison (AAS 3054) and an Australian Postgraduate Award to K. Brown through Southern Cross University. The authors would like to acknowledge members of the Australian Antarctic Division (AAD) 2010/11 summer expedition at Davis for support during field collections, and M. Ho, J. Ericson, and S. Payne for assistance with sea urchin spawning and test preparation. We thank L. Wise and K. Kotzakoulakis for chemical analysis of samples, and we are grateful for the provision of fuel samples by BP Australia and the engineering crew of RSV Aurora Australis of the AAD Voyage 3 of 2009/10. We thank J. Wasley and T. Raymond and the anonymous reviewers for comments on the draft manuscript.</t>
  </si>
  <si>
    <t>0730-7268</t>
  </si>
  <si>
    <t>1552-8618</t>
  </si>
  <si>
    <t>ENVIRON TOXICOL CHEM</t>
  </si>
  <si>
    <t>Environ. Toxicol. Chem.</t>
  </si>
  <si>
    <t>10.1002/etc.4878</t>
  </si>
  <si>
    <t>Environmental Sciences; Toxicology</t>
  </si>
  <si>
    <t>Environmental Sciences &amp; Ecology; Toxicology</t>
  </si>
  <si>
    <t>PN6ZQ</t>
  </si>
  <si>
    <t>WOS:000585350400001</t>
  </si>
  <si>
    <t>Bilyk, KT; Zhuang, X; Vargas-Chacoff, L; Cheng, CHC</t>
  </si>
  <si>
    <t>Bilyk, Kevin T.; Zhuang, Xuan; Vargas-Chacoff, Luis; Cheng, C-H Christina</t>
  </si>
  <si>
    <t>Evolution of chaperome gene expression and regulatory elements in the antarctic notothenioid fishes</t>
  </si>
  <si>
    <t>HEREDITY</t>
  </si>
  <si>
    <t>TRANSPOSABLE ELEMENTS; CONSTITUTIVE EXPRESSION; SEAWATER TEMPERATURES; TREMATOMUS-BERNACCHII; HEAT; STRESS; COLD; HSF1; REVEALS; HSP70</t>
  </si>
  <si>
    <t>Confined within the cold-stable Southern Ocean, Antarctic notothenioid fishes have undergone an evolutionary loss of the inducible heat shock response (HSR), while facing perpetual low-temperature challenges to cellular proteostasis. This study examines how evolution in chronic cold has affected the shared cellular apparatus that mediates proteostasis under normal and heat stressed states. To deduce Antarctic-specific changes, we compared native expression levels across the full suite of chaperome genes and assessed the structural integrity of two crucial HSR regulators - Heat Shock Factor 1 (HSF1) that activates HSR, and heat shock elements (HSEs), the binding sites for HSF1 - between Antarctic fishes and the basal temperate notothenioid Eleginops maclovinus. Native expression levels of Antarctic fish chaperomes showed very modest changes overall, contrary to the common view of constitutive upregulation in the cold. Only a few cytosolic HSP70 genes showed greater transcription, with only the ancestrally-inducible HSPA6 strongly upregulated across all Antarctic species. Additionally, the constant cold has apparently not relaxed the selective pressures on maintaining HSF1 and HSEs in Antarctic fish. Instead, we found HSF1 experienced intensified selective pressure, with conserved sequence changes in Antarctic species suggesting optimization for non-heat-stress functional roles. HSEs of the HSP70 gene family have largely remained conserved in canonical sequence motifs and copy numbers as in E. maclovinus, showing limited impact of relaxed selective pressure. This study shows that evolution in chronic cold has led to both subtle and distinctive changes in the cellular apparatus for proteostasis and HSR, with functional consequences amenable to experimental evaluation.</t>
  </si>
  <si>
    <t>[Bilyk, Kevin T.] Montclair State Univ, Dept Biol, 1 Normal Ave, Montclair, NJ 07043 USA; [Zhuang, Xuan] Univ Arkansas, Dept Biol Sci, Fayetteville, AR 72701 USA; [Vargas-Chacoff, Luis] Univ Austral Chile, Ctr Fondap Invest Altas Latitudes IDEAL, Inst Ciencias Marinas &amp; Limnol, Lab Fisiol Peces, Valdivia, Chile; [Cheng, C-H Christina] Univ Illinois, Dept Evolut Ecol &amp; Behav, Urbana, IL 61801 USA</t>
  </si>
  <si>
    <t>Montclair State University; University of Arkansas System; University of Arkansas Fayetteville; Universidad Austral de Chile; University of Illinois System; University of Illinois Urbana-Champaign</t>
  </si>
  <si>
    <t>Bilyk, KT (corresponding author), Montclair State Univ, Dept Biol, 1 Normal Ave, Montclair, NJ 07043 USA.</t>
  </si>
  <si>
    <t>bilykk@montclair.edu</t>
  </si>
  <si>
    <t>Vargas-Chacoff, Luis LVCh/A-5855-2012</t>
  </si>
  <si>
    <t>Bilyk, Kevin/0000-0002-2262-2703; Zhuang, Xuan/0000-0002-1919-9764</t>
  </si>
  <si>
    <t>US National Science Foundation Division of Polar Programs grant [ANT-1142158]; Fondap-IDEAL [15150003]</t>
  </si>
  <si>
    <t>US National Science Foundation Division of Polar Programs grant; Fondap-IDEAL</t>
  </si>
  <si>
    <t>The authors thank Katherine R. Murphy for her thoughtful comments on the manuscript in its in initial preparation. A special thanks to Jeffery Haas, Director of Information Technology for the Schools of Integrative Biology and Molecular and Cellular Biology at the University of Illinois, Urbana Champaign, who unfailingly helped through a near endless series of software installation requests. This work was supported by the US National Science Foundation Division of Polar Programs grant ANT-1142158 to C-HCC and AL DeVries. LV-C was supported by Fondap-IDEAL 15150003. The funding agencies of this study played no role in the design, collection, analysis, and interpretation of data and writing of this manuscript.</t>
  </si>
  <si>
    <t>SPRINGERNATURE</t>
  </si>
  <si>
    <t>CAMPUS, 4 CRINAN ST, LONDON, N1 9XW, ENGLAND</t>
  </si>
  <si>
    <t>0018-067X</t>
  </si>
  <si>
    <t>1365-2540</t>
  </si>
  <si>
    <t>Heredity</t>
  </si>
  <si>
    <t>10.1038/s41437-020-00382-w</t>
  </si>
  <si>
    <t>Ecology; Evolutionary Biology; Genetics &amp; Heredity</t>
  </si>
  <si>
    <t>Environmental Sciences &amp; Ecology; Evolutionary Biology; Genetics &amp; Heredity</t>
  </si>
  <si>
    <t>QR9SM</t>
  </si>
  <si>
    <t>Green Published, Bronze</t>
  </si>
  <si>
    <t>WOS:000585903600001</t>
  </si>
  <si>
    <t>Ballinger, TJ; Hanna, E; Hall, RJ; Carr, JR; Brasher, S; Osterberg, EC; Cappelen, J; Tedesco, M; Ding, QH; Mernild, SH</t>
  </si>
  <si>
    <t>Ballinger, Thomas J.; Hanna, Edward; Hall, Richard J.; Carr, J. Rachel; Brasher, Saber; Osterberg, Erich C.; Cappelen, John; Tedesco, Marco; Ding, Qinghua; Mernild, Sebastian H.</t>
  </si>
  <si>
    <t>The role of blocking circulation and emerging open water feedbacks on Greenland cold-season air temperature variability over the last century</t>
  </si>
  <si>
    <t>INTERNATIONAL JOURNAL OF CLIMATOLOGY</t>
  </si>
  <si>
    <t>air temperatures; Greenland; Greenland Blocking Index; sea ice</t>
  </si>
  <si>
    <t>ICE-SHEET; MASS-LOSS; ATLANTIC; GLACIER; OSCILLATION; MELTWATER; RETREAT; SLOWDOWN; PATTERNS; DRIVERS</t>
  </si>
  <si>
    <t>Substantial marine, terrestrial, and atmospheric changes have occurred over the Greenland region during the last century. Several studies have documented record-levels of Greenland Ice Sheet (GrIS) summer melt extent during the 2000s and 2010s, but relatively little work has been carried out to assess regional climatic changes in other seasons. Here, we focus on the less studied cold-season (i.e., autumn and winter) climate, tracing the long-term (1873-2013) variability of Greenland's air temperatures through analyses of coastal observations and model-derived outlet glacier series and their linkages with North Atlantic sea ice, sea surface temperature (SST), and atmospheric circulation indices. Through a statistical framework, large amounts of west and south Greenland temperature variance (up to r(2) similar to 50%) can be explained by the seasonally-contemporaneous combination of the Greenland Blocking Index (GBI) and the North Atlantic Oscillation (NAO; hereafter the combination of GBI and NAO is termed GBI). Lagged and concomitant regional sea-ice concentration (SIC) and the Atlantic Multidecadal Oscillation (AMO) seasonal indices account for small amounts of residual air temperature variance (r(2) &lt; similar to 10%) relative to the GBI. The correlations between GBI and cold-season temperatures are predominantly positive and statistically-significant through time, while regional SIC conditions emerge as a significant covariate from the mid-20th century through the conclusion of the study period. The inclusion of the cold-season Pacific Decadal Oscillation (PDO) in multivariate analyses bolsters the air temperature variance explained by the North Atlantic regional predictors, suggesting the remote, background climate state is important to long-term Greenland temperature variability. These findings imply that large-scale tropospheric circulation has a strong control on surface temperature over Greenland through dynamic and thermodynamic impacts and stress the importance of understanding the evolving two-way linkages between the North Atlantic marine and atmospheric environment in order to more accurately predict Greenland seasonal climate variability and change through the 21st century.</t>
  </si>
  <si>
    <t>[Ballinger, Thomas J.] Univ Alaska Fairbanks, Int Arctic Res Ctr, Fairbanks, AK 99775 USA; [Hanna, Edward] Univ Lincoln, Sch Geog, Lincoln, England; [Hanna, Edward] Univ Lincoln, Lincoln Ctr Water &amp; Planetary Hlth, Lincoln, England; [Hall, Richard J.] Univ Bristol, Sch Geog Sci, Bristol, Avon, England; [Carr, J. Rachel] Newcastle Univ, Sch Geog Polit &amp; Sociol, Newcastle Upon Tyne, Tyne &amp; Wear, England; [Brasher, Saber] Univ Delaware, Dept Geog &amp; Spatial Sci, Newark, DE USA; [Osterberg, Erich C.] Dartmouth Coll, Dept Earth Sci, Hanover, NH 03755 USA; [Cappelen, John] Danish Meteorol Inst, Copenhagen, Denmark; [Tedesco, Marco] Columbia Univ, Lamont Doherty Earth Observ, Palisades, NY USA; [Tedesco, Marco] NASA, Goddard Inst Space Studies, New York, NY 10025 USA; [Ding, Qinghua] Univ Calif Santa Barbara, Dept Geog, Santa Barbara, CA 93106 USA; [Ding, Qinghua] Univ Calif Santa Barbara, Earth Res Inst, Santa Barbara, CA 93106 USA; [Mernild, Sebastian H.] Nansen Environm &amp; Remote Sensing Ctr, Bergen, Norway; [Mernild, Sebastian H.] Western Norway Univ Appl Sci, Dept Environm Sci, Sogndal, Norway; [Mernild, Sebastian H.] Univ Bergen, Inst Geophys, Bergen, Norway; [Mernild, Sebastian H.] Univ Magallanes, Antarctic &amp; Subantarctic Program, Punta Arenas, Chile</t>
  </si>
  <si>
    <t>University of Alaska System; University of Alaska Fairbanks; University of Lincoln; University of Lincoln; University of Bristol; Newcastle University - UK; University of Delaware; Dartmouth College; Danish Meteorological Institute DMI; Columbia University; National Aeronautics &amp; Space Administration (NASA); NASA Goddard Space Flight Center; Goddard Institute for Space Studies; University of California System; University of California Santa Barbara; University of California System; University of California Santa Barbara; Nansen Environmental &amp; Remote Sensing Center (NERSC); Western Norway University of Applied Sciences; University of Bergen; Universidad de Magallanes</t>
  </si>
  <si>
    <t>Ballinger, TJ (corresponding author), Univ Alaska Fairbanks, Int Arctic Res Ctr, Fairbanks, AK 99775 USA.</t>
  </si>
  <si>
    <t>tjballinger@alaska.edu</t>
  </si>
  <si>
    <t>Brasher, Saber/AAF-3477-2020; Hanna, Edward/W-5927-2019; Mernild, Sebastian H./M-5516-2013</t>
  </si>
  <si>
    <t>Brasher, Saber/0000-0003-2925-5691; Hanna, Edward/0000-0002-8683-182X; Osterberg, Erich/0000-0002-0675-1230; Hall, Richard J/0000-0003-4840-383X; Mernild, Sebastian H./0000-0003-0797-3975; Ballinger, Thomas/0000-0002-8722-1927</t>
  </si>
  <si>
    <t>Heising-Simons Foundation [HS 2019 -1160]; NASA [NNX17AH04G]; National Science Foundation [OPP19-01603]; University of Alaska Fairbanks Experimental Arctic Prediction Initiative</t>
  </si>
  <si>
    <t>Heising-Simons Foundation; NASA(National Aeronautics &amp; Space Administration (NASA)); National Science Foundation(National Science Foundation (NSF)); University of Alaska Fairbanks Experimental Arctic Prediction Initiative</t>
  </si>
  <si>
    <t>Heising-Simons Foundation, Grant/Award Number: HS 2019 -1160; NASA, Grant/Award Number: NNX17AH04G; National Science Foundation, Grant/Award Number: OPP19-01603; University of Alaska Fairbanks Experimental Arctic Prediction Initiative</t>
  </si>
  <si>
    <t>0899-8418</t>
  </si>
  <si>
    <t>1097-0088</t>
  </si>
  <si>
    <t>INT J CLIMATOL</t>
  </si>
  <si>
    <t>Int. J. Climatol.</t>
  </si>
  <si>
    <t>E2778</t>
  </si>
  <si>
    <t>E2800</t>
  </si>
  <si>
    <t>10.1002/joc.6879</t>
  </si>
  <si>
    <t>Meteorology &amp; Atmospheric Sciences</t>
  </si>
  <si>
    <t>PT6DF</t>
  </si>
  <si>
    <t>WOS:000585607800001</t>
  </si>
  <si>
    <t>Fraser, KM; Stuart-Smith, RD; Ling, SD; Edgar, GJ</t>
  </si>
  <si>
    <t>Fraser, K. M.; Stuart-Smith, R. D.; Ling, S. D.; Edgar, G. J.</t>
  </si>
  <si>
    <t>Small invertebrate consumers produce consistent size spectra across reef habitats and climatic zones</t>
  </si>
  <si>
    <t>OIKOS</t>
  </si>
  <si>
    <t>coral reef; epifauna; food web; macroalgae; macrofauna; meiofauna</t>
  </si>
  <si>
    <t>BODY-SIZE; COMMUNITY STRUCTURE; CORAL-REEF; POPULATION-DENSITY; TROPHIC IMPORTANCE; BENTHIC CRUSTACEA; FISH ASSEMBLAGES; GLOBAL PATTERNS; ALGAL TURFS; PREDATION</t>
  </si>
  <si>
    <t>Changes in invertebrate body size-distributions that follow loss of habitat-forming species can potentially affect a range of ecological processes, including predation and competition. In the marine environment, small crustaceans and other mobile invertebrates ('epifauna') represent a basal component in reef food webs, with a pivotal secondary production role that is strongly influenced by their body size-distribution. Ongoing degradation of reef habitats that affect invertebrate size-distributions, particularly transformation of coral and kelp habitat to algal turf, may thus fundamentally affect secondary production. Here we explored variation in size spectra of shallow epifaunal assemblages (i.e. the slope and intercept of the linear relationship between log abundance and body size at the assemblage level) across 21 reef microhabitats distributed along an extensive eastern Australian climatic gradient from the tropical northern Great Barrier Reef to cool temperate Tasmania. When aggregated across microhabitats at the site scale, invertebrate body size spectra (0.125-8 mm range) were consistently log-linear (R-2 ranging 0.87-0.98). Size spectra differed between, but not within, major groups of microhabitats, and exhibited little variability between tropical and temperate biomes. Nevertheless, size spectra showed significant tropical/temperate differences in slopes for epifauna sampled on macroalgal habitats, and in elevation for soft coral and sponge habitats. Our results reveal epifaunal size spectra to be a highly predictable macro-ecological feature. Given that variation in epifaunal size spectra among groups of microhabitats was greater than variation between tropical and temperate biomes, we postulate that ocean warming will not greatly alter epifaunal size spectra directly. However, transformation of tropical coral and temperate macroalgal habitats to algal turfs due to warming will alter reef food web dynamics through redistribution of the size of prey available to fishes.</t>
  </si>
  <si>
    <t>[Fraser, K. M.; Stuart-Smith, R. D.; Ling, S. D.; Edgar, G. J.] Univ Tasmania, Inst Marine &amp; Antarctic Studies, Taroona, Tas, Australia</t>
  </si>
  <si>
    <t>University of Tasmania</t>
  </si>
  <si>
    <t>Fraser, KM (corresponding author), Univ Tasmania, Inst Marine &amp; Antarctic Studies, Taroona, Tas, Australia.</t>
  </si>
  <si>
    <t>kate.fraser@utas.edu.au</t>
  </si>
  <si>
    <t>Stuart-Smith, Rick/I-5214-2019; Edgar, Graham/AAY-3797-2020</t>
  </si>
  <si>
    <t>Stuart-Smith, Rick/0000-0002-8874-0083; Edgar, Graham/0000-0003-0833-9001; Fraser, Kate/0000-0002-3057-5257</t>
  </si>
  <si>
    <t>Australian Research Council [LP100200122, DP170104668]; Parks Australia; Australian Museum's Lizard Island Research Station; Australian Research Council [LP100200122] Funding Source: Australian Research Council</t>
  </si>
  <si>
    <t>Australian Research Council(Australian Research Council); Parks Australia; Australian Museum's Lizard Island Research Station; Australian Research Council</t>
  </si>
  <si>
    <t>This study was funded by Australian Research Council grants LP100200122 and DP170104668. Elizabeth and Middleton Reefs fieldwork was additionally supported by Parks Australia, and Lizard Island fieldwork by the Australian Museum's Lizard Island Research Station.</t>
  </si>
  <si>
    <t>0030-1299</t>
  </si>
  <si>
    <t>1600-0706</t>
  </si>
  <si>
    <t>Oikos</t>
  </si>
  <si>
    <t>10.1111/oik.07652</t>
  </si>
  <si>
    <t>Ecology</t>
  </si>
  <si>
    <t>PM7BL</t>
  </si>
  <si>
    <t>WOS:000585363100001</t>
  </si>
  <si>
    <t>Jakobsson, M; Mayer, LA; Nilsson, J; Stranne, C; Calder, B; O'Regan, M; Farrell, JW; Cronin, TM; Brüchert, V; Chawarski, J; Eriksson, B; Fredriksson, J; Gemery, L; Glueder, A; Holmes, FA; Jerram, K; Kirchner, N; Mix, A; Muchowski, J; Prakash, A; Reilly, B; Thornton, B; Ulfsbo, A; Weidner, E; Åkesson, H; Handl, T; Ståhl, E; Boze, LG; Reed, S; West, G; Padman, J</t>
  </si>
  <si>
    <t>Jakobsson, Martin; Mayer, Larry A.; Nilsson, Johan; Stranne, Christian; Calder, Brian; O'Regan, Matthew; Farrell, John W.; Cronin, Thomas M.; Bruechert, Volker; Chawarski, Julek; Eriksson, Bjoern; Fredriksson, Jonas; Gemery, Laura; Glueder, Anna; Holmes, Felicity A.; Jerram, Kevin; Kirchner, Nina; Mix, Alan; Muchowski, Julia; Prakash, Abhay; Reilly, Brendan; Thornton, Brett; Ulfsbo, Adam; Weidner, Elizabeth; Akesson, Henning; Handl, Tamara; Stahl, Emelie; Boze, Lee-Gray; Reed, Sam; West, Gabriel; Padman, June</t>
  </si>
  <si>
    <t>Ryder Glacier in northwest Greenland is shielded from warm Atlantic water by a bathymetric sill</t>
  </si>
  <si>
    <t>COMMUNICATIONS EARTH &amp; ENVIRONMENT</t>
  </si>
  <si>
    <t>ICE-SHELF; PETERMANN GLETSCHER; MASS-BALANCE; RETREAT; OCEAN; CONNECTION; CONVECTION; FJORD; MODEL</t>
  </si>
  <si>
    <t>The processes controlling advance and retreat of outlet glaciers in fjords draining the Greenland Ice Sheet remain poorly known, undermining assessments of their dynamics and associated sea-level rise in a warming climate. Mass loss of the Greenland Ice Sheet has increased six-fold over the last four decades, with discharge and melt from outlet glaciers comprising key components of this loss. Here we acquired oceanographic data and multibeam bathymetry in the previously uncharted Sherard Osborn Fjord in northwest Greenland where Ryder Glacier drains into the Arctic Ocean. Our data show that warmer subsurface water of Atlantic origin enters the fjord, but Ryder Glacier's floating tongue at its present location is partly protected from the inflow by a bathymetric sill located in the innermost fjord. This reduces under-ice melting of the glacier, providing insight into Ryder Glacier's dynamics and its vulnerability to inflow of Atlantic warmer water. A bathymetric sill in Sherard Osborn Fjord, northwest Greenland shields Ryder Glacier from melting by warm Atlantic water found at the bottom of the fjord, according to high-resolution bathymetric mapping and oceanographic data.</t>
  </si>
  <si>
    <t>[Jakobsson, Martin; Stranne, Christian; O'Regan, Matthew; Bruechert, Volker; Eriksson, Bjoern; Fredriksson, Jonas; Muchowski, Julia; Thornton, Brett; Weidner, Elizabeth; Akesson, Henning; Handl, Tamara; Stahl, Emelie; Boze, Lee-Gray; West, Gabriel] Stockholm Univ, Dept Geol Sci, S-10691 Stockholm, Sweden; [Jakobsson, Martin; Nilsson, Johan; Stranne, Christian; O'Regan, Matthew; Bruechert, Volker; Eriksson, Bjoern; Fredriksson, Jonas; Holmes, Felicity A.; Kirchner, Nina; Muchowski, Julia; Prakash, Abhay; Thornton, Brett; Weidner, Elizabeth; Akesson, Henning; Handl, Tamara; Stahl, Emelie; Boze, Lee-Gray; West, Gabriel] Bolin Ctr Climate Res, S-10691 Stockholm, Sweden; [Mayer, Larry A.; Calder, Brian; Jerram, Kevin; Weidner, Elizabeth; Reed, Sam] Univ New Hampshire, Ctr Coastal &amp; Ocean Mapping, Durham, NH 03824 USA; [Nilsson, Johan] Stockholm Univ, Dept Meteorol, S-10691 Stockholm, Sweden; [Farrell, John W.] US Arctic Res Commiss, Arlington, VA 22203 USA; [Cronin, Thomas M.; Gemery, Laura] US Geol Survey, Florence Bascom Geosci Ctr, Reston, VA 21092 USA; [Chawarski, Julek] Mem Univ Newfoundland, Fisheries &amp; Marine Inst, St John, NF A1C 5R3, Canada; [Glueder, Anna; Mix, Alan; Padman, June] Oregon State Univ, Coll Earth Ocean &amp; Atmospher Sci, Corvallis, OR 97331 USA; [Holmes, Felicity A.; Kirchner, Nina; Prakash, Abhay] Stockholm Univ, Dept Phys Geog, S-10691 Stockholm, Sweden; [Reilly, Brendan] Univ Calif San Diego, Scripps Inst Oceanog, La Jolla, CA 92037 USA; [Ulfsbo, Adam] Univ Gothenburg, Dept Marine Sci, S-41319 Gothenburg, Sweden; [Boze, Lee-Gray] US Geol Survey, Woods Hole, MA 02543 USA</t>
  </si>
  <si>
    <t>Stockholm University; University System Of New Hampshire; University of New Hampshire; Stockholm University; United States Department of the Interior; United States Geological Survey; Memorial University Newfoundland; Oregon State University; Stockholm University; University of California System; University of California San Diego; Scripps Institution of Oceanography; University of Gothenburg; United States Department of the Interior; United States Geological Survey</t>
  </si>
  <si>
    <t>Jakobsson, M (corresponding author), Stockholm Univ, Dept Geol Sci, S-10691 Stockholm, Sweden.</t>
  </si>
  <si>
    <t>martin.jakobsson@geo.su.se</t>
  </si>
  <si>
    <t>O'Regan, Matt/P-6277-2019; Ulfsbo, Adam/AFV-2256-2022; Gemery, Laura/JUE-9776-2023; Holmes, Felicity/HOH-4583-2023; stranne, christian/L-4382-2013</t>
  </si>
  <si>
    <t>O'Regan, Matt/0000-0002-6046-1488; Ulfsbo, Adam/0000-0001-7550-7381; Gemery, Laura/0000-0003-1966-8732; Holmes, Felicity/0000-0002-9822-826X; Glueder, Anna/0000-0002-2829-1204; Muchowski, Julia C./0000-0002-0822-045X; Jakobsson, Martin/0000-0002-9033-3559; Mayer, Larry/0000-0003-1846-5140; Chawarski, Julian/0000-0001-5107-2037; stranne, christian/0000-0003-1004-5213; Prakash, Abhay/0000-0003-2123-6445</t>
  </si>
  <si>
    <t>Swedish Polar Research Secretariat; Swedish Research Council (VR) [2016-04021, 2016-05092, 2018-04979]; U.S. Geological Survey Land Change Science Programme; Ocean Frontier Institute through the Canada First Research Excellence fund; Center for Coastal and Ocean Mapping/University of New Hampshire; Stockholm University; Vinnova [2016-05092, 2018-04979] Funding Source: Vinnova; Swedish Research Council [2016-04021, 2016-05092, 2018-04979] Funding Source: Swedish Research Council</t>
  </si>
  <si>
    <t>Swedish Polar Research Secretariat; Swedish Research Council (VR)(Swedish Research Council); U.S. Geological Survey Land Change Science Programme; Ocean Frontier Institute through the Canada First Research Excellence fund; Center for Coastal and Ocean Mapping/University of New Hampshire; Stockholm University; Vinnova(Vinnova); Swedish Research Council(Swedish Research Council)</t>
  </si>
  <si>
    <t>We thank the Captain and crew of Icebreaker Oden, as well as the personnel from the Swedish Polar Research Secretariat, for stellar logistical support. We appreciated comments by Jan Backman on an early version of this manuscript and constructive comments by two anonymous reviewers. The Ryder 2019 Expedition was endorsed as Explorer's Club Flag Expedition #51. We thank the Swedish Polar Research Secretariat, Center for Coastal and Ocean Mapping/University of New Hampshire and Stockholm University for supporting the Ryder 2019 Expedition financially. M.J., M.O., V.B. and colleagues from Stockholm University were supported by grants from the Swedish Research Council (VR; grants 2016-04021, 2016-05092, 2018-04979). T.M.C. and L.G. were funded by the U.S. Geological Survey Land Change Science Programme. Adrian Jenkins from British Antarctic Survey is thanked for providing the plume model and feedback on the results. J.C. was financially supported by the Ocean Frontier Institute through the Canada First Research Excellence fund.</t>
  </si>
  <si>
    <t>2662-4435</t>
  </si>
  <si>
    <t>COMMUN EARTH ENVIRON</t>
  </si>
  <si>
    <t>Commun. Earth Environ.</t>
  </si>
  <si>
    <t>NOV 4</t>
  </si>
  <si>
    <t>10.1038/s43247-020-00043-0</t>
  </si>
  <si>
    <t>Environmental Sciences; Geosciences, Multidisciplinary; Meteorology &amp; Atmospheric Sciences</t>
  </si>
  <si>
    <t>Environmental Sciences &amp; Ecology; Geology; Meteorology &amp; Atmospheric Sciences</t>
  </si>
  <si>
    <t>UM9AP</t>
  </si>
  <si>
    <t>WOS:000693616800002</t>
  </si>
  <si>
    <t>Bestley, S; Ropert-Coudert, Y; Nash, SB; Brooks, CM; Cotté, C; Dewar, M; Friedlaender, AS; Jackson, JA; Labrousse, S; Lowther, AD; McMahon, CR; Phillips, RA; Pistorius, P; Puskic, PS; Reis, AOD; Reisinger, RR; Santos, M; Tarszisz, E; Tixier, P; Trathan, PN; Wege, M; Wienecke, B</t>
  </si>
  <si>
    <t>Bestley, Sophie; Ropert-Coudert, Yan; Bengtson Nash, Susan; Brooks, Cassandra M.; Cotte, Cedric; Dewar, Meagan; Friedlaender, Ari S.; Jackson, Jennifer A.; Labrousse, Sara; Lowther, Andrew D.; McMahon, Clive R.; Phillips, Richard A.; Pistorius, Pierre; Puskic, Peter S.; Reis, Ana Olivia de A.; Reisinger, Ryan R.; Santos, Mercedes; Tarszisz, Esther; Tixier, Paul; Trathan, Philip N.; Wege, Mia; Wienecke, Barbara</t>
  </si>
  <si>
    <t>Marine Ecosystem Assessment for the Southern Ocean: Birds and Marine Mammals in a Changing Climate</t>
  </si>
  <si>
    <t>FRONTIERS IN ECOLOGY AND EVOLUTION</t>
  </si>
  <si>
    <t>marine ecosystem assessment; marine predators; climate change; fisheries interactions; conservation management; Antarctic</t>
  </si>
  <si>
    <t>PERSISTENT ORGANIC POLLUTANTS; SUB-ANTARCTIC MARION; WHALES ORCINUS-ORCA; HEMISPHERE HUMPBACK WHALES; PENGUIN PYGOSCELIS-PAPUA; SEALS MIROUNGA-LEONINA; PRINCE-EDWARD-ISLANDS; MICE MUS-MUSCULUS; EMPEROR PENGUIN; KILLER WHALES</t>
  </si>
  <si>
    <t>The massive number of seabirds (penguins and procellariiformes) and marine mammals (cetaceans and pinnipeds) - referred to here as top predators - is one of the most iconic components of the Antarctic and Southern Ocean. They play an important role as highly mobile consumers, structuring and connecting pelagic marine food webs and are widely studied relative to other taxa. Many birds and mammals establish dense breeding colonies or use haul-out sites, making them relatively easy to study. Cetaceans, however, spend their lives at sea and thus aspects of their life cycle are more complicated to monitor and study. Nevertheless, they all feed at sea and their reproductive success depends on the food availability in the marine environment, hence they are considered useful indicators of the state of the marine resources. In general, top predators have large body sizes that allow for instrumentation with miniature data-recording or transmitting devices to monitor their activities at sea. Development of scientific techniques to study reproduction and foraging of top predators has led to substantial scientific literature on their population trends, key biological parameters, migratory patterns, foraging and feeding ecology, and linkages with atmospheric or oceanographic dynamics, for a number of species and regions. We briefly summarize the vast literature on Southern Ocean top predators, focusing on the most recent syntheses. We also provide an overview on the key current and emerging pressures faced by these animals as a result of both natural and human causes. We recognize the overarching impact that environmental changes driven by climate change have on the ecology of these species. We also evaluate direct and indirect interactions between marine predators and other factors such as disease, pollution, land disturbance and the increasing pressure from global fisheries in the Southern Ocean. Where possible we consider the data availability for assessing the status and trends for each of these components, their capacity for resilience or recovery, effectiveness of management responses, risk likelihood of key impacts and future outlook.</t>
  </si>
  <si>
    <t>[Bestley, Sophie; McMahon, Clive R.] Univ Tasmania, Inst Marine &amp; Antarctic Studies, Hobart, Tas, Australia; [Ropert-Coudert, Yan] La Rochelle Univ, CNRS, Ctr Etud Biol Chize, UMR 7372, Villiers En Bois, France; [Bengtson Nash, Susan] Griffith Univ, Environm Futures Res Inst, Nathan, Qld, Australia; [Brooks, Cassandra M.] Univ Colorado, Environm Studies Program, Boulder, CO 80309 USA; [Cotte, Cedric] Sorbonne Univ, CNRS, MNHN, IRD,LOCEAN,IPSL,UMR 7159, Paris, France; [Dewar, Meagan] Federat Univ Australia, Sch Sci Psychol &amp; Sport, Berwick, Vic, Australia; [Dewar, Meagan] Deakin Univ, Sch Life &amp; Environm Sci, Burwood, Vic, Australia; [Friedlaender, Ari S.; Reisinger, Ryan R.] Univ Calif Santa Cruz, Inst Marine Sci, Santa Cruz, CA 95064 USA; [Jackson, Jennifer A.; Phillips, Richard A.; Trathan, Philip N.] British Antarctic Survey, Nat Environm Res Council Cambridge, Cambridge, England; [Labrousse, Sara] Woods Hole Oceanog Inst, Woods Hole, MA 02543 USA; [Lowther, Andrew D.] Norwegian Polar Res Inst, Tromso, Norway; [McMahon, Clive R.] Inst Marine Sci, IMOS Anim Tagging Sydney, Mosman, NSW, Australia; [Pistorius, Pierre] Nelson Mandela Univ, Dept Zool, Inst Coastal &amp; Marine Res, Port Elizabeth, South Africa; [Puskic, Peter S.] Univ Tasmania, Ctr Marine Socioecol, Hobart, Tas, Australia; [Reis, Ana Olivia de A.] Univ Fed Rio de Janeiro, Inst Biofis Carlos Chagas Filho, Lab Micropoluentes Organ Jan Japenga, Rio De Janeiro, Brazil; [Santos, Mercedes] Inst Antartico Argentino, Dept Biol Predadores Tope, Buenos Aires, DF, Argentina; [Tarszisz, Esther] Sydney Inst Marine Sci, Mosman, NSW, Australia; [Tixier, Paul] Deakin Univ, Sch Life &amp; Environm Sci, Geelong, Vic, Australia; [Wege, Mia] Univ Canterbury, Gateway Antarctic, Christchurch, New Zealand; [Wege, Mia] Univ Pretoria, Dept Zool &amp; Entomol, Pretoria, South Africa; [Wienecke, Barbara] Dept Agr Water &amp; Environm, Australian Antarctic Div, Kingston, Tas, Australia</t>
  </si>
  <si>
    <t>University of Tasmania; Centre National de la Recherche Scientifique (CNRS); CNRS - Institute of Ecology &amp; Environment (INEE); Griffith University; University of Colorado System; University of Colorado Boulder; Institut de Recherche pour le Developpement (IRD); Sorbonne Universite; Museum National d'Histoire Naturelle (MNHN); Universite Paris Cite; Centre National de la Recherche Scientifique (CNRS); CNRS - National Institute for Earth Sciences &amp; Astronomy (INSU); Federation University Australia; Deakin University; University of California System; University of California Santa Cruz; UK Research &amp; Innovation (UKRI); Natural Environment Research Council (NERC); NERC British Antarctic Survey; Woods Hole Oceanographic Institution; Norwegian Polar Institute; Nelson Mandela University; University of Tasmania; Universidade Federal do Rio de Janeiro; Instituto Antartico Argentino; Sydney Institute of Marine Science; Deakin University; University of Canterbury; University of Pretoria; Australian Antarctic Division</t>
  </si>
  <si>
    <t>Bestley, S (corresponding author), Univ Tasmania, Inst Marine &amp; Antarctic Studies, Hobart, Tas, Australia.</t>
  </si>
  <si>
    <t>sophie.bestley@utas.edu.au</t>
  </si>
  <si>
    <t>Jackson, Jennifer A/E-7997-2013; Wege, Mia/B-1103-2016; Puskic, Peter S/AAD-7887-2022; Bestley, Sophie/AAN-2483-2021; McMahon, Clive R/D-5713-2013; Cotté, Cédric/AAX-6120-2021; Tixier, Paul/AFU-7272-2022; Bengtson Nash, Susan/GMX-4611-2022; Cotte, Cedric/C-3296-2013; Bengtson Nash, Susan/I-3942-2015; Cotté, Cédric/Z-3243-2019; Dewar, Meagan/AAI-3969-2021; Reisinger, Ryan/D-6151-2014</t>
  </si>
  <si>
    <t>Wege, Mia/0000-0002-9022-3069; Puskic, Peter S/0000-0003-1352-8843; Bestley, Sophie/0000-0001-9342-669X; McMahon, Clive R/0000-0001-5241-8917; Cotté, Cédric/0000-0002-8307-6435; Bengtson Nash, Susan/0000-0001-5928-0850; Bengtson Nash, Susan/0000-0001-5928-0850; Cotté, Cédric/0000-0002-8307-6435; de Almeida Reis, Ana Olivia/0000-0002-0677-0634; Reisinger, Ryan/0000-0002-8933-6875; Labrousse, Sara/0000-0002-8099-3254; Dewar, Meagan/0000-0003-0581-2422; Tixier, Paul/0000-0002-7325-3573; Lowther, Andrew/0000-0003-4294-3157; Jackson, Jennifer/0000-0003-4158-1924</t>
  </si>
  <si>
    <t>Australian Research Council DECRA [DE180100828]; Australian Research Council [LP160100329]; WWF-UK; NERC [bas0100035] Funding Source: UKRI; Australian Research Council [DE180100828, LP160100329] Funding Source: Australian Research Council</t>
  </si>
  <si>
    <t>Australian Research Council DECRA(Australian Research Council); Australian Research Council(Australian Research Council); WWF-UK; NERC(UK Research &amp; Innovation (UKRI)Natural Environment Research Council (NERC)); Australian Research Council(Australian Research Council)</t>
  </si>
  <si>
    <t>SoB is supported by Australian Research Council DECRA DE180100828. PT is supported by Australian Research Council LP160100329. We thank the WWF-UK for financial support during the original workshop and to RR and YR-C.</t>
  </si>
  <si>
    <t>FRONTIERS MEDIA SA</t>
  </si>
  <si>
    <t>LAUSANNE</t>
  </si>
  <si>
    <t>AVENUE DU TRIBUNAL FEDERAL 34, LAUSANNE, CH-1015, SWITZERLAND</t>
  </si>
  <si>
    <t>2296-701X</t>
  </si>
  <si>
    <t>FRONT ECOL EVOL</t>
  </si>
  <si>
    <t>Front. Ecol. Evol.</t>
  </si>
  <si>
    <t>10.3389/fevo.2020.566936</t>
  </si>
  <si>
    <t>OS1ZU</t>
  </si>
  <si>
    <t>WOS:000589964900001</t>
  </si>
  <si>
    <t>Wing, SR; Wing, LC; O'Connell-Milne, SA; Barr, D; Stokes, D; Genovese, S; Leichter, JJ</t>
  </si>
  <si>
    <t>Wing, Stephen R.; Wing, Lucy C.; O'Connell-Milne, Sorrel A.; Barr, David; Stokes, Dale; Genovese, Sal; Leichter, James J.</t>
  </si>
  <si>
    <t>Penguins and Seals Transport Limiting Nutrients Between Offshore Pelagic and Coastal Regions of Antarctica Under Changing Sea Ice</t>
  </si>
  <si>
    <t>ECOSYSTEMS</t>
  </si>
  <si>
    <t>biological nutrient vector; Antarctica; climate change; sea ice; penguin; seal; nutrients; Antarctic toothfish; krill; silverfish; iron; stable isotopes</t>
  </si>
  <si>
    <t>SILVERFISH PLEURAGRAMMA-ANTARCTICUM; WESTERN ROSS SEA; ADELIE PENGUINS; WEDDELL SEALS; EMPEROR PENGUINS; CLIMATE-CHANGE; METAL CONCENTRATIONS; BENTHIC COMMUNITIES; IRON FERTILIZATION; BALEEN WHALES</t>
  </si>
  <si>
    <t>Large animals such as sea birds and marine mammals can transport limiting nutrients between different regions of the ocean, thereby stimulating and enhancing productivity. In Antarctica this process is influenced by formation and breakup of sea ice and its influence on the feeding behaviour of predators and their prey. We used analyses of bioactive metals (for example, Fe, Co, Mn), macronutrients (for example, N) and stable isotopes (delta C-13 and delta N-15) in the excreta of Adelie (Pygoscelis adeliae) and emperor penguins (Aptenodytes forsteri) as well as Weddell seals (Leptonychotes weddellii) from multiple sites, among multiple years (2012-2014) to resolve how changes in sea ice dynamics, as indicated by MODIS satellite images, were coincident with prey switching and likely changes in nutrient fluxes between the offshore pelagic and coastal zones. We also sampled excreta of the south polar skua (Stercorarius maccormicki), which preys on penguins and scavenges the remains of both penguins and seals. We found strong coincidence of isotopic evidence for prey switching, between euphausiids (Euphausia superba and E. crystallorophias) and pelagic/cryopelagic fishes (for example, Pleuragramma antarcticum) in penguins, and between pelagic/cryopelagic fishes and Antarctic toothfish (Dissostichus mawsoni) in Weddell seals, with changes in sea ice cover among years. Further, prey switching was strongly linked to changes in the concentrations of nutrients (Fe and N) deposited in coastal environments by both penguins and seals. Our findings have important implications for understanding how the roles of large animals in supporting coastal productivity may shift with environmental conditions in polar ecosystems.</t>
  </si>
  <si>
    <t>[Wing, Stephen R.; Wing, Lucy C.; O'Connell-Milne, Sorrel A.] Univ Otago, Dept Marine Sci, POB 56, Dunedin 9054, New Zealand; [Barr, David] Univ Otago, Dept Chem, POB 56, Dunedin 9054, New Zealand; [Barr, David] Univ Otago, Ctr Trace Element Anal, POB 56, Dunedin 9054, New Zealand; [Stokes, Dale; Leichter, James J.] Univ Calif San Diego, Scripps Inst Oceanog, 9500 Gilman Dr, La Jolla, CA 92093 USA; [Genovese, Sal] Boston Univ, Coll Gen Studies, Div Nat Sci &amp; Math, 871 Commonwealth Ave, Boston, MA 02215 USA</t>
  </si>
  <si>
    <t>University of Otago; University of Otago; University of Otago; University of California System; University of California San Diego; Scripps Institution of Oceanography; Boston University</t>
  </si>
  <si>
    <t>Wing, SR (corresponding author), Univ Otago, Dept Marine Sci, POB 56, Dunedin 9054, New Zealand.</t>
  </si>
  <si>
    <t>steve.wing@otago.ac.nz</t>
  </si>
  <si>
    <t>Wing, Lucy c/B-8833-2019</t>
  </si>
  <si>
    <t>Wing, Stephen/0000-0003-3536-5627</t>
  </si>
  <si>
    <t>Antarctica New Zealand; Royal Society of New Zealand's Marsden Fund; University of Otago Graduate Research School; Scripps Institution of Oceanography; University of California San Diego Academic Senate</t>
  </si>
  <si>
    <t>Antarctica New Zealand; Royal Society of New Zealand's Marsden Fund(Royal Society of New ZealandMarsden Fund (NZ)); University of Otago Graduate Research School; Scripps Institution of Oceanography(University of California System); University of California San Diego Academic Senate</t>
  </si>
  <si>
    <t>We thank R. Robbins, S. Rupp, M Lamare, O Shatova, Rebecca McMullin, Simon Trotter and the staff of New Zealand's Scott Base as well as the United States Antarctic Program at McMurdo Station for their assistance with logistics and fieldwork. We are also grateful to Robert van Hale and Dianne Clark at the Isotrace research group, in the Department of Chemistry, who carried out stable isotope analysis on samples used in the research presented here. Monetary support was provided by grants from Antarctica New Zealand, The Royal Society of New Zealand's Marsden Fund and the University of Otago Graduate Research School to SRW, with additional support provided by Scripps Institution of Oceanography and the University of California San Diego Academic Senate to DS and JJL.</t>
  </si>
  <si>
    <t>1432-9840</t>
  </si>
  <si>
    <t>1435-0629</t>
  </si>
  <si>
    <t>Ecosystems</t>
  </si>
  <si>
    <t>AUG</t>
  </si>
  <si>
    <t>10.1007/s10021-020-00578-5</t>
  </si>
  <si>
    <t>TY4JK</t>
  </si>
  <si>
    <t>WOS:000584984700001</t>
  </si>
  <si>
    <t>Abelson, A; Reed, DC; Edgar, GJ; Smith, CS; Kendrick, GA; Orth, RJ; Airoldi, L; Silliman, B; Beck, MW; Krause, G; Shashar, N; Stambler, N; Nelson, P</t>
  </si>
  <si>
    <t>Abelson, Avigdor; Reed, Daniel C.; Edgar, Graham J.; Smith, Carter S.; Kendrick, Gary A.; Orth, Robert J.; Airoldi, Laura; Silliman, Brian; Beck, Michael W.; Krause, Gesche; Shashar, Nadav; Stambler, Noga; Nelson, Peter</t>
  </si>
  <si>
    <t>Challenges for Restoration of Coastal Marine Ecosystems in the Anthropocene</t>
  </si>
  <si>
    <t>FRONTIERS IN MARINE SCIENCE</t>
  </si>
  <si>
    <t>coastal marine ecosystems; social-ecological restoration; coral reefs; seagrass; mangrove; oyster reefs; kelp; saltmarshes</t>
  </si>
  <si>
    <t>PROTECTED AREAS; CLIMATE-CHANGE; CORAL-REEFS; POSITIVE INTERACTIONS; GLOBAL ANALYSIS; HABITAT LOSS; CONSERVATION; RESILIENCE; ECOLOGY; MANAGEMENT</t>
  </si>
  <si>
    <t>Coastal marine ecosystems provide critical goods and services to humanity but many are experiencing rapid degradation. The need for effective restoration tools capable of promoting large-scale recovery of coastal ecosystems in the face of intensifying climatic stress has never been greater. We identify four major challenges for more effective implementation of coastal marine ecosystem restoration (MER): (1) development of effective, scalable restoration methods, (2) incorporation of innovative tools that promote climate adaptation, (3) integration of social and ecological restoration priorities, and (4) promotion of the perception and use of coastal MER as a scientifically credible management approach. Tackling these challenges should improve restoration success rates, heighten their recognition, and accelerate investment in and promotion of coastal MER. To reverse the accelerating decline of marine ecosystems, we discuss potential directions for meeting these challenges by applying coastal MER tools that are science-based and actionable. For coastal restoration to have a global impact, it must incorporate social science, technological and conceptual advances, and plan for future climate scenarios.</t>
  </si>
  <si>
    <t>[Abelson, Avigdor] Tel Aviv Univ, Dept Zool, Tel Aviv, Israel; [Reed, Daniel C.] Univ Calif Santa Barbara, Inst Marine Sci, Santa Barbara, CA 93106 USA; [Edgar, Graham J.] Univ Tasmania, Inst Marine &amp; Antarctic Studies, Hobart, Tas, Australia; [Smith, Carter S.; Silliman, Brian] Duke Univ, Nicholas Sch Environm, Beaufort, NC USA; [Kendrick, Gary A.] Univ Western Australia, Oceans Inst, Crawley, WA, Australia; [Kendrick, Gary A.] Univ Western Australia, Sch Biol Sci, Crawley, WA, Australia; [Orth, Robert J.] Coll William &amp; Mary, Sch Marine Sci, Virginia Inst Marine Sci, Gloucester Point, VA 23062 USA; [Airoldi, Laura] Univ Padua, Chioggia Hydrobiol Stn Umberto DAncona, Dept Biol, UO CoNISMa, Chioggia, Italy; [Airoldi, Laura] Univ Bologna, Dipartimento BIGEA &amp; CIRSA, Ravenna, Italy; [Beck, Michael W.; Nelson, Peter] Univ Calif Santa Cruz, Inst Marine Sci, Santa Cruz, CA 95064 USA; [Krause, Gesche] Helmholtz Ctr Polar &amp; Marine Res AWI, Alfred Wegener Inst, Earth Syst Knowledge Platform ESKP, Bremerhaven, Germany; [Shashar, Nadav; Stambler, Noga] Ben Gurion Univ Negev, Fac Life Sci, Eilat Campus, Elat, Israel; [Stambler, Noga] Israel Soc Ecol &amp; Environm Sci, Tel Aviv, Israel</t>
  </si>
  <si>
    <t>Tel Aviv University; University of California System; University of California Santa Barbara; University of Tasmania; Duke University; University of Western Australia; University of Western Australia; William &amp; Mary; Virginia Institute of Marine Science; University of Padua; University of Bologna; University of California System; University of California Santa Cruz; Helmholtz Association; Alfred Wegener Institute, Helmholtz Centre for Polar &amp; Marine Research; Ben Gurion University</t>
  </si>
  <si>
    <t>Abelson, A (corresponding author), Tel Aviv Univ, Dept Zool, Tel Aviv, Israel.</t>
  </si>
  <si>
    <t>avigdor@tauex.tau.ac.il</t>
  </si>
  <si>
    <t>Airoldi, Laura/I-3553-2019; Edgar, Graham/AAY-3797-2020</t>
  </si>
  <si>
    <t>Airoldi, Laura/0000-0001-5046-0871; Edgar, Graham/0000-0003-0833-9001; Kendrick, Gary/0000-0002-0276-6064</t>
  </si>
  <si>
    <t>project TETRIS (PRIN 2011, Italian Ministry of Education, University and Research); project CASCADE (INTERREG V A Italy-Croatia CBC Program); United States National Science Foundation's Long Term Ecological Research program; Lenfest Ocean Program; Australian Research Council Linkage grant [LP130100155]; Israel's Ministry of Environmental Protection; Israel Society of Ecology and Environmental Sciences</t>
  </si>
  <si>
    <t>project TETRIS (PRIN 2011, Italian Ministry of Education, University and Research)(Ministry of Education, Universities and Research (MIUR)); project CASCADE (INTERREG V A Italy-Croatia CBC Program); United States National Science Foundation's Long Term Ecological Research program; Lenfest Ocean Program; Australian Research Council Linkage grant(Australian Research Council); Israel's Ministry of Environmental Protection; Israel Society of Ecology and Environmental Sciences</t>
  </si>
  <si>
    <t>LA was supported by projects TETRIS (PRIN 2011, Italian Ministry of Education, University and Research) and CASCADE (INTERREG V A Italy-Croatia CBC Program), and DR by the United States National Science Foundation's Long Term Ecological Research program. BS was supported by the Lenfest Ocean Program. GK travel to the workshop was funded through an Australian Research Council Linkage grant (LP130100155). The Israel's Ministry of Environmental Protection and the Israel Society of Ecology and Environmental Sciences.</t>
  </si>
  <si>
    <t>2296-7745</t>
  </si>
  <si>
    <t>FRONT MAR SCI</t>
  </si>
  <si>
    <t>Front. Mar. Sci.</t>
  </si>
  <si>
    <t>10.3389/fmars.2020.544105</t>
  </si>
  <si>
    <t>Environmental Sciences; Marine &amp; Freshwater Biology</t>
  </si>
  <si>
    <t>Environmental Sciences &amp; Ecology; Marine &amp; Freshwater Biology</t>
  </si>
  <si>
    <t>OM0XB</t>
  </si>
  <si>
    <t>WOS:000585752500001</t>
  </si>
  <si>
    <t>Cunningham, EM; Ehlers, SM; Dick, JTA; Sigwart, JD; Linse, K; Dick, JJ; Kiriakoulakis, K</t>
  </si>
  <si>
    <t>Cunningham, Eoghan M.; Ehlers, Sonja M.; Dick, Jaimie T. A.; Sigwart, Julia D.; Linse, Katrin; Dick, Jon J.; Kiriakoulakis, Konstadinos</t>
  </si>
  <si>
    <t>High Abundances of Microplastic Pollution in Deep-Sea Sediments: Evidence from Antarctica and the Southern Ocean</t>
  </si>
  <si>
    <t>ENVIRONMENTAL SCIENCE &amp; TECHNOLOGY</t>
  </si>
  <si>
    <t>Antarctica; Southern Ocean; mu FTIR; fragments; sediment grain size; synthetic polymers</t>
  </si>
  <si>
    <t>Plastic pollution in Antarctica and the Southern Ocean has been recorded in scientific literature since the 1980s; however, the presence of microplastic particles (&lt;5 mm) is less understood. Here, we aimed to determine whether microplastic accumulation would vary among Antarctic and Southern Ocean regions through studying 30 deep-sea sediment cores. Additionally, we aimed to highlight whether microplastic accumulation was related to sample depth or the sediment characteristics within each core. Sediment cores were digested and separated using a high-density sodium polytungstate solution (SPT) and microplastic particles were identified using micro-Fourier-transform infrared spectroscopy (mu FTIR). Microplastic pollution was found in 93% of the sediment cores (28/30). The mean (+/- SE) microplastics per gram of sediment was 1.30 +/- 0.51, 1.09 +/- 0.22, and 1.04 +/- 0.39 MP/g, for the Antarctic Peninsula, South Sandwich Islands, and South Georgia, respectively. Microplastic fragment accumulation correlated significantly with the percentage of clay within cores, suggesting that microplastics have similar dispersion behavior to low density sediments. Although no difference in microplastic abundance was found among regions, the values were much higher in comparison to less remote ecosystems, suggesting that the Antarctic and Southern Ocean deep-sea accumulates higher numbers of microplastic pollution than previously expected.</t>
  </si>
  <si>
    <t>[Ehlers, Sonja M.] Fed Inst Hydrol, Dept Anim Ecol, D-56068 Koblenz, Germany; [Cunningham, Eoghan M.; Dick, Jaimie T. A.; Sigwart, Julia D.] Queens Univ Belfast, Marine Lab, Queens Univ, Portaferry BT22 1PF, North Ireland; [Linse, Katrin] British Antarctic Survey, Cambridge CB3 0ET, England; [Cunningham, Eoghan M.; Dick, Jon J.; Kiriakoulakis, Konstadinos] Liverpool John Moores Univ, Sch Biol &amp; Environm Sci, Liverpool L3 3AF, Merseyside, England</t>
  </si>
  <si>
    <t>Queens University Belfast; UK Research &amp; Innovation (UKRI); Natural Environment Research Council (NERC); NERC British Antarctic Survey; Liverpool John Moores University</t>
  </si>
  <si>
    <t>Cunningham, EM (corresponding author), Queens Univ Belfast, Marine Lab, Queens Univ, Portaferry BT22 1PF, North Ireland.;Cunningham, EM (corresponding author), Liverpool John Moores Univ, Sch Biol &amp; Environm Sci, Liverpool L3 3AF, Merseyside, England.</t>
  </si>
  <si>
    <t>ecunningham18@qub.ac.uk</t>
  </si>
  <si>
    <t>Dick, Jonathan J/G-3811-2018; Sigwart, Julia/J-2928-2014</t>
  </si>
  <si>
    <t>Dick, Jonathan J/0000-0002-4875-6574; Sigwart, Julia/0000-0002-3005-6246; Cunningham, Manus/0000-0002-6323-079X; Ehlers, Sonja/0000-0002-4237-4233</t>
  </si>
  <si>
    <t>Department for Agriculture, Environment, and Rural Affairs, Northern Ireland; British Antarctic Survey Polar Science for Planet Earth Programme - Natural Environment Research Council NC-Science; NERC [NE/R012296/1]; Hong Kong Branch of Southern Marine Science and Engineering Guangdong Laboratory (Guangzhou); NERC [NE/R012296/1, bas0100036] Funding Source: UKRI</t>
  </si>
  <si>
    <t>Department for Agriculture, Environment, and Rural Affairs, Northern Ireland; British Antarctic Survey Polar Science for Planet Earth Programme - Natural Environment Research Council NC-Science; NERC(UK Research &amp; Innovation (UKRI)Natural Environment Research Council (NERC)); Hong Kong Branch of Southern Marine Science and Engineering Guangdong Laboratory (Guangzhou); NERC(UK Research &amp; Innovation (UKRI)Natural Environment Research Council (NERC))</t>
  </si>
  <si>
    <t>E.M.C. is supported by the Department for Agriculture, Environment, and Rural Affairs, Northern Ireland. E.M.C. gratefully thanks Dave Williams and Hazel Clarke for their technical assistance, Prof. Jochen Koop for facilitating the mu FTIR analysis at the Federal Institute of Hydrology, BfG, Koblenz, Germany, and Dr Jason Kirby for facilitating the microplastic analysis at Liverpool John Moores University. K.L. acknowledges support from the British Antarctic Survey Polar Science for Planet Earth Programme funded by The Natural Environment Research Council NC-Science and NERC grant NE/R012296/1 for JR17003a. We thank Prof Gerhard Bohrmann, Marum at University of Bremen, Germany for the invitations to join the research cruises M134 (KL) and PS119 (KL, JDS). This work was supported by the Hong Kong Branch of Southern Marine Science and Engineering Guangdong Laboratory (Guangzhou). We also thank the late Briar Dick for stimulating discussion.</t>
  </si>
  <si>
    <t>AMER CHEMICAL SOC</t>
  </si>
  <si>
    <t>1155 16TH ST, NW, WASHINGTON, DC 20036 USA</t>
  </si>
  <si>
    <t>0013-936X</t>
  </si>
  <si>
    <t>1520-5851</t>
  </si>
  <si>
    <t>ENVIRON SCI TECHNOL</t>
  </si>
  <si>
    <t>Environ. Sci. Technol.</t>
  </si>
  <si>
    <t>NOV 3</t>
  </si>
  <si>
    <t>10.1021/acs.est.0c03441</t>
  </si>
  <si>
    <t>Engineering, Environmental; Environmental Sciences</t>
  </si>
  <si>
    <t>Engineering; Environmental Sciences &amp; Ecology</t>
  </si>
  <si>
    <t>OR1QE</t>
  </si>
  <si>
    <t>WOS:000589249900031</t>
  </si>
  <si>
    <t>López-González, PJ</t>
  </si>
  <si>
    <t>Lopez-Gonzalez, Pablo J.</t>
  </si>
  <si>
    <t>A new calcaxonian genus and family for Trichogorgia utinomii Cordeiro, 2019 (Octocorallia, Alcyonacea): new records of a scleriteless gorgonian species from Antarctica</t>
  </si>
  <si>
    <t>Southern Ocean; Biodiversity; Corals; New family; Morphological and molecular approach</t>
  </si>
  <si>
    <t>EARLY-LIFE-HISTORY; SEXUAL REPRODUCTION; COELENTERATA OCTOCORALLIA; XENIIDAE OCTOCORALLIA; MITOCHONDRIAL GENOME; DENDROBRACHIA BROOK; PARAMURICEA-CLAVATA; CNIDARIA ANTHOZOA; CORAL; SEA</t>
  </si>
  <si>
    <t>A new genus of scleriteless gorgonian, Huziogorgia gen. nov., is proposed based on the morphological and molecular study of a set of colonies identified as the recently described species Trichogorgia utinomii Cordeiro, 2019. Huziogorgia utinomii comb. nov. has planar colonies, lyrate to dichotomous, with long and flexible terminal branches. The polyps are no retractile, always extended, slightly trumpet-shaped, biserially placed, but not strictly. The axis is circular in cross section, showing concentric non-undulated layers. The materials were collected during three Antarctic cruises to the Antarctic Peninsula and South Shetland islands onboard the RV Polarstern (ANT XIX/3, ANT XXIII/8, and ANT XXIX/3). A molecular comparison based on mitochondrial genes (mtMutS and mtMutS+Igr1+COI) relates the new genus to the family Ifalukellidae Bayer, 1955 (Ifalukella Bayer, 1955, Trichogorgia (Hickson, 1904), Plumigorgia Nutting, 1910) and some genera of uncertain relationships, but currently related to the family Chrysogorgiidae Verrill, 1883 (Pleurogorgia Versluys, 1902 and Stephanogorgia Bayer &amp; Muzik, 1976). Genetic distances between this species and the closest genera and families also suggest the separate placement of Huziogorgia gen. nov. in a new family, Huziogorgiidae fam. nov.</t>
  </si>
  <si>
    <t>[Lopez-Gonzalez, Pablo J.] Univ Seville, Fac Biol, Biodiversidad &amp; Ecol Acuat, Dept Zool, Seville, Spain</t>
  </si>
  <si>
    <t>University of Sevilla</t>
  </si>
  <si>
    <t>López-González, PJ (corresponding author), Univ Seville, Fac Biol, Biodiversidad &amp; Ecol Acuat, Dept Zool, Seville, Spain.</t>
  </si>
  <si>
    <t>pjlopez@us.es</t>
  </si>
  <si>
    <t>Lopez Gonzalez, Pablo Jose/0000-0002-7348-6270</t>
  </si>
  <si>
    <t>Spanish Project (Polarstern ANT XIX/3 -ANDEEP-1) [REN2001-4269-E/ANT]; Spanish Ministry of Economy, Industry, and Competitiveness [CTM2017-83920-P]; Spanish Project (Polarstern ANT XXIII/8-CLIMANT) [POL2006-06399/CGL]; Spanish Project (Polarstern ANT XXIX/3-ECOWED) [CTM2012 39350-C02-01]</t>
  </si>
  <si>
    <t>Spanish Project (Polarstern ANT XIX/3 -ANDEEP-1); Spanish Ministry of Economy, Industry, and Competitiveness(Spanish Government); Spanish Project (Polarstern ANT XXIII/8-CLIMANT); Spanish Project (Polarstern ANT XXIX/3-ECOWED)</t>
  </si>
  <si>
    <t>The collection of the specimens here studied was carried out thanks to the Spanish Projects REN2001-4269-E/ANT (Polarstern ANT XIX/3 -ANDEEP-1), POL2006-06399/CGL (Polarstern ANT XXIII/8-CLIMANT), and CTM2012 39350-C02-01 (Polarstern ANT XXIX/3-ECOWED). This research is supported by the project CTM2017-83920-P (DIVERSICORAL), Spanish Ministry of Economy, Industry, and Competitiveness.</t>
  </si>
  <si>
    <t>10.1007/s12526-020-01109-0</t>
  </si>
  <si>
    <t>OR9YI</t>
  </si>
  <si>
    <t>WOS:000589821200001</t>
  </si>
  <si>
    <t>Yamauchi, M; Johnsen, MG; Enell, CF; Tjulin, A; Willer, A; Sormakov, DA</t>
  </si>
  <si>
    <t>Yamauchi, Masatoshi; Johnsen, Magnar G.; Enell, Carl-Fredrik; Tjulin, Anders; Willer, Anna; Sormakov, Dmitry A.</t>
  </si>
  <si>
    <t>High-latitude crochet: solar-flare-induced magnetic disturbance independent from low-latitude crochet</t>
  </si>
  <si>
    <t>ANNALES GEOPHYSICAE</t>
  </si>
  <si>
    <t>CHROMOSPHERIC FLARES; ELECTRIC-FIELD; IONOSPHERE; CURRENTS; REGION; SQ</t>
  </si>
  <si>
    <t>A solar-flare-induced, high-latitude (peak at 70-75 degrees geographic latitude - GGlat) ionospheric current system was studied. Right after the X9.3 flare on 6 September 2017, magnetic stations at 68-77 degrees GGlat near local noon detected northward geomagnetic deviations (Delta B) for more than 3 h, with peak amplitudes of &gt; 200 nT without any accompanying substorm activities. From its location, this solar flare effect, or crochet, is different from previously studied ones, namely, the subsolar crochet (seen at lower latitudes), auroral crochet (pre-requires auroral electrojet in sunlight), or cusp crochet (seen only in the cusp). The new crochet is much more intense and longer in duration than the subsolar crochet. The long duration matches with the period of high solar X-ray flux (more than M3-class flare level). Unlike the cusp crochet, the interplanetary magnetic field (IMF) BY is not the driver, with the BY values of only 0-1 nT out of a 3 nT total field. The equivalent ionospheric current flows eastward in a limited latitude range but extended at least 8 h in local time (LT), forming a zonal current region equatorward of the polar cap on the geomagnetic closed region. EISCAT radar measurements, which were conducted over the same region as the most intense 1B, show enhancements of electron density (and hence of ion-neutral density ratio) at these altitudes (similar to 100 km) at which strong background ion convection (&gt; 100ms(-1)) pre-existed in the direction of tidal-driven diurnal solar quiet (Sq0) flow. Therefore, this new zonal current can be related to this Sq0-like convection and the electron density enhancement, for example, by descending the E-region height. However, we have not found why the new crochet is found in a limited latitudinal range, and therefore, the mechanism is still unclear compared to the subsolar crochet that is maintained by a transient redistribution of the electron density. The signature is sometimes seen in the auroral electrojet (AE = AU - AL) index. A quick survey for X-class flares during solar cycle 23 and 24 shows clear increases in AU for about half the &gt; X2 flares during non-substorm time, despite the unfavourable latitudinal coverage of the AE stations for detecting this new crochet. Although some of these AU increases could be the auroral crochet signature, the highlatitude crochet can be a rather common feature for X flares. 1. We found a new type of the solar flare effect on the dayside ionospheric current at high latitudes but equatorward of the cusp during quiet periods. 2. The effect is also seen in the AU index for nearly half of the &gt; X2-class solar flares. 3. A case study suggests that the new crochet is related to the Sq0 (tidal-driven part) current.</t>
  </si>
  <si>
    <t>[Yamauchi, Masatoshi] Swedish Inst Space Phys IRF, Kiruna, Sweden; [Johnsen, Magnar G.] UiT Arctic Univ Norway, Tromso Geophys Observ TGO, Tromso, Norway; [Enell, Carl-Fredrik; Tjulin, Anders] EISCAT Sci Assoc, Kiruna, Sweden; [Willer, Anna] Tech Univ Denmark DTU Space, Natl Space Inst, Lyngby, Denmark; [Sormakov, Dmitry A.] Arctic &amp; Antarctic Res Inst AARI, St Petersburg, Russia</t>
  </si>
  <si>
    <t>UiT The Arctic University of Tromso; Technical University of Denmark; Arctic &amp; Antarctic Research Institute</t>
  </si>
  <si>
    <t>Yamauchi, M (corresponding author), Swedish Inst Space Phys IRF, Kiruna, Sweden.</t>
  </si>
  <si>
    <t>m.yamauchi@irf.se</t>
  </si>
  <si>
    <t>Sormakov, Dmitry A/K-1695-2014</t>
  </si>
  <si>
    <t>Naemi Willer, Anna/0000-0002-1762-7630; Yamauchi, Masatoshi/0000-0001-7065-9087; Johnsen, Magnar G./0000-0002-2776-0750; Tjulin, Anders/0000-0003-3810-2937</t>
  </si>
  <si>
    <t>China (CRIRP); Finland (SA); Japan (NIPR); Japan (ISEE); Norway (NFR); Sweden (VR); United Kingdom (UKRI)</t>
  </si>
  <si>
    <t>China (CRIRP); Finland (SA); Japan (NIPR); Japan (ISEE); Norway (NFR)(Research Council of Norway); Sweden (VR)(Swedish Research Council); United Kingdom (UKRI)(UK Research &amp; Innovation (UKRI))</t>
  </si>
  <si>
    <t>We thank WDC Kyoto, NOAA/SWPC, and SuperMAG for the processed data set. We thank Masahiko Takeda for the general information on Sq. We thank the following institutes for maintaining SR Array as this allowed us to obtain Figs. 2., 3 and 4: the Finnish Meteorological Institute (Finland), the Institute of Geophysics, the Polish Academy of Sciences (Poland), the GFZ German Research Centre for Geosciences (Germany), the Geological Survey of Sweden (Sweden), the Sodankyla Geophysical Observatory of the University of Oulu (Finland), the Polar Geophysical Institute (Russia), TGO (Norway), and IRF (Sweden). The University of Iceland is thanked for providing data from the Leirvogur (LRV) Magnetic Observatory. EISCAT is an international association supported by research organisations in China (CRIRP), Finland (SA), Japan (NIPR and ISEE), Norway (NFR), Sweden (VR), and the United Kingdom (UKRI). Masatoshi Yamauchi thanks the IRF magnetometer team for the acquisition of the Kiruna data.</t>
  </si>
  <si>
    <t>0992-7689</t>
  </si>
  <si>
    <t>1432-0576</t>
  </si>
  <si>
    <t>ANN GEOPHYS-GERMANY</t>
  </si>
  <si>
    <t>Ann. Geophys.</t>
  </si>
  <si>
    <t>10.5194/angeo-38-1159-2020</t>
  </si>
  <si>
    <t>Astronomy &amp; Astrophysics; Geosciences, Multidisciplinary; Meteorology &amp; Atmospheric Sciences</t>
  </si>
  <si>
    <t>Astronomy &amp; Astrophysics; Geology; Meteorology &amp; Atmospheric Sciences</t>
  </si>
  <si>
    <t>OQ4KQ</t>
  </si>
  <si>
    <t>gold, Green Submitted, Green Published</t>
  </si>
  <si>
    <t>WOS:000588754700002</t>
  </si>
  <si>
    <t>Scheen, J; Stocker, TF</t>
  </si>
  <si>
    <t>Scheen, Jeemijn; Stocker, Thomas F.</t>
  </si>
  <si>
    <t>Effect of changing ocean circulation on deep ocean temperature in the last millennium</t>
  </si>
  <si>
    <t>ICE-AGE; SENSITIVITY; TRANSPORT; WATER</t>
  </si>
  <si>
    <t>Paleoreconstructions and modern observations provide us with anomalies of surface temperature over the past millennium. The history of deep ocean temperatures is much less well-known and was simulated in a recent study for the past 2000 years under forced surface temperature anomalies and fixed ocean circulation. In this study, we simulate the past 800 years with an illustrative forcing scenario in the Bern3D ocean model, which enables us to assess the impact of changes in ocean circulation on deep ocean temperature. We quantify the effect of changing ocean circulation by comparing transient simulations (where the ocean dynamically adjusts to anomalies in surface temperature - hence density) to simulations with fixed ocean circulation. We decompose temperature, ocean heat content and meridional heat transport into the contributions from changing ocean circulation and changing sea surface temperature (SST). In the deep ocean, the contribution from changing ocean circulation is found to be as important as the changing SST signal itself. Firstly, the small changes in ocean circulation amplify the Little Ice Age signal at around 3 km depth by at least a factor of 2, depending on the basin. Secondly, they fasten the arrival of this atmospheric signal in the Pacific and Southern Ocean at all depths, whereas they delay the arrival in the Atlantic between about 2.5 and 3.5 km by two centuries. This delay is explained by an initial competition between the Little Ice Age cooling and a warming due to an increase in relatively warmer North Atlantic Deep Water at the cost of Antarctic Bottom Water. Under the consecutive Atlantic meridional overturning circulation (AMOC) slowdown, this shift in water masses is inverted and ageing of the water causes a late additional cooling. Our results suggest that small changes in ocean circulation can have a large impact on the amplitude and timing of ocean temperature anomalies below 2 km depth.</t>
  </si>
  <si>
    <t>[Scheen, Jeemijn; Stocker, Thomas F.] Univ Bern, Phys Inst, Climate &amp; Environm Phys, Bern, Switzerland; [Scheen, Jeemijn; Stocker, Thomas F.] Univ Bern, Oeschger Ctr Climate Change Res, Bern, Switzerland</t>
  </si>
  <si>
    <t>University of Bern; University of Bern</t>
  </si>
  <si>
    <t>Scheen, J (corresponding author), Univ Bern, Phys Inst, Climate &amp; Environm Phys, Bern, Switzerland.;Scheen, J (corresponding author), Univ Bern, Oeschger Ctr Climate Change Res, Bern, Switzerland.</t>
  </si>
  <si>
    <t>jeemijn.scheen@climate.unibe.ch</t>
  </si>
  <si>
    <t>Scheen, Jeemijn/0000-0002-6072-0224</t>
  </si>
  <si>
    <t>Swiss National Science Foundation; SNF [200020_172745]</t>
  </si>
  <si>
    <t>Swiss National Science Foundation(Swiss National Science Foundation (SNSF)); SNF</t>
  </si>
  <si>
    <t>This research has been supported by the Swiss National Science Foundation (grant no. SNF 200020_172745).</t>
  </si>
  <si>
    <t>10.5194/esd-11-925-2020</t>
  </si>
  <si>
    <t>OQ4LC</t>
  </si>
  <si>
    <t>WOS:000588756000002</t>
  </si>
  <si>
    <t>Minganti, D; Chabrillat, S; Christophe, Y; Errera, Q; Abalos, M; Prignon, M; Kinnison, DE; Mahieu, E</t>
  </si>
  <si>
    <t>Minganti, Daniele; Chabrillat, Simon; Christophe, Yves; Errera, Quentin; Abalos, Marta; Prignon, Maxime; Kinnison, Douglas E.; Mahieu, Emmanuel</t>
  </si>
  <si>
    <t>Climatological impact of the Brewer-Dobson circulation on the N2O budget in WACCM, a chemical reanalysis and a CTM driven by four dynamical reanalyses</t>
  </si>
  <si>
    <t>ATMOSPHERIC CHEMISTRY AND PHYSICS</t>
  </si>
  <si>
    <t>STRATOSPHERIC WATER-VAPOR; AIR TRENDS; MEAN AGE; INTERANNUAL VARIABILITY; RESIDUAL CIRCULATION; STRUCTURAL-CHANGES; TRACER TRANSPORT; DOWNWARD CONTROL; ANNUAL CYCLE; OZONE</t>
  </si>
  <si>
    <t>The Brewer-Dobson circulation (BDC) is a stratospheric circulation characterized by upwelling of tropospheric air in the tropics, poleward flow in the stratosphere, and downwelling at mid and high latitudes, with important implications for chemical tracer distributions, stratospheric heat and momentum budgets, and mass exchange with the troposphere. As the photochemical losses of nitrous oxide (N2O) are well known, model differences in its rate of change are due to transport processes that can be separated into the mean residual advection and the isentropic mixing terms in the transformed Eulerian mean (TEM) framework. Here, the climatological impact of the stratospheric BDC on the longlived tracer N2O is evaluated through a comparison of its IEM budget in the Whole Atmosphere Community Climate Model (WACCM), in a chemical reanalysis of the Aura Microwave Limb Sounder version 2 (BRAM2) and in a chemistry transport model (CTM) driven by four modern reanalyses: the European Centre for Medium-Range Weather Forecasts Interim reanalysis (ERA-Interim; Dee et al., 2011), the Japanese 55-year Reanalysis (JRA-55; Kobayashi et al., 2015), and the Modern-Era Retrospective analysis for Research and Applications version 1 (MERRA; Rienecker et al., 2011) and version 2 (MERRA-2; Gelaro et al., 2017). The effects of stratospheric transport on the N2O rate of change, as depicted in this study, have not been compared before across this variety of datasets and have never been investigated in a modern chemical reanalysis. We focus on the seasonal means and climatological annual cycles of the two main contributions to the N2O TEM budget: the vertical residual advection and the horizontal mixing terms. The N2O mixing ratio in the CTM experiments has a spread of approximately similar to 20 % in the middle stratosphere, reflecting the large diversity in the mean age of air obtained with the same CTM experiments in a previous study. In all datasets, the TEM budget is closed well; the agreement between the vertical advection terms is qualitatively very good in the Northern Hemisphere, and it is good in the Southern Hemisphere except above the Antarctic region. The datasets do not agree as well with respect to the horizontal mixing term, especially in the Northern Hemisphere where horizontal mixing has a smaller contribution in WACCM than in the reanalyses. WACCM is investigated through three model realizations and a sensitivity test using the previous version of the gravity wave parameterization. The internal variability of the horizontal mixing in WACCM is large in the polar regions and is comparable to the differences between the dynamical reanalyses. The sensitivity test has a relatively small impact on the horizontal mixing term, but it significantly changes the vertical advection term and produces a less realistic N2O annual cycle above the Antarctic. In this region, all reanalyses show a large wintertime N2O decrease, which is mainly due to horizontal mixing. This is not seen with WACCM, where the horizontal mixing term barely contributes to the TEM budget. While we must use caution in the interpretation of the differences in this region (where the reanalyses show large residuals of the TEM budget), they could be due to the fact that the polar jet is stronger and is not tilted equatorward in WACCM compared with the reanalyses. We also compare the interannual variability in the horizontal mixing and the vertical advection terms between the different datasets. As expected, the horizontal mixing term presents a large variability during austral fall and boreal winter in the polar regions. In the tropics, the interannual variability of the vertical advection term is much smaller in WACCM and JRA-55 than in the other experiments. The large residual in the reanalyses and the disagreement between WACCM and the reanalyses in the Antarctic region highlight the need for further investigations on the modeling of transport in this region of the stratosphere.</t>
  </si>
  <si>
    <t>[Minganti, Daniele; Chabrillat, Simon; Christophe, Yves; Errera, Quentin] Royal Belgian Inst Space Aeron, BIRA IASB, B-1180 Brussels, Belgium; [Abalos, Marta] Univ Complutense Madrid, Earth Phys &amp; Astrophys Dept, Madrid 28040, Spain; [Prignon, Maxime; Mahieu, Emmanuel] Univ Liege, Inst Astrophys &amp; Geophys, B-4000 Liege, Belgium; [Kinnison, Douglas E.] Natl Ctr Atmospher Res, Boulder, CO 80301 USA</t>
  </si>
  <si>
    <t>Complutense University of Madrid; University of Liege; National Center Atmospheric Research (NCAR) - USA</t>
  </si>
  <si>
    <t>Minganti, D (corresponding author), Royal Belgian Inst Space Aeron, BIRA IASB, B-1180 Brussels, Belgium.</t>
  </si>
  <si>
    <t>daniele.minganti@aeronomie.be</t>
  </si>
  <si>
    <t>; Abalos, Marta/J-8455-2016</t>
  </si>
  <si>
    <t>Errera, Quentin/0000-0002-4818-4879; Abalos, Marta/0000-0002-1267-5115; Mahieu, Emmanuel/0000-0002-5251-0286; Minganti, Daniele/0000-0001-6131-2794; Chabrillat, Simon/0000-0003-4378-1567; Prignon, Maxime/0000-0001-6436-280X; Christophe, Yves/0000-0003-3243-5036</t>
  </si>
  <si>
    <t>F.R.S. -FNRS (Brussels) [PDR.T.0040.16]</t>
  </si>
  <si>
    <t>F.R.S. -FNRS (Brussels)(Fonds de la Recherche Scientifique - FNRS)</t>
  </si>
  <si>
    <t>This research has been supported by the F.R.S. -FNRS (Brussels) (grant no. PDR.T.0040.16).</t>
  </si>
  <si>
    <t>1680-7316</t>
  </si>
  <si>
    <t>1680-7324</t>
  </si>
  <si>
    <t>ATMOS CHEM PHYS</t>
  </si>
  <si>
    <t>Atmos. Chem. Phys.</t>
  </si>
  <si>
    <t>10.5194/acp-20-12609-2020</t>
  </si>
  <si>
    <t>Environmental Sciences; Meteorology &amp; Atmospheric Sciences</t>
  </si>
  <si>
    <t>Environmental Sciences &amp; Ecology; Meteorology &amp; Atmospheric Sciences</t>
  </si>
  <si>
    <t>OK1BX</t>
  </si>
  <si>
    <t>Green Accepted, Green Submitted, gold</t>
  </si>
  <si>
    <t>WOS:000584387800001</t>
  </si>
  <si>
    <t>Smith, ND; Makovicky, PJ; Sidor, CA; Hammer, WR</t>
  </si>
  <si>
    <t>Smith, Nathan D.; Makovicky, Peter J.; Sidor, Christian A.; Hammer, William R.</t>
  </si>
  <si>
    <t>A kannemeyeriiform (Synapsida: Dicynodontia) occipital plate from the Middle Triassic upper Fremouw Formation of Antarctica</t>
  </si>
  <si>
    <t>JOURNAL OF VERTEBRATE PALEONTOLOGY</t>
  </si>
  <si>
    <t>ZONE BEAUFORT GROUP; HANSON FORMATION; SOUTH-AFRICA; THERAPSIDA; ANOMODONTIA; KAROO; BIOSTRATIGRAPHY; RECONSTRUCTION; TEMNOSPONDYL; BIOGEOGRAPHY</t>
  </si>
  <si>
    <t>A kannemeyeriiform dicynodont is described on the basis of an occipital plate from the upper Fremouw Formation (Middle Triassic) Gordon Valley locality in the Beardmore Glacier region of Antarctica. The Antarctic specimen is comparable in size to Kannemeyeria simocephalus from the well-known Cynognathus Assemblage Zone of the Beaufort Group of South Africa, and represents the largest therapsid currently known from the upper Fremouw Formation. The presence of an occipital condyle with distinct contributions from the exoccipital and the basioccipital; a wide, tri-radiate occipital condyle; and a well-developed tympanic process of the paroccipital, which is situated below the level of the occipital condyle, represent a combination of character states hitherto unknown among Kannemeyeriiformes. Combined with the possible autapomorphic feature of slender, dorsoventrally elongate basal tubera, this may suggest the Antarctic specimen represents a new kannemeyeriiform taxon. This specimen represents the most complete, and only the fourth definitive, dicynodont specimen known from the upper Fremouw Formation, and the contradictory phylogenetic character data from these specimens adds support for the presence of multiple (at least two) kannemeyeriiform taxa within the upper Fremouw tetrapod assemblage. Taken together, these kannemeyeriiform specimens provide additional support for a correlation with the Cynognathus Assemblage Zone, particularly the Trirachodon-Kannemeyeria or Cricodon-Ufudocyclops subzones (= subzones B or C), as well as an Anisian or younger age for the upper Fremouw tetrapod fauna.</t>
  </si>
  <si>
    <t>[Smith, Nathan D.] Nat Hist Museum Los Angeles Cty, Dinosaur Inst, 900 Exposit Blvd, Los Angeles, CA 90007 USA; [Makovicky, Peter J.] Univ Minnesota, Dept Earth &amp; Environm Sci, 116 Church St SE, Minneapolis, MN 55455 USA; [Sidor, Christian A.] Univ Washington, Dept Biol, Seattle, WA 98195 USA; [Sidor, Christian A.] Univ Washington, Burke Museum, Seattle, WA 98195 USA; [Hammer, William R.] Augustana Coll, Dept Geol, 639 38th St, Rock Isl, IL 61201 USA</t>
  </si>
  <si>
    <t>University of Minnesota System; University of Minnesota Twin Cities; University of Washington; University of Washington Seattle; University of Washington; University of Washington Seattle</t>
  </si>
  <si>
    <t>Smith, ND (corresponding author), Nat Hist Museum Los Angeles Cty, Dinosaur Inst, 900 Exposit Blvd, Los Angeles, CA 90007 USA.</t>
  </si>
  <si>
    <t>nsmith@nhm.org; pmakovic@umn.edu; casidor@uw.edu; williamhammer@augustana.edu</t>
  </si>
  <si>
    <t>Smith, Nathan John/JXY-5736-2024</t>
  </si>
  <si>
    <t>Smith, Nathan John/0009-0000-1982-8420; Smith, Nathan/0000-0001-5554-4994; Sidor, Christian/0000-0003-0742-4829</t>
  </si>
  <si>
    <t>NSF [DPP 88-17023, ANT-1341475, ANT-1341304, ANT-1341645]</t>
  </si>
  <si>
    <t>NSF(National Science Foundation (NSF))</t>
  </si>
  <si>
    <t>For access to specimens in their collections, we thank M. Norell, and C. Mehling (AMNH), and M. Walsh (LACM), as well as the University of Michigan's Online Repository of Fossils (UMORF), which includes a 3D scan of Kannemeyeria sp. (UMMP VP 14530). C. Kammerer (North Carolina Museum of Natural Sciences) is thanked for providing access to numerous specimen photos and insight into dicynodont anatomy and phylogeny. We would like to thank past and current United States Antarctic Program field and support staff and contractors for enabling remote field research in the central Transantarctic Mountains. We also wish to thank JVP Senior Editors A. Lopez-Arbarello and A. Turner, and Associate Editor P. Viglietti, for their constructive feedback on the manuscript. P. Viglietti and C. Kammerer are also thanked for their thoughtful and insightful reviews, which benefited the final version. Funding for field work was provided by NSF DPP 88-17023 to W.R.H., and this research was also supported by NSF ANT-1341475 to NDS, NSF ANT-1341304 to C.A.S., and NSF ANT-1341645 to P.J.M.</t>
  </si>
  <si>
    <t>TAYLOR &amp; FRANCIS INC</t>
  </si>
  <si>
    <t>PHILADELPHIA</t>
  </si>
  <si>
    <t>530 WALNUT STREET, STE 850, PHILADELPHIA, PA 19106 USA</t>
  </si>
  <si>
    <t>0272-4634</t>
  </si>
  <si>
    <t>1937-2809</t>
  </si>
  <si>
    <t>J VERTEBR PALEONTOL</t>
  </si>
  <si>
    <t>J. Vertebr. Paleontol.</t>
  </si>
  <si>
    <t>DEC 1</t>
  </si>
  <si>
    <t>e1829634</t>
  </si>
  <si>
    <t>10.1080/02724634.2020.1829634</t>
  </si>
  <si>
    <t>Paleontology</t>
  </si>
  <si>
    <t>PL4DJ</t>
  </si>
  <si>
    <t>WOS:000585467300001</t>
  </si>
  <si>
    <t>Tarling, GA; Hobbs, C; Johnson, ML; Lorda, JF</t>
  </si>
  <si>
    <t>Tarling, G. A.; Hobbs, C.; Johnson, M. L.; Farber Lorda, J.</t>
  </si>
  <si>
    <t>Comparative morphology of Southern Ocean Euphausia species: ecological significance of sexual dimorphic features</t>
  </si>
  <si>
    <t>POLAR BIOLOGY</t>
  </si>
  <si>
    <t>Antarctic krill; Euphausiids; Swarm; Reproduction; Swimming; Mating</t>
  </si>
  <si>
    <t>ANTARCTIC KRILL; BIOCHEMICAL DIFFERENTIATION; MEGANYCTIPHANES-NORVEGICA; OVARIAN DEVELOPMENT; NORTHERN KRILL; SUPERBA DANA; SHRINKAGE; CRUSTACEA; BEHAVIOR; GROWTH</t>
  </si>
  <si>
    <t>Species of the genus Euphausia dominate the euphausiid biomass of the Southern Ocean, the three largest being Euphausia superba, E. triacantha and E. crystallorophias. We measured a number of morphological features to identify differences between, and within, these species to obtain ecological insights. Interspecifically, the greatest difference was carapace size, with that of E. superba being by far the largest and most variable. This likely reflects its prolific spawning capacity compared with other euphausiid species. E. triacantha exhibited an extended sixth abdominal segment that could facilitate greater levels of thrust in the tail flip escape response. The pleopods, which provide propulsion in forward swimming, were more than 50% larger in E. superba, indicating a greater capacity for directional movement at high velocities. E. crystallorophias had eyes that were almost double the size of those in E. superba and E. triacantha, which may help retain visual resolution within its under-ice habitat. Intraspecifically, we found the above morphological features differed little between sexes and developmental stages in E. crystallorophias and E. triacantha, but differed significantly in E. superba. Compared to females and juveniles, male E. superba had significantly larger eyes and pleopods, whilst the carapace in males became shorter as a proportion of body length during growth. These features indicate a greater capacity for searching and swimming in males, which, we hypothesise, increases their ability to locate and fertilise females. This morphological specialisation in male E. superba is indicative of comparatively greater inter-male competition resulting from its tendency to form large, dense swarms.</t>
  </si>
  <si>
    <t>[Tarling, G. A.] NERC, British Antarctic Survey, Madingley Rd, Cambridge CB3 0ET, England; [Hobbs, C.; Johnson, M. L.] Hull Univ, Biol &amp; Marine Sci, Kingston Upon Hull HU6 7RX, N Humberside, England; [Farber Lorda, J.] CICESE, Div Oceanol, Carr Ensenada Tijuana 3918, Ensenada, Baja California, Mexico</t>
  </si>
  <si>
    <t>UK Research &amp; Innovation (UKRI); Natural Environment Research Council (NERC); NERC British Antarctic Survey; University of Hull; CICESE - Centro de Investigacion Cientifica y de Educacion Superior de Ensenada</t>
  </si>
  <si>
    <t>Tarling, GA (corresponding author), NERC, British Antarctic Survey, Madingley Rd, Cambridge CB3 0ET, England.;Hobbs, C (corresponding author), Hull Univ, Biol &amp; Marine Sci, Kingston Upon Hull HU6 7RX, N Humberside, England.</t>
  </si>
  <si>
    <t>gant@bas.ac.uk; cihobbs95@gmail.com</t>
  </si>
  <si>
    <t>Tarling, Geraint/0000-0002-3753-5899</t>
  </si>
  <si>
    <t>British Antarctic Survey, Natural Environment Research Council; University of Hull; NERC [bas0100035] Funding Source: UKRI</t>
  </si>
  <si>
    <t>British Antarctic Survey, Natural Environment Research Council; University of Hull; NERC(UK Research &amp; Innovation (UKRI)Natural Environment Research Council (NERC))</t>
  </si>
  <si>
    <t>The research was supported by the British Antarctic Survey, Natural Environment Research Council and by the University of Hull.</t>
  </si>
  <si>
    <t>0722-4060</t>
  </si>
  <si>
    <t>1432-2056</t>
  </si>
  <si>
    <t>POLAR BIOL</t>
  </si>
  <si>
    <t>Polar Biol.</t>
  </si>
  <si>
    <t>10.1007/s00300-020-02764-6</t>
  </si>
  <si>
    <t>Biodiversity Conservation; Ecology</t>
  </si>
  <si>
    <t>OV4JJ</t>
  </si>
  <si>
    <t>WOS:000584984800001</t>
  </si>
  <si>
    <t>Shokr, ME; Wang, ZH; Liu, TT</t>
  </si>
  <si>
    <t>Shokr, Mohammed E.; Wang, Zihan; Liu, Tingting</t>
  </si>
  <si>
    <t>Sea ice drift and arch evolution in the Robeson Channel using the daily coverage of Sentinel-1 SAR data for the 2016-2017 freezing season</t>
  </si>
  <si>
    <t>NARES STRAIT; OCEAN; CIRCULATION; TRACKING; MOTION</t>
  </si>
  <si>
    <t>The Robeson Channel is a narrow sea water passage between Greenland and Ellesmere Island in the Arctic. It is a pathway of sea ice from the central Arctic and out to Baffin Bay. In this study, we used a set of daily synthetic aperture radar (SAR) images from the Sentinel-1A/1B satellites, acquired between September 2016 and April 2017, to study the kinematics of individual ice floes as they approach and then drift through the Robeson Channel. The tracking of 39 selected ice floes was visually performed in the image sequence, and their speed was calculated and linked to the reanalysis 10m wind from ERA5. The results show that the drift of ice floes is very slow in the compact ice regime upstream of the Robeson Channel, unless the ice floe is surrounded by water or thin ice. In this case, the wind has more influence on the drift. On the other hand, the ice floe drift is found to be about 4-5 times faster in the open-drift regime within the Robeson Channel and is clearly influenced by wind. A linear trend is found between the change in wind and the change in ice drift speed components, along the length of the channel. Case studies are presented to reveal the role of wind in ice floe drift. This paper also addresses the development of the ice arch at the entry of the Robeson Channel, which started development on 24 January and matured on 1 February 2017. Details of the development, obtained using the sequential SAR images, are presented. It is found that the arch's shape continued to adjust by rupturing ice pieces at the locations of cracks under the influence of the southward wind (and hence the contour kept displacing northward). The findings of this study highlight the advantage of using the high-resolution daily SAR coverage in monitoring aspects of sea ice cover in narrow water passages where the ice cover is highly dynamic. The information will be particularly interesting for the possible applications of SAR constellation systems.</t>
  </si>
  <si>
    <t>[Shokr, Mohammed E.] Environm &amp; Climate Change Canada, Meteorol Res Div, Toronto, ON M3H 5T4, Canada; [Wang, Zihan; Liu, Tingting] Wuhan Univ, Chinese Antarctic Ctr Surveying &amp; Mapping, Wuhan 430079, Peoples R China</t>
  </si>
  <si>
    <t>Environment &amp; Climate Change Canada; Wuhan University</t>
  </si>
  <si>
    <t>Liu, TT (corresponding author), Wuhan Univ, Chinese Antarctic Ctr Surveying &amp; Mapping, Wuhan 430079, Peoples R China.</t>
  </si>
  <si>
    <t>ttliu23@whu.edu.cn</t>
  </si>
  <si>
    <t>Liu, Tingting/HCH-2239-2022</t>
  </si>
  <si>
    <t>Wang, Zihan/0000-0002-6553-6805</t>
  </si>
  <si>
    <t>National Key Research and Development Program of China [2018YFC1406102]; Key Laboratory of Global Change and Marine-Atmospheric Chemistry [GCMAC1806]; National Natural Science Foundation of China [41676179, 41941010]</t>
  </si>
  <si>
    <t>National Key Research and Development Program of China; Key Laboratory of Global Change and Marine-Atmospheric Chemistry; National Natural Science Foundation of China(National Natural Science Foundation of China (NSFC))</t>
  </si>
  <si>
    <t>This work was supported in part by the National Key Research and Development Program of China (no. 2018YFC1406102), the fund of the Key Laboratory of Global Change and Marine-Atmospheric Chemistry (no. GCMAC1806), and the National Natural Science Foundation of China (nos. 41676179 and 41941010).</t>
  </si>
  <si>
    <t>NOV 2</t>
  </si>
  <si>
    <t>10.5194/tc-14-3611-2020</t>
  </si>
  <si>
    <t>OQ4AT</t>
  </si>
  <si>
    <t>WOS:000588728500001</t>
  </si>
  <si>
    <t>Li, T; Dawson, GJ; Chuter, SJ; Bamber, JL</t>
  </si>
  <si>
    <t>Li, Tian; Dawson, Geoffrey J.; Chuter, Stephen J.; Bamber, Jonathan L.</t>
  </si>
  <si>
    <t>Mapping the grounding zone of Larsen C Ice Shelf, Antarctica, from ICESat-2 laser altimetry</t>
  </si>
  <si>
    <t>PINE ISLAND GLACIER; LINE RETREAT; STABILITY; MODIS; MODEL</t>
  </si>
  <si>
    <t>We present a new, fully automated method of mapping the Antarctic Ice Sheet's grounding zone using a repeat-track analysis and crossover analysis of newly acquired ICESat-2 laser altimeter data. We map the position of the landward limit of tidal flexure and the inshore limit of hydrostatic equilibrium, as demonstrated over the mountainous and hitherto difficult to survey grounding zone of Larsen C Ice Shelf. Since the start of data acquisition in 2018, our method has already achieved a near 9-fold increase in the number of grounding zone observations compared with ICESat, which operated between 2003 and 2009. We have improved coverage in particular over the previously poorly mapped the Bawden and Gipps ice rises and Hearst Island. Acting as a reliable proxy for the grounding line, which cannot be directly imaged by satellites, our ICESat-2-derived landward limit of tidal flexure locations agrees well with independently obtained measurements, with a mean absolute difference and standard deviation of 0.39 and 0.32 km, respectively, compared to interferometric synthetic-aperture-radar-based observations. Our results demonstrate the efficiency, density, and high spatial accuracy with which ICESat-2 can image complex grounding zones and its clear potential for future mapping of the pan-ice sheet grounding zone.</t>
  </si>
  <si>
    <t>[Li, Tian; Dawson, Geoffrey J.; Chuter, Stephen J.; Bamber, Jonathan L.] Univ Bristol, Sch Geog Sci, Bristol Glaciol Ctr, Bristol BS8 1SS, Avon, England</t>
  </si>
  <si>
    <t>University of Bristol</t>
  </si>
  <si>
    <t>Li, T (corresponding author), Univ Bristol, Sch Geog Sci, Bristol Glaciol Ctr, Bristol BS8 1SS, Avon, England.</t>
  </si>
  <si>
    <t>tian.li@bristol.ac.uk</t>
  </si>
  <si>
    <t>Bamber, Jonathan/C-7608-2011</t>
  </si>
  <si>
    <t>Bamber, Jonathan/0000-0002-2280-2819; Chuter, Stephen/0000-0002-2189-6235; Dawson, Geoffrey/0000-0001-9873-2266; Li, Tian/0000-0002-1577-4004</t>
  </si>
  <si>
    <t>China Scholarship Council (CSC) - University of Bristol; NERC [NE/N011511/1] Funding Source: UKRI</t>
  </si>
  <si>
    <t>China Scholarship Council (CSC) - University of Bristol; NERC(UK Research &amp; Innovation (UKRI)Natural Environment Research Council (NERC))</t>
  </si>
  <si>
    <t>This work was supported by the China Scholarship Council (CSC) - University of Bristol joint-funded PhD scholarship.</t>
  </si>
  <si>
    <t>10.5194/tc-14-3629-2020</t>
  </si>
  <si>
    <t>WOS:000588728500002</t>
  </si>
  <si>
    <t>Cui, XB; Du, WJ; Xie, H; Sun, B</t>
  </si>
  <si>
    <t>Cui, Xiangbin; Du, Wenjia; Xie, Huan; Sun, Bo</t>
  </si>
  <si>
    <t>The ice flux to the Lambert Glacier and Amery Ice Shelf along the Chinese inland traverse and implications for mass balance of the drainage basins, East Antarctica</t>
  </si>
  <si>
    <t>POLAR RESEARCH</t>
  </si>
  <si>
    <t>Surface mass balance; ice-penetrating radar; ice thickness; drainage system; Dome A; Antarctic Ice Sheet</t>
  </si>
  <si>
    <t>ZHONGSHAN STATION; SNOW-ACCUMULATION; SATELLITE RADAR; TOTTEN GLACIER; SURFACE; CLIMATE; SYSTEM; THICKNESS; MODEL; TEMPERATURE</t>
  </si>
  <si>
    <t>Study of the mass balance of the Antarctic Ice Sheet is critical to estimate its potential contribution to global sea-level rise in the future. As the largest drainage system, the Lambert Glacier-Amery Ice Shelf drainage system plays an important role in the mass balance of the Antarctic Ice Sheet. In this study, the ice thickness measured by airborne ice-penetrating radar with high spatial resolution and accuracy and accurate ice velocity measured by in situ GPS -stations along the route of the Chinese National Antarctic Research Expedition inland traverse were used to calculate the ice flux with unprecedented accuracy. This transverse is from Zhongshan Station to Dome A, passing through the east side of the Lambert Glacier and the smaller coastal glacier in the C-Cp basin. The results show that the ice flux across the entire traverse is 24.7 +/- 2.8 Gt a(-1), along which the section in drainage basin B-C (Lambert Glacier) has an ice flux of 20.9 +/- 1.9 Gt a(-1) and the section in drainage basin C-Cp (basin adjacent to Lambert Glacier) contributed 3.8 +/- 0.4 Gt a(-1). The ice flux values in both regions are coincident with the mass balance calculated from the Ice, Cloud, and Land Elevation Satellite, Earth Observing System. Meanwhile, the C-Cp basin shows an ice flux value of 6.6 +/- 0.8 Gt a(-1) across the grounding line.</t>
  </si>
  <si>
    <t>[Cui, Xiangbin; Sun, Bo] Polar Res Inst China, Shanghai, Peoples R China; [Du, Wenjia; Xie, Huan] Tongji Univ, Ctr Spatial Informat Sci &amp; Sustainable Dev, Shanghai 200092, Peoples R China; [Du, Wenjia; Xie, Huan] Tongji Univ, Coll Surveying &amp; Geoinformat, Shanghai 200092, Peoples R China</t>
  </si>
  <si>
    <t>Polar Research Institute of China; Tongji University; Tongji University</t>
  </si>
  <si>
    <t>Xie, H (corresponding author), Tongji Univ, Ctr Spatial Informat Sci &amp; Sustainable Dev, Shanghai 200092, Peoples R China.;Xie, H (corresponding author), Tongji Univ, Coll Surveying &amp; Geoinformat, Shanghai 200092, Peoples R China.</t>
  </si>
  <si>
    <t>huanxie@tongji.edu.cn</t>
  </si>
  <si>
    <t>sun, bo/JFA-9978-2023; xie, huan/GQQ-4398-2022</t>
  </si>
  <si>
    <t>National Key Research and Development Program of China [2017YFA0603100]; Chinese National Natural Science Foundation [41730102, 41571407, 41822106, 41776186, 41941006]; Shanghai Science and Technology Innovation Action Plan Programme [18511102100]; Shuguang Programme - Shanghai Education Development Foundation; Shanghai Municipal Education Commission [18SG22]; Fundamental Research Funds for the Central Universities</t>
  </si>
  <si>
    <t>National Key Research and Development Program of China; Chinese National Natural Science Foundation(National Natural Science Foundation of China (NSFC)); Shanghai Science and Technology Innovation Action Plan Programme; Shuguang Programme - Shanghai Education Development Foundation; Shanghai Municipal Education Commission(Shanghai Municipal Education Commission (SHMEC)); Fundamental Research Funds for the Central Universities(Fundamental Research Funds for the Central Universities)</t>
  </si>
  <si>
    <t>This work was supported by the National Key Research and Development Program of China (grant no. 2017YFA0603100), the Chinese National Natural Science Foundation (grant nos. 41730102, 41571407, 41822106, 41776186 and 41941006), the Shanghai Science and Technology Innovation Action Plan Programme (grant no. 18511102100), the Shuguang Programme supported by the Shanghai Education Development Foundation and Shanghai Municipal Education Commission (grant no. 18SG22), and the Fundamental Research Funds for the Central Universities.</t>
  </si>
  <si>
    <t>NORWEGIAN POLAR INST</t>
  </si>
  <si>
    <t>TROMSO</t>
  </si>
  <si>
    <t>POLAR ENVIRONMENTAL CENTRE, HJALMAR JOHANSENSGATE 14, TROMSO, FRAMSENTERET, NORWAY</t>
  </si>
  <si>
    <t>0800-0395</t>
  </si>
  <si>
    <t>1751-8369</t>
  </si>
  <si>
    <t>POLAR RES</t>
  </si>
  <si>
    <t>Polar Res.</t>
  </si>
  <si>
    <t>10.33265/polar.v39.3582</t>
  </si>
  <si>
    <t>Ecology; Geosciences, Multidisciplinary; Oceanography</t>
  </si>
  <si>
    <t>Environmental Sciences &amp; Ecology; Geology; Oceanography</t>
  </si>
  <si>
    <t>OO9AJ</t>
  </si>
  <si>
    <t>WOS:000587665300001</t>
  </si>
  <si>
    <t>Warne, MT; Gallagher, SJ</t>
  </si>
  <si>
    <t>Warne, Mark T.; Gallagher, Stephen J.</t>
  </si>
  <si>
    <t>Palaeobiogeographical affinities and palaeoceanographical significance of late Cretaceous Ostracoda (Crustacea) from Voluta-1, Otway Basin, southeastern Australia</t>
  </si>
  <si>
    <t>ALCHERINGA</t>
  </si>
  <si>
    <t>Ostracoda; Cretaceous; marine; Otway Basin; Australia; palaeobiogeography; palaeoceanography</t>
  </si>
  <si>
    <t>MAJUNGAELLA; GREKOFF</t>
  </si>
  <si>
    <t>A continental shelf to upper continental slope ostracod fauna is documented from the late Cretaceous (late Turonian to Santonian) Belfast Mudstone in Voluta-1 of the Otway Basin, southeastern Australia. The fauna has palaeobiogeographical affinities with mid-late Cretaceous ostracod faunas of Western Australia, New Zealand, the Antarctic Peninsula and the Falklands Plateau. This distribution pattern probably reflects dispersal influenced by the opening of the Australo-Antarctic Gulf, and by clockwise gyre currents in the proto Southern Ocean. The presence of Philoneptunus sp. in this fauna suggests that the Australo-Antarctic Gulf was an important locus for deep sea colonization by Gondwanan neritic ostracod clades.</t>
  </si>
  <si>
    <t>[Warne, Mark T.] Deakin Univ, Geelong, Vic, Australia; [Warne, Mark T.] Sch Life &amp; Environm Sci, Melbourne Campus,221 Burwood Highway, Burwood, Vic 3125, Australia; [Warne, Mark T.] Ctr Integrat Ecol, Melbourne Campus,221 Burwood Highway, Burwood, Vic 3125, Australia; [Gallagher, Stephen J.] Univ Melbourne, Sch Earth Sci, Melbourne, Vic 3010, Australia</t>
  </si>
  <si>
    <t>Deakin University; University of Melbourne; Melbourne Bioinformatics</t>
  </si>
  <si>
    <t>Warne, MT (corresponding author), Deakin Univ, Geelong, Vic, Australia.;Warne, MT (corresponding author), Sch Life &amp; Environm Sci, Melbourne Campus,221 Burwood Highway, Burwood, Vic 3125, Australia.;Warne, MT (corresponding author), Ctr Integrat Ecol, Melbourne Campus,221 Burwood Highway, Burwood, Vic 3125, Australia.</t>
  </si>
  <si>
    <t>mwarne@deakin.edu.au; sjgall@unimelb.edu.au</t>
  </si>
  <si>
    <t>Gallagher, Stephen/AFL-9448-2022; Warne, Mark/I-1890-2016</t>
  </si>
  <si>
    <t>Gallagher, Stephen/0000-0002-5593-2740; Warne, Mark/0000-0001-5456-191X</t>
  </si>
  <si>
    <t>ARC SPIRT Grant [C00106901]; ARC Basins Genesis Hub [IH130200012]; Deakin University</t>
  </si>
  <si>
    <t>ARC SPIRT Grant(Australian Research Council); ARC Basins Genesis Hub; Deakin University</t>
  </si>
  <si>
    <t>Funding was provided to S.J.G. by an ARC SPIRT Grant [C00106901] and the ARC Basins Genesis Hub [IH130200012]. M.T.W. acknowledges research support from Deakin University.</t>
  </si>
  <si>
    <t>0311-5518</t>
  </si>
  <si>
    <t>1752-0754</t>
  </si>
  <si>
    <t>Alcheringa</t>
  </si>
  <si>
    <t>OCT 1</t>
  </si>
  <si>
    <t>10.1080/03115518.2020.1832574</t>
  </si>
  <si>
    <t>QF5LS</t>
  </si>
  <si>
    <t>WOS:000585427800001</t>
  </si>
  <si>
    <t>Shabangu, FW; Andrew, RK; Findlay, K</t>
  </si>
  <si>
    <t>Shabangu, Fannie W.; Andrew, Rex K.; Findlay, Ken</t>
  </si>
  <si>
    <t>Acoustic occurrence, diel-vocalizing pattern, and detection ranges of southern right whale gunshot sounds off South Africa's west coast</t>
  </si>
  <si>
    <t>MARINE MAMMAL SCIENCE</t>
  </si>
  <si>
    <t>ATLANTIC RIGHT WHALES; PACIFIC RIGHT WHALE; EUBALAENA-AUSTRALIS; HUMPBACK WHALES; CALL PRODUCTION; SPERM-WHALES; OCEAN; BAY; MOVEMENTS; BEHAVIOR</t>
  </si>
  <si>
    <t>[Shabangu, Fannie W.] Dept Environm Forestry &amp; Fisheries, Fisheries Management Branch, Cape Town, South Africa; [Shabangu, Fannie W.; Findlay, Ken] Univ Pretoria, Mammal Res Inst Whale Unit, Pretoria, South Africa; [Andrew, Rex K.] Univ Washington, Appl Phys Lab, Seattle, WA 98105 USA; [Findlay, Ken] Cape Peninsula Univ Technol, Fac Sci Appl, Ctr Sustainable Oceans, Cape Town, South Africa</t>
  </si>
  <si>
    <t>University of Pretoria; University of Washington; University of Washington Seattle; Cape Peninsula University of Technology</t>
  </si>
  <si>
    <t>Shabangu, FW (corresponding author), Private Bag X2, ZA-8018 Vlaeberg, South Africa.</t>
  </si>
  <si>
    <t>fannie.shabangu@yahoo.com</t>
  </si>
  <si>
    <t>Findlay, Ken/A-5766-2019</t>
  </si>
  <si>
    <t>Findlay, Ken/0000-0001-7154-8805; Shabangu, Fannie W./0000-0002-3668-3566</t>
  </si>
  <si>
    <t>South African National Antarctic Programme [SNA 2011112500003]</t>
  </si>
  <si>
    <t>South African National Antarctic Programme</t>
  </si>
  <si>
    <t>South African National Antarctic Programme, Grant/Award Number: SNA 2011112500003</t>
  </si>
  <si>
    <t>0824-0469</t>
  </si>
  <si>
    <t>1748-7692</t>
  </si>
  <si>
    <t>MAR MAMMAL SCI</t>
  </si>
  <si>
    <t>Mar. Mamm. Sci.</t>
  </si>
  <si>
    <t>10.1111/mms.12760</t>
  </si>
  <si>
    <t>Marine &amp; Freshwater Biology; Zoology</t>
  </si>
  <si>
    <t>RK9JH</t>
  </si>
  <si>
    <t>hybrid</t>
  </si>
  <si>
    <t>WOS:000583766700001</t>
  </si>
  <si>
    <t>Zahri, KNM; Zulkharnain, A; Gomez-Fuentes, C; Sabri, S; Ahmad, SA</t>
  </si>
  <si>
    <t>Zahri, K. N. M.; Zulkharnain, A.; Gomez-Fuentes, C.; Sabri, S.; Ahmad, S. A.</t>
  </si>
  <si>
    <t>Effects of heavy metals on Antarctic bacterial cell growth kinetics and degradation of waste canola oil</t>
  </si>
  <si>
    <t>JOURNAL OF ENVIRONMENTAL BIOLOGY</t>
  </si>
  <si>
    <t>Antarctic; Canola oil; Degradation; Heavy metal; Kinetic growth</t>
  </si>
  <si>
    <t>BIODEGRADATION; BIOREMEDIATION; HYDROCARBONS; PHENOL; IMPACT</t>
  </si>
  <si>
    <t>Aim: The aim of the present study was to study the effect of heavy metals on growth kinetics of Antarctic bacterial in degradation of waste canola oil. Methodology: The BS14Antarctic bacterial community was introduced in the minimal salt media containing 1 ppm of heavy metals (Cd, Cr, Al, Zn, Ni,As and Co) with 1% waste canola oil, and the effects of heavy metals on biodegradation of waste canola oil was analysed by gravimetric analysis. The turbidity of bacteria was obtained through UV-visible spectroscopy at 600 nm of wavelength for every 24 hr within seven days of incubation period, and the data were regressed with linear and non-linear kinetic equations. Results: The results demonstrated that Co was the most active metal that led to 4.217% increase in waste canola oil and the least active metal in biodegradation of oil was zinc, as it degraded the waste canola oil only to 29.26%. Overall, the bacterial growth was inhibited in increasing order of Al &gt; Cd&gt; As&gt; Zn&gt; Ni&gt; Cr&gt; Co whereas the waste canola oil biodegradation was inhibited in the order of Zn&gt; Cr&gt; Ni&gt; Al&gt; Cd&gt; As&gt; Co. The best fitted regression model was determined by comparing the kinetic parameters estimated between linear and non-linear model equations, where the Fe value for non-linear regression was highest at 0.8421, and low sy.x at 0.324 for Ni with a maximum growth rate (0.01131 hr(1)) of the Antarctic bacterial in degrading waste canola oil, meantime best-fitted in the linear regression model was Zn with high Wand growth constant values (0.9082 and 0.2075hr(1),respectively) as well as low value of statistical error, which was 0.2075. Interpretation: The presence of heavy metals in Antarctic bacterial community could suppress the ability of bacteria to degrade waste canola oil, and this can slower the rate of bacterial growth in the kinetics studies. Hence, this work would be helpful in actual bioremediation operations by understanding and manipulating the process of the kinetics parameters. [Graphics]</t>
  </si>
  <si>
    <t>[Zahri, K. N. M.; Ahmad, S. A.] Univ Putra Malaysia, Fac Biotechnol &amp; Biomol Sci, Dept Biochem, Upm Serdang 43400, Selangor, Malaysia; [Zulkharnain, A.] Shibaura Inst Technol, Coll Syst Engn &amp; Sci, Dept Biosci &amp; Engn, Minuma Ku, 307 Fukasaku, Saitama 3378570, Japan; [Gomez-Fuentes, C.] Univ Magallanes, Dept Chem Engn, Avda Bulnes, Punta Arenas 01855, Region De Magal, Chile; [Sabri, S.] Univ Putra Malaysia, Fac Biotechnol &amp; Biomol Sci, Dept Microbiol, Upm Serdang 43400, Selangor, Malaysia; [Ahmad, S. A.] Univ Malaya, Natl Antarctic Res Ctr, B303 Level 3,Block B,IPS Bldg, Kuala Lumpur 50603, Malaysia</t>
  </si>
  <si>
    <t>Universiti Putra Malaysia; Shibaura Institute of Technology; Universidad de Magallanes; Universiti Putra Malaysia; Universiti Malaya</t>
  </si>
  <si>
    <t>Ahmad, SA (corresponding author), Univ Putra Malaysia, Fac Biotechnol &amp; Biomol Sci, Dept Biochem, Upm Serdang 43400, Selangor, Malaysia.;Ahmad, SA (corresponding author), Univ Malaya, Natl Antarctic Res Ctr, B303 Level 3,Block B,IPS Bldg, Kuala Lumpur 50603, Malaysia.</t>
  </si>
  <si>
    <t>aqlima@upm.edu.my</t>
  </si>
  <si>
    <t>Zahri, Khadijah Nabilah Mohd/AEQ-4594-2022; Sabri, Suriana/AAT-5269-2021; Zulkharnain, Azham/AAV-1241-2020</t>
  </si>
  <si>
    <t>Sabri, Suriana/0000-0003-4027-5730; Zulkharnain, Azham/0000-0001-9173-8171; Ahmad, Siti Aqlima/0000-0002-7625-3704; Zahri, Khadijah/0009-0000-2963-3109</t>
  </si>
  <si>
    <t>Universiti Putra Malaysia [9300436, 9678900]; Yayasan Penyelidikan Antartika Sultan Mizan (YPASM-Smart Partnership Initiative); Centro de Investigacion y Monitoreo Ambiental Antartico (CIMAA)</t>
  </si>
  <si>
    <t>Universiti Putra Malaysia; Yayasan Penyelidikan Antartika Sultan Mizan (YPASM-Smart Partnership Initiative); Centro de Investigacion y Monitoreo Ambiental Antartico (CIMAA)</t>
  </si>
  <si>
    <t>This work was supported by Universiti Putra Malaysia (Matching Grant PUTRA (9300436) and PUTRA Berimpak (9678900), Yayasan Penyelidikan Antartika Sultan Mizan (YPASM-Smart Partnership Initiative) and Centro de Investigacion y Monitoreo Ambiental Antartico (CIMAA). The authors would like to thanks Chilean scientist Nancy Calisto-Ulloa from Universidad de Magallanes, Chile and Nicolas RamirezMoreno from Pontificia Universidad Catolica de Valparaiso, Chile for their previously help.The authors also would like to thanks Chilean Army and the Antarctic General Bernardo O'Higgins Station staff especially the Comandante de la Base O'Higgins; Teniente CoronelJose Ignacio Alvarado Camps, the Comandante de la seccion de exploracion y rescate O'higgins; Capitan Rene Salgado Rebolledo and the staff; especially the Chef; Suboficial Juan David Sandoval Navarrete and Sargento Juan Eduardo Cortinez Padovani; Sargento Segundo Augusto Antonio Barra Morale, Sargento Segundo Flavio Marcelo Nahuelcoy Perez, and Sargento Segundo Claudio Durand Ibacache.</t>
  </si>
  <si>
    <t>TRIVENI ENTERPRISES</t>
  </si>
  <si>
    <t>LUCKNOW</t>
  </si>
  <si>
    <t>C/O KIRAN DALELA, 1/206 VIKAS NAGAR, KURSI RD, LUCKNOW 226 022, INDIA</t>
  </si>
  <si>
    <t>0254-8704</t>
  </si>
  <si>
    <t>J ENVIRON BIOL</t>
  </si>
  <si>
    <t>J.Environ.Biol.</t>
  </si>
  <si>
    <t>NOV</t>
  </si>
  <si>
    <t>10.22438/jeb/41/6/MRN-1464</t>
  </si>
  <si>
    <t>Emerging Sources Citation Index (ESCI)</t>
  </si>
  <si>
    <t>PS0TV</t>
  </si>
  <si>
    <t>Bronze, Green Accepted</t>
  </si>
  <si>
    <t>WOS:000607645800002</t>
  </si>
  <si>
    <t>Subramaniam, K; Shaharuddin, NA; Tengku-Mazuki, TA; Zulkharnain, A; Khalil, KA; Convey, P; Ahmad, SA</t>
  </si>
  <si>
    <t>Subramaniam, K.; Shaharuddin, N. A.; Tengku-Mazuki, T. A.; Zulkharnain, A.; Khalil, K. A.; Convey, P.; Ahmad, S. A.</t>
  </si>
  <si>
    <t>Statistical optimisation for enhancement of phenol biodegradation by the Antarctic soil bacterium Arthrobacter sp. strain AQ5-15 using response surface methodology</t>
  </si>
  <si>
    <t>Arthrobacter sp.; Aromatic hydrocarbon; Bioremediation; Indigenous; Psychrotolerant</t>
  </si>
  <si>
    <t>PLACKETT-BURMAN DESIGN; MICROBIAL-DEGRADATION; REMOVAL; TEMPERATURE; PARAMETERS; OXIDATION; AMMONIUM; STATION; OIL</t>
  </si>
  <si>
    <t>Aim: Effective bioremediation requires optimisation of conditions under which the process takes place. In this study, an Antarctic soil bacterium, Arthrobacter sp. strainAQ5-15, was evaluated for phenol biodegradation under statistically optimised conditions. Methodology: The composition of degradation media and the culture conditions requirements obtained from Plackett-Burman factorial design (PB) and Box-Wilson Central Composite Design (CCD), respectively. Phenol degradation was monitored by 4-aminoantipyrine colorimetric assay and bacterial growth was quantified by measuring optical density (OD600nm) at 72 hr Results: A preliminary screening experiment using the Plackett-Burman design indicated that all the factors screened (ammonium sulphate concentration, sodium chloride concentration, pH and temperature) had significant influence on degradation performance. Response Surface Methodology was then utilised to further optimise the phenol-degrading process using Central Composite Design. The maximum percentage of phenol degradation achieved with CCD was 99.42%, under medium conditions of 0.15 g l(-1)(NH4)(2)SO4,0.13 g l(-1)NaCI, pH 7.25 and incubation at 15 degrees C for 72 hr. The strain could degrade phenol when exposed to an initial concentration of up to 1.5g l(-1) under these optimised conditions. Interpretation: The tolerance and degradation characteristics of strain AQ5-15 suggest that it has potential application in bioremediation of polluted sites and in the treatment of relatively cool water bodies contaminated with phenol. for this study were determined according to the experimental</t>
  </si>
  <si>
    <t>[Subramaniam, K.; Shaharuddin, N. A.; Tengku-Mazuki, T. A.; Ahmad, S. A.] Univ Putra Malaysia, Fac Biotechnol &amp; Biomol Sci, Dept Biochem, Serdang 43400, Selangor, Malaysia; [Zulkharnain, A.] Shibaura Inst Technol, Coll Syst Engn &amp; Sci, Dept Biosci &amp; Engn, Minuma Ku, 307 Fukasaku, Saitama 3378570, Japan; [Khalil, K. A.] Univ Teknol MARA, Fac Appl Sci, Dept Biomol Sci, Shah Alam 40450, Selangor, Malaysia; [Convey, P.] British Antarctic Survey, NERC, Madingley Rd, Cambridge CB3 0ET, England; [Ahmad, S. A.] Univ Malaya, Natl Antarctic Res Ctr, 8303 Level 3,Block B,IPS Bldg, Kuala Lumpur 50603, Malaysia</t>
  </si>
  <si>
    <t>Universiti Putra Malaysia; Shibaura Institute of Technology; Universiti Teknologi MARA; UK Research &amp; Innovation (UKRI); Natural Environment Research Council (NERC); NERC British Antarctic Survey; Universiti Malaya</t>
  </si>
  <si>
    <t>Ahmad, SA (corresponding author), Univ Putra Malaysia, Fac Biotechnol &amp; Biomol Sci, Dept Biochem, Serdang 43400, Selangor, Malaysia.;Ahmad, SA (corresponding author), Univ Malaya, Natl Antarctic Res Ctr, 8303 Level 3,Block B,IPS Bldg, Kuala Lumpur 50603, Malaysia.</t>
  </si>
  <si>
    <t>Zulkharnain, Azham/AAV-1241-2020; Convey, Peter/AAV-5728-2020</t>
  </si>
  <si>
    <t>Zulkharnain, Azham/0000-0001-9173-8171; Convey, Peter/0000-0001-8497-9903; Shaharuddin, Noor Azmi/0000-0003-0057-9932; Subramaniam, Kavilasni/0009-0002-0712-3065; Ahmad, Siti Aqlima/0000-0002-7625-3704</t>
  </si>
  <si>
    <t>Matching Grant PUTRA [UPM-YPASM 9300430]; YPASM Berth Support, PUTRA-IPS [9631800]; PUTRA-Berimpak [9660000]; Universiti Putra Malaysia; NERC; NERC [bas0100036] Funding Source: UKRI</t>
  </si>
  <si>
    <t>Matching Grant PUTRA; YPASM Berth Support, PUTRA-IPS; PUTRA-Berimpak; Universiti Putra Malaysia; NERC(UK Research &amp; Innovation (UKRI)Natural Environment Research Council (NERC)); NERC(UK Research &amp; Innovation (UKRI)Natural Environment Research Council (NERC))</t>
  </si>
  <si>
    <t>This work was supported by Matching Grant PUTRA (UPM-YPASM 9300430), YPASM Berth Support, PUTRA-IPS (9631800), PUTRA-Berimpak (9660000). We also thank Universiti Putra Malaysia for providing a GRF scholarship to Kavilasni Subramaniam. P. Convey is supported by NERC core funding to the BAS 'Biodiversity, Evolution and Adaptation' Team.</t>
  </si>
  <si>
    <t>10.22438/jeb/41/6/MRN-1496</t>
  </si>
  <si>
    <t>Green Accepted, Bronze</t>
  </si>
  <si>
    <t>WOS:000607645800017</t>
  </si>
  <si>
    <t>Jordaan, K; Lappan, R; Dong, XY; Aitkenhead, IJ; Bay, SK; Chiri, E; Wieler, N; Meredith, LK; Cowan, DA; Chown, SL; Greening, C</t>
  </si>
  <si>
    <t>Jordaan, Karen; Lappan, Rachael; Dong, Xiyang; Aitkenhead, Ian J.; Bay, Sean K.; Chiri, Eleonora; Wieler, Nimrod; Meredith, Laura K.; Cowan, Don A.; Chown, Steven L.; Greening, Chris</t>
  </si>
  <si>
    <t>Hydrogen-Oxidizing Bacteria Are Abundant in Desert Soils and Strongly Stimulated by Hydration</t>
  </si>
  <si>
    <t>MSYSTEMS</t>
  </si>
  <si>
    <t>carbon fixation; desert; hydrogen; hydrogenase; primary production; trace gas</t>
  </si>
  <si>
    <t>HIGH-AFFINITY; MICROBIAL COMMUNITIES; PRECIPITATION PULSES; DRY SOIL; ENERGY; H-2; DROUGHT; WATER; MICROORGANISMS; ACIDOBACTERIA</t>
  </si>
  <si>
    <t>How the diverse bacterial communities inhabiting desert soils maintain energy and carbon needs is much debated. Traditionally, most bacteria are thought to persist by using organic carbon synthesized by photoautotrophs following transient hydration events. Recent studies focused on Antarctic desert soils have revealed, however, that some bacteria use atmospheric trace gases, such as hydrogen (H-2), to conserve energy and fix carbon independently of photosynthesis. In this study, we investigated whether atmospheric H-2 oxidation occurs in four nonpolar desert soils and compared this process to photosynthesis. To do so, we first profiled the distribution, expression, and activities of hydrogenases and photosystems in surface soils collected from the South Australian desert over a simulated hydrationdesiccation cycle. Hydrogenase-encoding sequences were abundant in the metagenomes and metatranscriptomes and were detected in actinobacterial, acidobacterial, and cyanobacterial metagenome-assembled genomes. Native dry soil samples mediated H-2 oxidation, but rates increased 950-fold following wetting. Oxygenic and anoxygenic phototrophs were also detected in the community but at lower abundances. Hydration significantly stimulated rates of photosynthetic carbon fixation and, to a lesser extent, dark carbon assimilation. Hydrogenase genes were also widespread in samples from three other climatically distinct deserts, the Namib, Gobi, and Mojave, and atmospheric H-2 oxidation was also greatly stimulated by hydration at these sites. Together, these findings highlight that H-2 is an important, hitherto-overlooked energy source supporting bacterial communities in desert soils. Contrary to our previous hypotheses, however, H-2 oxidation occurs simultaneously rather than alternately with photosynthesis in such ecosystems and may even be mediated by some photoautotrophs. IMPORTANCE Desert ecosystems, spanning a third of the earth's surface, harbor remarkably diverse microbial life despite having a low potential for photosynthesis. In this work, we reveal that atmospheric hydrogen serves as a major previously overlooked energy source for a large proportion of desert bacteria. We show that both chemoheterotrophic and photoautotrophic bacteria have the potential to oxidize hydrogen across deserts sampled across four continents. Whereas hydrogen oxidation was slow in native dry deserts, it increased by three orders of magnitude together with photosynthesis following hydration. This study revealed that continual harvesting of atmospheric energy sources may be a major way that desert communities adapt to long periods of water and energy deprivation, with significant ecological and biogeochemical ramifications.</t>
  </si>
  <si>
    <t>[Jordaan, Karen; Lappan, Rachael; Aitkenhead, Ian J.; Bay, Sean K.; Chiri, Eleonora; Chown, Steven L.; Greening, Chris] Monash Univ, Sch Biol Sci, Clayton, Vic, Australia; [Jordaan, Karen; Cowan, Don A.] Univ Pretoria, Ctr Microbial Ecol &amp; Genom, Dept Biochem Genet &amp; Microbiol, Pretoria, South Africa; [Lappan, Rachael; Bay, Sean K.; Chiri, Eleonora; Greening, Chris] Monash Univ, Biomed Discovery Inst, Dept Microbiol, Clayton, Vic, Australia; [Dong, Xiyang] Sun Yat Sen Univ, Sch Marine Sci, Zhuhai, Peoples R China; [Wieler, Nimrod] Geol Survey Israel, Jerusalem, Israel; [Meredith, Laura K.] Univ Arizona, Sch Nat Resources &amp; Environm, Tucson, AZ USA; [Jordaan, Karen] Pontificia Univ Catolica Chile, Dept Genet Mol &amp; Microbiol, Fac Ciencias Biol, Santiago, Chile</t>
  </si>
  <si>
    <t>Monash University; University of Pretoria; Monash University; Sun Yat Sen University; Geological Survey Israel; University of Arizona; Pontificia Universidad Catolica de Chile</t>
  </si>
  <si>
    <t>Greening, C (corresponding author), Monash Univ, Sch Biol Sci, Clayton, Vic, Australia.;Cowan, DA (corresponding author), Univ Pretoria, Ctr Microbial Ecol &amp; Genom, Dept Biochem Genet &amp; Microbiol, Pretoria, South Africa.;Greening, C (corresponding author), Monash Univ, Biomed Discovery Inst, Dept Microbiol, Clayton, Vic, Australia.</t>
  </si>
  <si>
    <t>don.cowan@up.ac.za; chris.greening@monash.edu</t>
  </si>
  <si>
    <t>Lappan, Rachael/AAD-7677-2019; Greening, Chris/J-4408-2019; Meredith, Laura/S-7808-2019; Chown, Steven/ABD-7646-2021; Cowan, Donald A/E-3991-2012; Dong, Xiyang/J-2373-2019; Bay, Sean K/HPD-1985-2023</t>
  </si>
  <si>
    <t>Lappan, Rachael/0000-0002-3543-8243; Greening, Chris/0000-0001-7616-0594; Meredith, Laura/0000-0003-4244-4366; Cowan, Donald A/0000-0001-8059-861X; Dong, Xiyang/0000-0002-9224-5923; Jordaan, Karen/0000-0001-9147-9827; Bay, Sean/0000-0003-4833-3106</t>
  </si>
  <si>
    <t>Australian Department of Foreign Affairs and Trade (DFAT) postdoctoral fellowship; ARC DECRA Fellowship [DE170100310]; NHMRC EL2 Fellowship [APP1178715]; Swiss National Science Foundation Early Postdoc Mobility Fellowship [P2EZP3_178421]; Swiss National Science Foundation (SNF) [P2EZP3_178421] Funding Source: Swiss National Science Foundation (SNF)</t>
  </si>
  <si>
    <t>Australian Department of Foreign Affairs and Trade (DFAT) postdoctoral fellowship; ARC DECRA Fellowship(Australian Research Council); NHMRC EL2 Fellowship(National Health &amp; Medical Research Council (NHMRC) of Australia); Swiss National Science Foundation Early Postdoc Mobility Fellowship(Swiss National Science Foundation (SNSF)); Swiss National Science Foundation (SNF)(Swiss National Science Foundation (SNSF))</t>
  </si>
  <si>
    <t>This study was supported by an Australian Department of Foreign Affairs and Trade (DFAT) postdoctoral fellowship (awarded to K.J., S.L.C., and D.A.C.), an ARC DECRA Fellowship (DE170100310; awarded to C.G.), an NHMRC EL2 Fellowship (APP1178715; salary for C.G.), and a Swiss National Science Foundation Early Postdoc Mobility Fellowship (P2EZP3_178421; awarded to E.C.).</t>
  </si>
  <si>
    <t>AMER SOC MICROBIOLOGY</t>
  </si>
  <si>
    <t>1752 N ST NW, WASHINGTON, DC 20036-2904 USA</t>
  </si>
  <si>
    <t>2379-5077</t>
  </si>
  <si>
    <t>mSystems</t>
  </si>
  <si>
    <t>NOV-DEC</t>
  </si>
  <si>
    <t>e01131-20</t>
  </si>
  <si>
    <t>10.1128/mSystems.01131-20</t>
  </si>
  <si>
    <t>QZ8MO</t>
  </si>
  <si>
    <t>Green Published</t>
  </si>
  <si>
    <t>WOS:000630974900016</t>
  </si>
  <si>
    <t>Ivanova, EV; Borisov, DG; Murdmaa, IO; Belyaev, NA; Zinger, TF; Nemchenko, NV; Simagin, NV; Sipko, AA; Shulga, NA</t>
  </si>
  <si>
    <t>Ivanova, E., V; Borisov, D. G.; Murdmaa, I. O.; Belyaev, N. A.; Zinger, T. F.; Nemchenko, N., V; Simagin, N., V; Sipko, A. A.; Shulga, N. A.</t>
  </si>
  <si>
    <t>Investigation of the Modern Lateral Sedimentation on the Argentine Continental Slope during Cruise 79 of the R/V Akademik Mstislav Keldysh</t>
  </si>
  <si>
    <t>OCEANOLOGY</t>
  </si>
  <si>
    <t>canyons; contourite terraces; Antarctic Bottom Water; glauconite</t>
  </si>
  <si>
    <t>Herein we provide information on the sedimentological and paleoceanographic research on the Argentine Patagonian continental slope during cruise 79 of the R/V Akademik Mstislav Keldysh in March 2020. The preliminary scientific results are discussed.</t>
  </si>
  <si>
    <t>[Ivanova, E., V; Borisov, D. G.; Murdmaa, I. O.; Belyaev, N. A.; Zinger, T. F.; Nemchenko, N., V; Simagin, N., V; Sipko, A. A.; Shulga, N. A.] Russian Acad Sci, Shirshov Inst Oceanol, Moscow, Russia</t>
  </si>
  <si>
    <t>Russian Academy of Sciences; Shirshov Institute of Oceanology</t>
  </si>
  <si>
    <t>Ivanova, EV (corresponding author), Russian Acad Sci, Shirshov Inst Oceanol, Moscow, Russia.</t>
  </si>
  <si>
    <t>e_v_ivanova@ocean.ru</t>
  </si>
  <si>
    <t>Murdmaa, Ivar/T-3538-2017; Belyaev, Nikolay A/C-1947-2014; Borisov, Dmitrii/Y-9194-2019; Shulga, Natalia/R-4687-2016</t>
  </si>
  <si>
    <t>Borisov, Dmitrii/0000-0001-8109-6603;</t>
  </si>
  <si>
    <t>Russian Science Foundation [18-17-00227]; [0149-2019-0007]; Russian Science Foundation [18-17-00227] Funding Source: Russian Science Foundation</t>
  </si>
  <si>
    <t>Russian Science Foundation(Russian Science Foundation (RSF)); ; Russian Science Foundation(Russian Science Foundation (RSF))</t>
  </si>
  <si>
    <t>The expedition onboard works on the Argentine continental slope were partly funded by the Russian Science Foundation (project no. 18-17-00227) and by the State Assignment no. 0149-2019-0007. The vessel time was covered by the State Assignment Transportation of passengers and/or cargo during the maintenance of scientific research.</t>
  </si>
  <si>
    <t>PLEIADES PUBLISHING INC</t>
  </si>
  <si>
    <t>PLEIADES HOUSE, 7 W 54 ST, NEW YORK, NY, UNITED STATES</t>
  </si>
  <si>
    <t>0001-4370</t>
  </si>
  <si>
    <t>1531-8508</t>
  </si>
  <si>
    <t>OCEANOLOGY+</t>
  </si>
  <si>
    <t>Oceanology</t>
  </si>
  <si>
    <t>10.1134/S0001437020050070</t>
  </si>
  <si>
    <t>Oceanography</t>
  </si>
  <si>
    <t>QQ5HZ</t>
  </si>
  <si>
    <t>WOS:000624555500016</t>
  </si>
  <si>
    <t>Demchev, DM; Kulakov, MY; Makshtas, AP; Makhotina, IA; Fil'chuk, KV; Frolov, IE</t>
  </si>
  <si>
    <t>Demchev, D. M.; Kulakov, M. Yu.; Makshtas, A. P.; Makhotina, I. A.; Fil'chuk, K. V.; Frolov, I. E.</t>
  </si>
  <si>
    <t>Verification of ERA-Interim and ERA5 Reanalyses Data on Surface Air Temperature in the Arctic</t>
  </si>
  <si>
    <t>RUSSIAN METEOROLOGY AND HYDROLOGY</t>
  </si>
  <si>
    <t>Arctic Ocean; Reanalysis; Air temperature; Drifting stations; Buoys</t>
  </si>
  <si>
    <t>The paper presents the results of the verification of ERA-Interim and ERA5 reanalyses data on surface air temperature obtained from drifting buoys, ground-based weather stations, and, for the first time, from measurements at the North Pole drifting stations. The North Pole station data were not assimilated in the reanalyses, which provides a rare opportunity for independent validation. The comparison with data of the North Pole drifting stations revealed that bias for the cold season in the Arctic basin is 2.25 degrees C for ERA-Interim and 3.92 degrees C for ERA5, respectively. The comparison with data of drifting buoys allows us to speculate about the cause of such large errors in the reanalyses. Some buoys were installed from the air-based platform. In this case, the temperature sensor of the buoy was potentially buried in the snow cover that shielded it from the cold atmosphere and contributed to the heating due to the heat flux from the underlying layer of sea water. The assimilation of such data could be one of the reasons for the overestimation of air temperature over drifting ice in the both reanalysis.</t>
  </si>
  <si>
    <t>[Demchev, D. M.; Kulakov, M. Yu.; Makshtas, A. P.; Makhotina, I. A.; Fil'chuk, K. V.; Frolov, I. E.] Arctic &amp; Antarctic Res Inst, Ul Beringa 38, St Petersburg 199397, Russia; [Demchev, D. M.] Nansen Int Environm &amp; Remote Sensing Ctr, Chetyrnadtsataya Liniya 7, St Petersburg 199034, Russia; [Demchev, D. M.] Nansen Environm &amp; Remote Sensing Ctr, Thormohlens Gate 47, N-5006 Bergen, Norway</t>
  </si>
  <si>
    <t>Arctic &amp; Antarctic Research Institute; Nansen Environmental &amp; Remote Sensing Center (NERSC); Nansen Environmental &amp; Remote Sensing Center (NERSC)</t>
  </si>
  <si>
    <t>Demchev, DM (corresponding author), Arctic &amp; Antarctic Res Inst, Ul Beringa 38, St Petersburg 199397, Russia.;Demchev, DM (corresponding author), Nansen Int Environm &amp; Remote Sensing Ctr, Chetyrnadtsataya Liniya 7, St Petersburg 199034, Russia.;Demchev, DM (corresponding author), Nansen Environm &amp; Remote Sensing Ctr, Thormohlens Gate 47, N-5006 Bergen, Norway.</t>
  </si>
  <si>
    <t>denis.demchev@aari.ru</t>
  </si>
  <si>
    <t>Makshtas, Alexander P./K-7538-2016; Kulakov, Mikhail/AAX-4924-2020</t>
  </si>
  <si>
    <t>Makhotina, Irina/0000-0001-7208-685X</t>
  </si>
  <si>
    <t>Russian Foundation for Basic Research [18-05-60048]; Ministry of Education and Science of the Russian Federation [RFMEFI61619X0108]</t>
  </si>
  <si>
    <t>Russian Foundation for Basic Research(Russian Foundation for Basic Research (RFBR)Spanish Government); Ministry of Education and Science of the Russian Federation(Ministry of Education and Science, Russian Federation)</t>
  </si>
  <si>
    <t>The research was supported by the Russian Foundation for Basic Research (grant 18-05-60048 Studying Interannual Variability of Sea Ice Balance in the Arctic Ocean at the Turn of the 20th and 21st Centuries. A.P. Makshtas and I.A. Makhotina thank the Ministry of Education and Science of the Russian Federation for financial support (grant RFMEFI61619X0108).</t>
  </si>
  <si>
    <t>1068-3739</t>
  </si>
  <si>
    <t>1934-8096</t>
  </si>
  <si>
    <t>RUSS METEOROL HYDRO+</t>
  </si>
  <si>
    <t>Russ. Meteorol. Hydrol.</t>
  </si>
  <si>
    <t>10.3103/S1068373920110035</t>
  </si>
  <si>
    <t>QP8HY</t>
  </si>
  <si>
    <t>WOS:000624072900003</t>
  </si>
  <si>
    <t>Ivanova, NS; Kruchenitskii, GM; Kuznetsova, IN</t>
  </si>
  <si>
    <t>Ivanova, N. S.; Kruchenitskii, G. M.; Kuznetsova, I. N.</t>
  </si>
  <si>
    <t>Ozone Content over the Russian Federation in the Third Quarter of 2020</t>
  </si>
  <si>
    <t>Total ozone monitoring in CIS; Total ozone anomaly in the third quarter of 2020; Antarctic ozone hole; Surface ozonevalues</t>
  </si>
  <si>
    <t>The review is compiled on the basis of the results of operation of the total ozone (TO) monitoring in Russia and adjoining territories functioning in the operational mode at the Central Aerological Observatory (CAO). The monitoring system uses data from the national network equipped with M-124 filter ozonometers under the methodological supervision of the Main Geophysical Observatory. The quality of the functioning of the entire system is operationally controlled in CAO based on the OMI satellite equipment observations (NASA, USA). Basic TO observation data are generalized for each month of the third quarter of 2020 and for the third quarter. Data of routine observations of surface ozone values in the Moscow region are also considered.</t>
  </si>
  <si>
    <t>[Ivanova, N. S.; Kruchenitskii, G. M.] Cent Aerol Observ, Ul Pervomaiskaya 3, Dolgoprudnyi 141700, Moscow Oblast, Russia; [Kuznetsova, I. N.] Hydrometeorol Res Ctr Russian Federat, Bolshoi Predtechenskii Per 11-13, Moscow 123242, Russia</t>
  </si>
  <si>
    <t>Ivanova, NS (corresponding author), Cent Aerol Observ, Ul Pervomaiskaya 3, Dolgoprudnyi 141700, Moscow Oblast, Russia.</t>
  </si>
  <si>
    <t>oom@cao-rhms.ru</t>
  </si>
  <si>
    <t>10.3103/S1068373920110096</t>
  </si>
  <si>
    <t>WOS:000624072900009</t>
  </si>
  <si>
    <t>Zuev, VV; Borovko, IV; Krupchatnikov, VN; Savelieva, ES</t>
  </si>
  <si>
    <t>Zuev, V. V.; Borovko, I. V.; Krupchatnikov, V. N.; Savelieva, E. S.</t>
  </si>
  <si>
    <t>Influence of the Temperature of the Lower Subtropical Stratosphere on Antarctic Polar Vortex Dynamics</t>
  </si>
  <si>
    <t>ATMOSPHERIC AND OCEANIC OPTICS</t>
  </si>
  <si>
    <t>Antarctic polar vortex; subtropical stratosphere; polar ozone anomalies; Antarctic polar vortex; subtropical stratosphere; polar ozone depletion</t>
  </si>
  <si>
    <t>DEPLETION</t>
  </si>
  <si>
    <t>Stability of the stratospheric polar vortex in the winter-spring period is one of key factors of the duration and scales of stratospheric ozone depletion in a polar region. The Arctic polar vortex attains its peak intensity in winter, whereas the Antarctic vortex usually strengthens in early spring. As a result, large-scale ozone depletion occurs every year from August to November over the Antarctic, and short-term ozone loss occasionally occurs from January to March over the Arctic. In this work, we analyze the reason for the high strength and stability of the Antarctic polar vortex in the winter-spring period. A good agreement between the seasonal variations in the temperature of the subtropical lower stratosphere and in the zonal wind in the lower subpolar and polar stratosphere in the Southern Hemisphere is shown on the basis of ERA-Interim reanalysis data. The results of numerical simulations with the PlaSim-ICMMG-1.0 model show acceleration of zonal wind in the subpolar region with an increase in the temperature of the subtropical stratosphere. Thus, the winter-spring strengthening of the Antarctic polar vortex occurs due to an increase in the stratospheric equator-to-pole temperature gradient caused by the seasonal increase in the temperature of the lower subtropical stratosphere in this period.</t>
  </si>
  <si>
    <t>[Zuev, V. V.; Savelieva, E. S.] Russian Acad Sci, Siberian Branch, Inst Monitoring Climat &amp; Ecol Syst, Tomsk 634055, Russia; [Borovko, I. V.; Krupchatnikov, V. N.] Russian Acad Sci, Siberian Branch, Inst Computat Math &amp; Math Geophys, Novosibirsk 630090, Russia; [Borovko, I. V.; Krupchatnikov, V. N.] Siberian Reg Sci Res Hydrometeorol Inst, Novosibirsk 630099, Russia; [Borovko, I. V.; Krupchatnikov, V. N.] Novosibirsk State Univ, Novosibirsk 630090, Russia</t>
  </si>
  <si>
    <t>Russian Academy of Sciences; Institute of Monitoring of Climatic &amp; Ecological Systems of the Siberian Branch of the RAS; Russian Academy of Sciences; Novosibirsk State University</t>
  </si>
  <si>
    <t>Zuev, VV (corresponding author), Russian Acad Sci, Siberian Branch, Inst Monitoring Climat &amp; Ecol Syst, Tomsk 634055, Russia.</t>
  </si>
  <si>
    <t>vzuev@list.ru; p.vortices@gmail.com</t>
  </si>
  <si>
    <t>Krupchatnikov, Vladimir/A-4933-2014; Savelieva, Ekaterina/HCH-5908-2022; Savelieva, Ekaterina S/E-4782-2014; Zuev, Vladimir/E-5470-2014</t>
  </si>
  <si>
    <t>Savelieva, Ekaterina S/0000-0002-6560-7386; Zuev, Vladimir/0000-0002-2351-8924</t>
  </si>
  <si>
    <t>[AAAA-A17-117013050038-7]; [0315-2019-0003]</t>
  </si>
  <si>
    <t>;</t>
  </si>
  <si>
    <t>The study was carried out within the framework of state budgetary theme no. AAAA-A17-117013050038-7 and Fundamental Research Program no. 0315-2019-0003.</t>
  </si>
  <si>
    <t>1024-8560</t>
  </si>
  <si>
    <t>2070-0393</t>
  </si>
  <si>
    <t>ATMOS OCEAN OPT</t>
  </si>
  <si>
    <t>Atmos. Ocean. Opt.</t>
  </si>
  <si>
    <t>10.1134/S1024856020060160</t>
  </si>
  <si>
    <t>Optics</t>
  </si>
  <si>
    <t>PY9RA</t>
  </si>
  <si>
    <t>WOS:000612376500022</t>
  </si>
  <si>
    <t>Sergeeva, VM; Leitchenkov, GL; Dubinin, EP; Groholsky, AL</t>
  </si>
  <si>
    <t>Sergeeva, V. M.; Leitchenkov, G. L.; Dubinin, E. P.; Groholsky, A. L.</t>
  </si>
  <si>
    <t>Experimental Simulation of Conditions of the Tasmania and Adelie Continental Blocks Formation at the Early Stage of the Break-Up of the Australian-Antarctic Paleocontinent</t>
  </si>
  <si>
    <t>GEOTECTONICS</t>
  </si>
  <si>
    <t>Australia; Antarctica; Tasmania Block; Adelie Block; Sorell Basin; physical simulation; continental rifting; transpression</t>
  </si>
  <si>
    <t>RIFT ZONES; BASIN; SEA; MICROCONTINENTS; ANOMALIES; HISTORY; MARINE</t>
  </si>
  <si>
    <t>This study focuses on physical modeling of interaction between the Indian and Pacific spreading axes, which resulted in separation of the Tasmania and Adelie blocks during the final stage of the Gondwana breakup, with separation of Australia and Antarctica. The Indian branch of seafloor spreading propagated eastward across the Archean-Mesoproterozoic lithosphere of the western part of Australia-Antarctica, whereas the Pacific branch moved westward through the Paleozoic-Early Mesozoic Fold Belt of eastern Australia-Antarctica. The experiments demonstrated that the interaction between the two spreading axes led to oblique extension (at an angle of 120 degrees-130 degrees) between two continents. At the same time, a rift branch formed between Antarctica and the Adelie Block, but did not developed further. Subsequent opening of the ocean occurred with sinistral strike-slip, which led to transpressional deformations of the Adelie Block and Sorell Basin within the Tasmania Block.</t>
  </si>
  <si>
    <t>[Sergeeva, V. M.; Leitchenkov, G. L.] Gramberg All Russia Sci Res Inst Geol &amp; Mineral R, St Petersburg 190121, Russia; [Sergeeva, V. M.; Leitchenkov, G. L.] St Petersburg State Univ, Inst Earth Sci, St Petersburg 199034, Russia; [Dubinin, E. P.; Groholsky, A. L.] Moscow MV Lomonosov State Univ, Moscow 119991, Russia</t>
  </si>
  <si>
    <t>Saint Petersburg State University; Lomonosov Moscow State University</t>
  </si>
  <si>
    <t>Sergeeva, VM (corresponding author), Gramberg All Russia Sci Res Inst Geol &amp; Mineral R, St Petersburg 190121, Russia.;Sergeeva, VM (corresponding author), St Petersburg State Univ, Inst Earth Sci, St Petersburg 199034, Russia.</t>
  </si>
  <si>
    <t>wanda@list.ru</t>
  </si>
  <si>
    <t>Russian Science Foundation [16-17-10139]; Russian Foundation for Basic Research [18-05-00378]</t>
  </si>
  <si>
    <t>Russian Science Foundation(Russian Science Foundation (RSF)); Russian Foundation for Basic Research(Russian Foundation for Basic Research (RFBR)Spanish Government)</t>
  </si>
  <si>
    <t>The study was supported by the Russian Science Foundation (project no. 16-17-10139) and partially by the Russian Foundation for Basic Research (project no. 18-05-00378; testing of methods for physically simulating marginal plateau formation).</t>
  </si>
  <si>
    <t>0016-8521</t>
  </si>
  <si>
    <t>1556-1976</t>
  </si>
  <si>
    <t>GEOTECTONICS+</t>
  </si>
  <si>
    <t>Geotectonics</t>
  </si>
  <si>
    <t>10.1134/S0016852120060138</t>
  </si>
  <si>
    <t>Geochemistry &amp; Geophysics</t>
  </si>
  <si>
    <t>PX7OG</t>
  </si>
  <si>
    <t>WOS:000611542700002</t>
  </si>
  <si>
    <t>Ishchenko, OO; Mel'nyk, VM; Parnikoza, IY; Budzhak, VV; Panchuk, II; Kunakh, VA; Volkov, RA</t>
  </si>
  <si>
    <t>Ishchenko, O. O.; Mel'nyk, V. M.; Parnikoza, I. Y.; Budzhak, V. V.; Panchuk, I. I.; Kunakh, V. A.; Volkov, R. A.</t>
  </si>
  <si>
    <t>Molecular Organization of 5S Ribosomal DNA and Taxonomic Status of Avenella flexuosa (L.) Drejer (Poaceae)</t>
  </si>
  <si>
    <t>CYTOLOGY AND GENETICS</t>
  </si>
  <si>
    <t>molecular evolution and taxonomy; intergenic spacer of 5S rDNA; Avenella; Deschampsia; Poeae</t>
  </si>
  <si>
    <t>PHYLOGENETIC-RELATIONSHIPS; RDNA SEQUENCES; NUCLEAR; DIVERSITY; EVOLUTION; POOIDEAE; GENES; TRIBE</t>
  </si>
  <si>
    <t>The wavy hair-grass, Avenella flexuosa (L.) Drejer (also known as Deschampsia flexuosa (L.) Trin. or Lerchenfeldia flexuosa (L.) Schur), is a species of perennial herbaceous plant of the Poaceae family that is widespread in Eurasia, Africa, North and South America. Whether this species belongs to the Deschampsia genus has long been an open question. Taking into account that the 5S rDNA comparison is a convenient tool in the molecular taxonomy of plants, we cloned and sequenced this region of the A. flexuosa genome and evaluated the genetic distances between this species and other species of the Poeae tribe. It has been found that at least two structural classes of 5S rDNA repeats are present in the A. flexuosa genome. The spacer regions in the 5S rDNA of A. flexuosa and D. antarctica have a low level of similarity that does not exceed the level of similarity with representatives of several other genera of the Poeae tribe. The 5S rDNA clones of A. flexuosa and D. antarctica form two distinct clades on the phyllodendogram. Taking together, our results support the idea that A. flexuosa belongs to a separate genus Avenella.</t>
  </si>
  <si>
    <t>[Ishchenko, O. O.; Mel'nyk, V. M.; Budzhak, V. V.; Panchuk, I. I.; Volkov, R. A.] Yuriy Fedkovych Chernivtsi Natl Univ, Minist Educ &amp; Sci Ukraine, UA-58012 Chernovtsy, Ukraine; [Mel'nyk, V. M.; Parnikoza, I. Y.; Kunakh, V. A.] Natl Acad Sci Ukraine, Inst Mol Biol &amp; Genet, UA-03143 Kiev, Ukraine; [Parnikoza, I. Y.] Minist Educ &amp; Sci Ukraine, Natl Antarctic Sci Ctr Ukraine, UA-01601 Kiev, Ukraine</t>
  </si>
  <si>
    <t>Ministry of Education &amp; Science of Ukraine; Yuri Fedkovych Chernivtsi National University; National Academy of Sciences Ukraine; Institute of Molecular Biology &amp; Genetics of NASU; Ministry of Education &amp; Science of Ukraine; State Institution National Antarctic Scientific Center</t>
  </si>
  <si>
    <t>Volkov, RA (corresponding author), Yuriy Fedkovych Chernivtsi Natl Univ, Minist Educ &amp; Sci Ukraine, UA-58012 Chernovtsy, Ukraine.</t>
  </si>
  <si>
    <t>r.volkov@chnu.edu.ua</t>
  </si>
  <si>
    <t>Budzhak, Vasyl/GRJ-1937-2022; Kunakh, Viktor A./HKV-4993-2023; Volkov, Roman A./E-5262-2016; Parnikoza, Ivan/I-2398-2016; Panchuk, Irina I./E-5215-2016; Mel'nyk, Vitaliy/H-6544-2016</t>
  </si>
  <si>
    <t>Budzhak, Vasyl/0000-0002-7754-6437; Volkov, Roman A./0000-0003-0673-2598; Panchuk, Irina I./0000-0002-2837-4480; Ishchenko, Olha/0000-0002-7992-1261; Mel'nyk, Vitaliy/0000-0002-0084-3142</t>
  </si>
  <si>
    <t>Ministry of Education and Science of Ukraine [0118U000137]</t>
  </si>
  <si>
    <t>Ministry of Education and Science of Ukraine</t>
  </si>
  <si>
    <t>The research was supported by the Ministry of Education and Science of Ukraine (grant no. 0118U000137).</t>
  </si>
  <si>
    <t>ALLERTON PRESS INC</t>
  </si>
  <si>
    <t>18 WEST 27TH ST, NEW YORK, NY 10001 USA</t>
  </si>
  <si>
    <t>0095-4527</t>
  </si>
  <si>
    <t>1934-9440</t>
  </si>
  <si>
    <t>CYTOL GENET+</t>
  </si>
  <si>
    <t>Cytol. Genet.</t>
  </si>
  <si>
    <t>10.3103/S0095452720060055</t>
  </si>
  <si>
    <t>Genetics &amp; Heredity</t>
  </si>
  <si>
    <t>PS6SO</t>
  </si>
  <si>
    <t>WOS:000608056500001</t>
  </si>
  <si>
    <t>Hornborg, S; Hobday, AJ; Ogier, E; Fleming, A; Thomas, L; Hartog, JR</t>
  </si>
  <si>
    <t>Hornborg, Sara; Hobday, Alistair J.; Ogier, Emily; Fleming, Aysha; Thomas, Linda; Hartog, Jason R.</t>
  </si>
  <si>
    <t>Challenges and insights from holistic sustainability reporting for shrimp fisheries in different jurisdictions</t>
  </si>
  <si>
    <t>ICES JOURNAL OF MARINE SCIENCE</t>
  </si>
  <si>
    <t>fisheries; governance; indicators; seafood; shrimp; sustainability reporting</t>
  </si>
  <si>
    <t>MANAGEMENT; POLICY; SUPPORT; SEAFOOD; ISSUES; TOOLS</t>
  </si>
  <si>
    <t>Sustainability of fisheries extends beyond environmental aspects. Broad information is today sought for decision-making and by many stakeholders. Here, a framework recently developed to comprehensively report on sustainability issues relevant to fisheries, the Australian Fisheries Healthcheck, was used to compare five crustacean trawl fisheries from Australia and Europe. Indicators covered 51 different aspects of sustainability in 24 sub-categories related to ecological, economic, social and ethical, governance, and external (e.g. climate, contaminants) dimensions. We found that data availability did not vary greatly between fisheries, but the indicator outcomes did. Furthermore, while environmental sustainability has received most attention in assessments to date, the associated indicators had the least publicly available data. Another finding was that eco-certification and high performance on several governance indicators did not necessarily equate to sustainability. For future international comparisons, challenges include identifying comparable and cost-effective metrics for indicators derived from different data collection strategies. Commencing holistic reporting on broader sustainability is important since the data provided (i) are sought by stakeholders; (ii) enable improved availability of empirical data for research on the effectiveness of different governance modes; (iii) can illustrate trade-offs between different dimensions of sustainability, and (iv) build trust in the fishery system as producers of sustainable food.</t>
  </si>
  <si>
    <t>[Hornborg, Sara] RISE Res Inst Sweden, Dept Agr &amp; Food, Box 5401, S-40229 Gothenburg, Sweden; [Hobday, Alistair J.; Thomas, Linda; Hartog, Jason R.] CSIRO Oceans &amp; Atmosphere, Hobart, Tas 7000, Australia; [Hobday, Alistair J.; Ogier, Emily; Fleming, Aysha] Univ Tasmania, Ctr Marine Socioecol, Hobart, Tas 7000, Australia; [Ogier, Emily] Univ Tasmania, Inst Marine &amp; Antarctic Studies, Hobart, Tas 7001, Australia; [Fleming, Aysha] CSIRO Land &amp; Water, Hobart, Tas 7000, Australia</t>
  </si>
  <si>
    <t>RISE Research Institutes of Sweden; Commonwealth Scientific &amp; Industrial Research Organisation (CSIRO); University of Tasmania; University of Tasmania; Commonwealth Scientific &amp; Industrial Research Organisation (CSIRO)</t>
  </si>
  <si>
    <t>Hornborg, S (corresponding author), RISE Res Inst Sweden, Dept Agr &amp; Food, Box 5401, S-40229 Gothenburg, Sweden.</t>
  </si>
  <si>
    <t>sara.hornborg@ri.se</t>
  </si>
  <si>
    <t>Thomas, Linda/Q-2521-2018; Fleming, Aysha/E-8753-2011; Hobday, Alistair/A-1460-2012</t>
  </si>
  <si>
    <t>Fleming, Aysha/0000-0001-9895-1928; Ogier, Emily/0000-0001-6157-5279; Hornborg, Sara/0000-0003-0814-5258; Thomas, Linda/0000-0001-8989-8109</t>
  </si>
  <si>
    <t>Fisheries Research and Development Corporation on behalf of the Australian Government [2016/060]; CSIRO; Swedish Research Council Formas [2016-00455]; World Wildlife Fund (WWF) Sweden; Swedish Research Council [2016-00455] Funding Source: Swedish Research Council; Formas [2016-00455] Funding Source: Formas</t>
  </si>
  <si>
    <t>Fisheries Research and Development Corporation on behalf of the Australian Government(Fisheries R&amp;D Corp); CSIRO(Commonwealth Scientific &amp; Industrial Research Organisation (CSIRO)); Swedish Research Council Formas(Swedish Research Council Formas); World Wildlife Fund (WWF) Sweden; Swedish Research Council(Swedish Research Council); Formas(Swedish Research Council Formas)</t>
  </si>
  <si>
    <t>The research was funded by the Fisheries Research and Development Corporation on behalf of the Australian Government (2016/060), the CSIRO, the Swedish Research Council Formas (2016-00455), and World Wildlife Fund (WWF) Sweden.</t>
  </si>
  <si>
    <t>OXFORD UNIV PRESS</t>
  </si>
  <si>
    <t>OXFORD</t>
  </si>
  <si>
    <t>GREAT CLARENDON ST, OXFORD OX2 6DP, ENGLAND</t>
  </si>
  <si>
    <t>1054-3139</t>
  </si>
  <si>
    <t>1095-9289</t>
  </si>
  <si>
    <t>ICES J MAR SCI</t>
  </si>
  <si>
    <t>ICES J. Mar. Sci.</t>
  </si>
  <si>
    <t>10.1093/icesjms/fsaa048</t>
  </si>
  <si>
    <t>Fisheries; Marine &amp; Freshwater Biology; Oceanography</t>
  </si>
  <si>
    <t>PY7HN</t>
  </si>
  <si>
    <t>WOS:000612212800002</t>
  </si>
  <si>
    <t>Mackay, M; Yamazaki, S; Jennings, S; Sibly, H; van Putten, IE; Emery, TJ</t>
  </si>
  <si>
    <t>Mackay, Mary; Yamazaki, Satoshi; Jennings, Sarah; Sibly, Hugh; van Putten, Ingrid E.; Emery, Timothy J.</t>
  </si>
  <si>
    <t>The influence of nudges on compliance behaviour in recreational fisheries: a laboratory experiment</t>
  </si>
  <si>
    <t>behavioural incentives; experimental economics; fisheries management; non-compliance; nudges; recreational fishing</t>
  </si>
  <si>
    <t>SOCIAL NORMS; LIBERTARIAN PATERNALISM; PREFERENCES; MANAGEMENT; ECONOMICS; SCIENCE; CONSERVATION; ATTITUDES; RATES; FIELD</t>
  </si>
  <si>
    <t>Non-compliance is a tenacious problem in recreational fisheries management, posing a risk to marine conservation and socio-ecological systems by, for example, undermining management efforts and creating conflict between resource user groups. In fisheries management, deterrence-based approaches have traditionally been used to tackle non-compliance. However, enforcement is often limited in recreational fisheries and an alternative approach is needed to improve compliance. In this paper, we explore the lessons from behavioural economics and apply nudge theory as the basis of alternative management approaches. Nudge theory argues that through positive reinforcement or indirect suggestion, voluntary compliance can be achieved. We test the influence of a nudge, based on a descriptive social norm, through an economic laboratory experiment in a recreational fisheries context. Our results show that the presence of this nudge can increase compliance behaviour by 10%. We find that a nudge was more effective when deterrence is low, but its effects become weaker when deterrence is already high. We also find heterogeneity across individual's responses to the nudge and risk preferences significantly related to compliance behaviour. Nudges based on social norms have the potential to complement traditional deterrence methods and could prove successful as a cost-effective compliance tool in the marine environment.</t>
  </si>
  <si>
    <t>[Mackay, Mary; Yamazaki, Satoshi; Jennings, Sarah; Sibly, Hugh] Univ Tasmania, Tasmanian Sch Business &amp; Econ, Sandy Bay, Tas 7004, Australia; [Mackay, Mary; Yamazaki, Satoshi; Jennings, Sarah; van Putten, Ingrid E.] Univ Tasmania, Ctr Marine Socioecol, Battery Point, Tas 7004, Australia; [van Putten, Ingrid E.] CSIRO, Oceans &amp; Atmosphere, Hobart, Tas 7001, Australia; [Emery, Timothy J.] Univ Tasmania, Inst Marine &amp; Antarctic Studies, Private Bag 49, Hobart, Tas 7001, Australia</t>
  </si>
  <si>
    <t>University of Tasmania; University of Tasmania; Commonwealth Scientific &amp; Industrial Research Organisation (CSIRO); University of Tasmania</t>
  </si>
  <si>
    <t>Mackay, M (corresponding author), Univ Tasmania, Tasmanian Sch Business &amp; Econ, Sandy Bay, Tas 7004, Australia.;Mackay, M (corresponding author), Univ Tasmania, Ctr Marine Socioecol, Battery Point, Tas 7004, Australia.</t>
  </si>
  <si>
    <t>mary.mackay@utas.edu.au</t>
  </si>
  <si>
    <t>van putten, ingrid/AAV-1301-2021; Jennings, Sarah M/J-7888-2014; Yamazaki, Satoshi/J-7538-2014</t>
  </si>
  <si>
    <t>van putten, ingrid/0000-0001-8397-9768; Yamazaki, Satoshi/0000-0003-1279-2706; Emery, Timothy/0000-0002-4203-671X; Mackay, Mary/0000-0003-0175-4237</t>
  </si>
  <si>
    <t>Tasmanian School of Business and Economics; Centre for Marine Socioecology</t>
  </si>
  <si>
    <t>We would also like to thanks the Tasmanian School of Business and Economics and the Centre for Marine Socioecology for the funding provided to conduct this study.</t>
  </si>
  <si>
    <t>10.1093/icesjms/fsz020</t>
  </si>
  <si>
    <t>Bronze</t>
  </si>
  <si>
    <t>WOS:000612212800029</t>
  </si>
  <si>
    <t>Fabri-Ruiz, S; Navarro, N; Laffont, R; Danis, B; Saucède, T</t>
  </si>
  <si>
    <t>Fabri-Ruiz, S.; Navarro, N.; Laffont, R.; Danis, B.; Saucede, T.</t>
  </si>
  <si>
    <t>Diversity of Antarctic Echinoids and Ecoregions of the Southern Ocean</t>
  </si>
  <si>
    <t>BIOLOGY BULLETIN</t>
  </si>
  <si>
    <t>SPECIES DISTRIBUTION MODELS; CLIMATE-CHANGE; BIOGEOGRAPHY; BIODIVERSITY; SEA; KERGUELEN; CONNECTIVITY; COMMUNITY; ECOSYSTEM; PATTERNS</t>
  </si>
  <si>
    <t>Significant environmental changes have already been documented in the Southern Ocean (e.g. sea water temperature increase and salinity drop) but its marine life is still incompletely known given the heterogeneous nature of biogeographic data. However, to establish sustainable conservation areas, understanding species and communities distribution patterns is critical. For this purpose, the ecoregionalization approach can prove useful by identifying spatially explicit and well-delimited regions of common species composition and environmental settings. Such regions are expected to have similar biotic responses to environmental changes and can be used to define priorities for the designation of Marine Protected Areas. In the present work, a benthic ecoregionalization of the Southern Ocean is proposed based on echinoids distribution data and abiotic environmental parameters. Echinoids are widely distributed in the Southern Ocean, they are taxonomically and ecologically well diversified and documented. Given the heterogeneity of the sampling effort, predictive spatial models were produced to fill the gaps in between species distribution data. A first procedure was developed using Gaussian Mixture Models (GMM) to combine individual species models into ecoregions. A second, integrative procedure was implemented using the Generalized Dissimilarity Models (GDM) to model and assemble species distributions. Both procedures were compared to propose benthic ecoregions at the scale of the entire Southern Ocean.</t>
  </si>
  <si>
    <t>[Fabri-Ruiz, S.; Navarro, N.; Laffont, R.; Saucede, T.] Univ Bourgogne Franche Comte, EPHE, CNRS, UMR Biogeosci 6282, F-21000 Dijon, France; [Fabri-Ruiz, S.; Danis, B.] Univ Libre Bruxelle, Marine Biol Lab, B-1050 Brussels, Belgium; [Navarro, N.] PSL Univ, EPHE, F-75014 Paris, France</t>
  </si>
  <si>
    <t>Centre National de la Recherche Scientifique (CNRS); Universite PSL; Ecole Pratique des Hautes Etudes (EPHE); Universite de Bourgogne; Universite Libre de Bruxelles; Universite PSL; Ecole Pratique des Hautes Etudes (EPHE)</t>
  </si>
  <si>
    <t>Fabri-Ruiz, S (corresponding author), Univ Bourgogne Franche Comte, EPHE, CNRS, UMR Biogeosci 6282, F-21000 Dijon, France.;Fabri-Ruiz, S (corresponding author), Univ Libre Bruxelle, Marine Biol Lab, B-1050 Brussels, Belgium.</t>
  </si>
  <si>
    <t>salome.fabriruiz@gmail.com; nicolas.navarro@u-bourgogne.fr; remi.laffont@u-bourgogne.fr; bdanis@ulb.ac.be; thomas.saucede@u-bourgogne.fr</t>
  </si>
  <si>
    <t>Navarro, Nicolas/H-2364-2012; Danis, Bruno/AAS-8444-2021</t>
  </si>
  <si>
    <t>Navarro, Nicolas/0000-0001-5694-4201; Danis, Bruno/0000-0002-9037-7623</t>
  </si>
  <si>
    <t>French Polar Institute [1044]; Belgian Science Policy Office (BELSPO) [17]</t>
  </si>
  <si>
    <t>French Polar Institute; Belgian Science Policy Office (BELSPO)(Belgian Federal Science Policy Office)</t>
  </si>
  <si>
    <t>This research was supported by the French Polar Institute (program no. 1044-Proteker). It is respectively contribution no. 41 and n.. 17 to the vERSO and RECTO projects (http://www.rectoversoprojects.be), funded by the Belgian Science Policy Office (BELSPO).</t>
  </si>
  <si>
    <t>1062-3590</t>
  </si>
  <si>
    <t>1608-3059</t>
  </si>
  <si>
    <t>BIOL BULL+</t>
  </si>
  <si>
    <t>Biol. Bull</t>
  </si>
  <si>
    <t>10.1134/S1062359020060047</t>
  </si>
  <si>
    <t>Biology</t>
  </si>
  <si>
    <t>Life Sciences &amp; Biomedicine - Other Topics</t>
  </si>
  <si>
    <t>PS0BJ</t>
  </si>
  <si>
    <t>WOS:000607593700016</t>
  </si>
  <si>
    <t>Betti, F; Castro, LR; Bavestrello, G; Enrichetti, F; Daneri, G</t>
  </si>
  <si>
    <t>Betti, F.; Castro, L. R.; Bavestrello, G.; Enrichetti, F.; Daneri, G.</t>
  </si>
  <si>
    <t>Distribution, abundance and ecological requirements of the benthic phase of Munida gregaria (Anomura; Munididae) in the Puyuhuapi Fjord (Chilean Patagonia)</t>
  </si>
  <si>
    <t>REGIONAL STUDIES IN MARINE SCIENCE</t>
  </si>
  <si>
    <t>Lobster krill; Munididae; Aggregations; Feeding ecology; Habitat conservation</t>
  </si>
  <si>
    <t>SUBRUGOSA CRUSTACEA; FEEDING ECOLOGY; MAGELLAN REGION; DECAPODA; GALATHEIDAE; CHANNEL; BIODIVERSITY; STREAMFLOW; DYNAMICS; RECORD</t>
  </si>
  <si>
    <t>The squat lobster Munida gregaria is considered a key species within food webs of sub-Antarctic ecosystems of South America, and represents a fundamental link between detritus and higher-level predators. Although ecological aspects of its lengthy pelagic phase have been well described, those of the benthic stage remain poorly understood, particularly in Chilean Patagonia where information on the presence of benthic phases of M. gregaria has been scarce. The present paper aims to improve our knowledge of this important species, analysing benthic distribution, abundance and ecological requirements of the benthic phase of M. gregaria in the Puyuhuapi and Jacaf fjords in the Aysen Region of Chilean Patagonia. An extensive SCUBA diving survey, carried out between 2014 and 2019, allowed us to explore and document the soft seafloors inside these fjords. These benthic surveys conducted photographic transects between depths of 5 and 20 m to enumerate populations of M. gregaria and to measure sizes of individuals. The study revealed the presence of large aggregations of M. gregaria, with densities up to 4 times higher than previously reported maxima for South America. Munida gregaria appeared to be unable to live at the shallow depths of the brackish surface layer typical of fjords, though paradoxically, its presence on the seabed was linked to river outflow, and probably related to supply of organic matter. Chilean fjords are currently facing a number of challenges, particularly from climate change and other more direct anthropogenic impacts, and the key role of M. gregaria in these fjords should be considered in future monitoring activities. More particularly, the extremely high abundance of M. gregaria in Puyuhuapi Fjord should be considered in any rigorous protection measures planned for the fjord. (C) 2020 Elsevier B.V. All rights reserved.</t>
  </si>
  <si>
    <t>[Betti, F.; Bavestrello, G.; Enrichetti, F.] Univ Genoa, Dipartimento Sci Terra Ambiente &amp; Vita DISTAV, Corso Europa 26, Genoa, Italy; [Castro, L. R.] Univ Concepcion, Dept Oceanog, Barrio Univ S-N, Concepcion, Chile; [Castro, L. R.; Daneri, G.] Copas Sur Austral Ctr, Concepcion, Chile; [Daneri, G.] Ctr Invest Ecosistemas Patagonia CIEP, Calle Moraleda 16, Coyhaique, Chile</t>
  </si>
  <si>
    <t>University of Genoa; Universidad de Concepcion</t>
  </si>
  <si>
    <t>Betti, F (corresponding author), Univ Genoa, Dipartimento Sci Terra Ambiente &amp; Vita DISTAV, Corso Europa 26, Genoa, Italy.</t>
  </si>
  <si>
    <t>federico.betti@edu.unige.it</t>
  </si>
  <si>
    <t>Bavestrello, Giorgio/JXN-5230-2024</t>
  </si>
  <si>
    <t>Programa Regional CONICYT [R17A10002]; COPAS Sur Austral Center, ANID PIA APOYO CCTE, Chile [AFB170006]</t>
  </si>
  <si>
    <t>Programa Regional CONICYT; COPAS Sur Austral Center, ANID PIA APOYO CCTE, Chile</t>
  </si>
  <si>
    <t>The sampling campaigns were funded by Programa Regional CONICYT R17A10002 and COPAS Sur Austral Center, ANID PIA APOYO CCTE AFB170006, Chile.</t>
  </si>
  <si>
    <t>2352-4855</t>
  </si>
  <si>
    <t>REG STUD MAR SCI</t>
  </si>
  <si>
    <t>Reg. Stud. Mar. Sci.</t>
  </si>
  <si>
    <t>10.1016/j.rsma.2020.101534</t>
  </si>
  <si>
    <t>Ecology; Marine &amp; Freshwater Biology</t>
  </si>
  <si>
    <t>PL8OS</t>
  </si>
  <si>
    <t>WOS:000603374600005</t>
  </si>
  <si>
    <t>Beal, LM; Vialard, J; Roxy, MK; Li, J; Andres, M; Annamalai, H; Feng, M; Han, W; Hood, R; Lee, T; Lengaigne, M; Lumpkin, R; Masumoto, Y; McPhaden, MJ; Ravichandran, M; Shinoda, T; Sloyan, BM; Strutton, PG; Subramanian, AC; Tozuka, T; Ummenhofer, CC; Unnikrishnan, AS; Wiggert, J; Yu, L; Cheng, L; Desbruyères, DG; Parvathi, V</t>
  </si>
  <si>
    <t>Beal, L. M.; Vialard, J.; Roxy, M. K.; Li, J.; Andres, M.; Annamalai, H.; Feng, M.; Han, W.; Hood, R.; Lee, T.; Lengaigne, M.; Lumpkin, R.; Masumoto, Y.; McPhaden, M. J.; Ravichandran, M.; Shinoda, T.; Sloyan, B. M.; Strutton, P. G.; Subramanian, A. C.; Tozuka, T.; Ummenhofer, C. C.; Unnikrishnan, A. S.; Wiggert, J.; Yu, L.; Cheng, L.; Desbruyeres, D. G.; Parvathi, V</t>
  </si>
  <si>
    <t>A Road Map to IndOOS-2 Better Observations of the Rapidly Warming Indian Ocean</t>
  </si>
  <si>
    <t>BULLETIN OF THE AMERICAN METEOROLOGICAL SOCIETY</t>
  </si>
  <si>
    <t>SEA-SURFACE TEMPERATURE; MADDEN-JULIAN OSCILLATION; SST DIPOLE EVENTS; INDONESIAN THROUGHFLOW; SUMMER MONSOON; CLIMATE-CHANGE; INTERANNUAL VARIATIONS; DIURNAL CYCLE; HEAT-CONTENT; ARABIAN SEA</t>
  </si>
  <si>
    <t>The Indian Ocean Observing System (IndOOS), established in 2006, is a multinational network of sustained oceanic measurements that underpin understanding and forecasting of weather and climate for the Indian Ocean region and beyond. Almost one-third of humanity lives around the Indian Ocean, many in countries dependent on fisheries and rain-fed agriculture that are vulnerable to climate variability and extremes. The Indian Ocean alone has absorbed a quarter of the global oceanic heat uptake over the last two decades and the fate of this heat and its impact on future change is unknown. Climate models project accelerating sea level rise, more frequent extremes in monsoon rainfall, and decreasing oceanic productivity. In view of these new scientific challenges, a 3-yr international review of the IndOOS by more than 60 scientific experts now highlights the need for an enhanced observing network that can better meet societal challenges, and provide more reliable forecasts. Here we present core findings from this review, including the need for 1) chemical, biological, and ecosystem measurements alongside physical parameters; 2) expansion into the western tropics to improve understanding of the monsoon circulation; 3) better-resolved upper ocean processes to improve understanding of air-sea coupling and yield better subseasonal to seasonal predictions; and 4) expansion into key coastal regions and the deep ocean to better constrain the basinwide energy budget. These goals will require new agreements and partnerships with and among Indian Ocean rim countries, creating opportunities for them to enhance their monitoring and forecasting capacity as part of IndOOS-2.</t>
  </si>
  <si>
    <t>[Beal, L. M.] Univ Miami, Rosenstiel Sch Marine &amp; Atmospher Sci, Miami, FL USA; [Vialard, J.; Lengaigne, M.] Univ Paris 06, Sorbonne Univ, Inst Rech Dev, CNRS IRD MNHN,LOCEAN Lab,IPSL,UPMC, Paris, France; [Roxy, M. K.] Minist Earth Sci, Indian Inst Trop Meteorol, Pune, Maharashtra, India; [Li, J.] Minist Nat Resources, Inst Oceanog 1, Int CLIVAR Project Off, Qingdao, Peoples R China; [Andres, M.; Ummenhofer, C. C.; Yu, L.] Woods Hole Oceanog Inst, Woods Hole, MA 02543 USA; [Annamalai, H.] Univ Hawaii Manoa, Int Pacific Res Ctr, Sch Ocean &amp; Earth Sci &amp; Technol, Honolulu, HI 96822 USA; [Feng, M.; Sloyan, B. M.] Commonwealth Sci &amp; Ind Res Org, Ctr Southern Hemisphere Oceans Res Hobart Tasmani, Crawley, WA, Australia; [Han, W.; Subramanian, A. C.] Univ Colorado, Dept Atmospher &amp; Ocean Sci, Boulder, CO 80309 USA; [Hood, R.] Univ Maryland, Ctr Environm Sci, Cambridge, MD USA; [Lee, T.] CALTECH, Jet Prop Lab, NASA, Pasadena, CA USA; [Lumpkin, R.] NOAA, Atlantic Oceanog &amp; Meteorol Lab, Miami, FL 33149 USA; [Masumoto, Y.; Tozuka, T.] Univ Tokyo, Tokyo, Japan; [Masumoto, Y.] JAMSTEC, Applicat Lab, Yokohama, Kanagawa, Japan; [McPhaden, M. J.] NOAA, Pacific Marine Environm Lab, 7600 Sand Point Way Ne, Seattle, WA 98115 USA; [Ravichandran, M.] Minist Earth Sci, Natl Ctr Polar &amp; Ocean Res, Vasco Da Gama, Goa, India; [Shinoda, T.] Texas A&amp;M Univ, Corpus Christi, TX USA; [Strutton, P. G.] Univ Tasmania, Inst Marine &amp; Antarctic Studies, Hobart, Tas, Australia; [Strutton, P. G.] Australian Res Council Ctr Excellence Climate Ext, Hobart, Tas, Australia; [Unnikrishnan, A. S.] CSIR, Natl Inst Oceanog, Panaji, Goa, India; [Wiggert, J.] Univ Southern Mississippi, Hattiesburg, MS 39406 USA; [Cheng, L.] Chinese Acad Sci, Int Ctr Climate &amp; Environm Sci, Inst Atmospher Phys, Beijing, Peoples R China; [Cheng, L.] Chinese Acad Sci, Ctr Ocean Megasci, Qingdao, Peoples R China; [Desbruyeres, D. G.] Univ Brest, IFREMER, CNRS, IRD,Lab Oceanog Phys &amp; Spatiale,IUEM, Brest, France; [Parvathi, V] New York Univ Abu Dhabi, Ctr Prototype Climate Modeling, Abu Dhabi, U Arab Emirates</t>
  </si>
  <si>
    <t>University of Miami; Sorbonne Universite; Museum National d'Histoire Naturelle (MNHN); Universite Paris Cite; Institut de Recherche pour le Developpement (IRD); Ministry of Earth Sciences (MoES) - India; Indian Institute of Tropical Meteorology (IITM); Ministry of Natural Resources of the People's Republic of China; First Institute of Oceanography, Ministry of Natural Resources; Woods Hole Oceanographic Institution; University of Hawaii System; University of Hawaii Manoa; Commonwealth Scientific &amp; Industrial Research Organisation (CSIRO); University of Colorado System; University of Colorado Boulder; University System of Maryland; University of Maryland Center for Environmental Science; National Aeronautics &amp; Space Administration (NASA); NASA Jet Propulsion Laboratory (JPL); California Institute of Technology; National Oceanic Atmospheric Admin (NOAA) - USA; Atlantic Oceanographic &amp; Meteorological Laboratory (AOML); University of Tokyo; Japan Agency for Marine-Earth Science &amp; Technology (JAMSTEC); National Oceanic Atmospheric Admin (NOAA) - USA; Ministry of Earth Sciences (MoES) - India; National Centre for Polar and Ocean Research (NCPOR); Texas A&amp;M University System; University of Tasmania; Council of Scientific &amp; Industrial Research (CSIR) - India; CSIR - National Institute of Oceanography (NIO); University of Southern Mississippi; Chinese Academy of Sciences; Institute of Atmospheric Physics, CAS; Chinese Academy of Sciences; Institut de Recherche pour le Developpement (IRD); Centre National de la Recherche Scientifique (CNRS); Universite de Bretagne Occidentale; Institut Universitaire Europeen de la Mer (IUEM); Ifremer; New York University Abu Dhabi</t>
  </si>
  <si>
    <t>Vialard, J (corresponding author), Univ Paris 06, Sorbonne Univ, Inst Rech Dev, CNRS IRD MNHN,LOCEAN Lab,IPSL,UPMC, Paris, France.</t>
  </si>
  <si>
    <t>jerome.vialard@ird.fr</t>
  </si>
  <si>
    <t>Han, Weiqing/JXN-0886-2024; McPhaden, Michael J/D-9799-2016; Sloyan, Bernadette/N-8989-2014; Subramanian, Aneesh/AFP-8577-2022; Lengaigne, Matthieu/K-4345-2013; Vialard, Jérôme/C-2809-2008; Lumpkin, Rick/C-9615-2009; Koll, Roxy Mathew/B-5863-2008; Lengaigne, Matthieu/M-8321-2014; Tozuka, Tomoki/A-1805-2009; Shinoda, Toshiaki/S-1721-2019; Vialard, Jérôme/Z-5007-2019; Vallivattathillam, Parvathi/JJE-0954-2023; Wiggert, Jerry/JJD-6811-2023; MASUMOTO, YUKIO/G-5021-2014; Lee, Tony/JDM-3564-2023; cheng, lijing/W-2261-2017; Feng, Ming/F-5411-2010; Strutton, Peter/C-4466-2011; Subramanian, Aneesh/D-9484-2017</t>
  </si>
  <si>
    <t>Sloyan, Bernadette/0000-0003-0250-0167; Lengaigne, Matthieu/0000-0002-0044-036X; Vialard, Jérôme/0000-0001-6876-3766; Lumpkin, Rick/0000-0002-6690-1704; Koll, Roxy Mathew/0000-0001-9311-5162; Lengaigne, Matthieu/0000-0002-0044-036X; Tozuka, Tomoki/0000-0001-6738-1299; Shinoda, Toshiaki/0000-0003-1416-2206; Vallivattathillam, Parvathi/0000-0003-1670-964X; Wiggert, Jerry/0000-0001-8665-0773; cheng, lijing/0000-0002-9854-0392; Feng, Ming/0000-0002-2855-7092; Strutton, Peter/0000-0002-2395-9471; Desbruyeres, Damien/0000-0003-0405-421X; Lee, Tong/0000-0001-9817-2908; Subramanian, Aneesh/0000-0001-7805-0102; Beal, Lisa/0000-0003-3678-5367; Li, Jing/0000-0002-1079-3935</t>
  </si>
  <si>
    <t>World Climate Research Programme (WCRP); core project on Climate and Ocean: Variability, Predictability and Change (CLIVAR); Indian Ocean Global Ocean Observing System (IOGOOS); Intergovernmental Oceanographic Commission of UNESCO (IOCUNESCO); Integrated Marine Biosphere Research (IMBeR) project; U.S. National Oceanic and Atmospheric Administration (NOAA); International Union of Geodesy and Geophysics (IUGG); Andrew W. Mellon Foundation Award for Innovative Research</t>
  </si>
  <si>
    <t>World Climate Research Programme (WCRP); core project on Climate and Ocean: Variability, Predictability and Change (CLIVAR); Indian Ocean Global Ocean Observing System (IOGOOS); Intergovernmental Oceanographic Commission of UNESCO (IOCUNESCO); Integrated Marine Biosphere Research (IMBeR) project; U.S. National Oceanic and Atmospheric Administration (NOAA)(National Oceanic Atmospheric Admin (NOAA) - USA); International Union of Geodesy and Geophysics (IUGG); Andrew W. Mellon Foundation Award for Innovative Research</t>
  </si>
  <si>
    <t>We thank the World Climate Research Programme (WCRP) and its core project on Climate and Ocean: Variability, Predictability and Change (CLIVAR), the Indian Ocean Global Ocean Observing System (IOGOOS), the Intergovernmental Oceanographic Commission of UNESCO (IOCUNESCO), the Integrated Marine Biosphere Research (IMBeR) project, the U.S. National Oceanic and Atmospheric Administration (NOAA), and the International Union of Geodesy and Geophysics (IUGG) for providing the financial support to bring international scientists together to conduct this review. We thank the members of the independent review board that provided detailed feedbacks on the review report that is summarized in this article: P. E. Dexter, M. Krug, J. McCreary, R. Matear, C. Moloney, and S. Wijffels. PMEL Contribution 5041. C. Ummenhofer acknowledges support from The Andrew W. Mellon Foundation Award for Innovative Research. Most importantly, we thank and acknowledge all the coauthors of individual chapters for their help on the IndOOS review: T. Aarup, K. Ando, M. A. Balmaseda, D. Barbary, L. Centurioni, R. Cowley, T. Doi, P. J. Durack, M. Gravelle, N. J. HardmanMountford, B. Ajay Kumar, A. Kumar, C. Lee, A. Matthews, E. McDonagh, M. Nagura, S. Neetu, A. G. Nidheesh, H. Phillips, H. A. Ramsay, L. Resplandy, K. Richards, E. L. Shroyer, J. Sprintall, D. Susanto, L. Testut, T. V. S. Bhaskar, F. Vitart, K. Walsh, R. Wanninkhof, P. L. Woodworth, C. Zhang, and T. Zhou.</t>
  </si>
  <si>
    <t>AMER METEOROLOGICAL SOC</t>
  </si>
  <si>
    <t>BOSTON</t>
  </si>
  <si>
    <t>45 BEACON ST, BOSTON, MA 02108-3693 USA</t>
  </si>
  <si>
    <t>0003-0007</t>
  </si>
  <si>
    <t>1520-0477</t>
  </si>
  <si>
    <t>B AM METEOROL SOC</t>
  </si>
  <si>
    <t>Bull. Amer. Meteorol. Soc.</t>
  </si>
  <si>
    <t>E1891</t>
  </si>
  <si>
    <t>E1913</t>
  </si>
  <si>
    <t>10.1175/BAMS-D-19-0209.1</t>
  </si>
  <si>
    <t>PE0LX</t>
  </si>
  <si>
    <t>WOS:000598066100002</t>
  </si>
  <si>
    <t>McCoy, D; Bianchi, D; Stewart, AL</t>
  </si>
  <si>
    <t>McCoy, Daniel; Bianchi, Daniele; Stewart, Andrew L.</t>
  </si>
  <si>
    <t>Global observations of submesoscale coherent vortices in the ocean</t>
  </si>
  <si>
    <t>PROGRESS IN OCEANOGRAPHY</t>
  </si>
  <si>
    <t>Argo floats; Mesoscale eddies; Ocean transport; Water masses; Volume transport; Water mixing</t>
  </si>
  <si>
    <t>NORTHWESTERN PACIFIC-OCEAN; MESOSCALE EDDIES; INTRATHERMOCLINE EDDIES; MODE-WATER; CALIFORNIA UNDERCURRENT; SUBTHERMOCLINE EDDIES; EDDY; VARIABILITY; OXYGEN; ZONE</t>
  </si>
  <si>
    <t>Subsurface-intensified anticyclones are ubiquitous in the ocean, yet their impact on the large-scale transport of heat, salt and chemical tracers is poorly understood. These submesoscale coherent vortices (SCVs) can trap and advect waters thousands of kilometers away from the formation region, providing a transport pathway that is unresolved by low-resolution Earth System Models. However, knowledge of the importance of these eddies for the large scale circulation is hindered by the lack of systematic observations. Here, we take advantage of the global network of Argo floats to identify occurrences of these eddies, which appear as weakly stratified anomalous water masses with Gaussian-shaped vertical structures. We develop a general algorithm to detect subsurface eddies that have propagated away from their source region, and apply it to the database of Argo float profiles, resulting in roughly 4000 detections from more than 20 years of observations. We further group detections into regional populations to identify hot-spots of generation and mechanisms of formation. Analysis of regional SCV statistics reveals important sites of SCV generation in Eastern Boundary Upwelling Systems, marginal sea overflows, and mode water formation regions along major open-ocean fronts. Because of the heat and salt anomaly contained within their cores, SCV could leave a significant imprint on the hydrographic properties of water masses in regions of high SCV density.</t>
  </si>
  <si>
    <t>[McCoy, Daniel; Bianchi, Daniele; Stewart, Andrew L.] Univ Calif Los Angeles, Dept Atmospher &amp; Ocean Sci, 520 Portola Plaza, Los Angeles, CA 90095 USA</t>
  </si>
  <si>
    <t>University of California System; University of California Los Angeles</t>
  </si>
  <si>
    <t>McCoy, D (corresponding author), Univ Calif Los Angeles, Dept Atmospher &amp; Ocean Sci, 520 Portola Plaza, Los Angeles, CA 90095 USA.</t>
  </si>
  <si>
    <t>demccoy@atmos.ucla.edu</t>
  </si>
  <si>
    <t>McCoy, Daniel/0000-0002-1322-5474; Bianchi, Daniele/0000-0002-6621-0858; Stewart, Andrew/0000-0001-5861-4070</t>
  </si>
  <si>
    <t>National Science Foundation (NSF), USA [1635632, 1847687, 1751386]; National Oceanic and Atmospheric Administration (NOAA), USA; Directorate For Geosciences [1751386] Funding Source: National Science Foundation; Directorate For Geosciences; Division Of Ocean Sciences [1847687] Funding Source: National Science Foundation; Division Of Ocean Sciences [1751386] Funding Source: National Science Foundation; Division Of Ocean Sciences; Directorate For Geosciences [1635632] Funding Source: National Science Foundation</t>
  </si>
  <si>
    <t>National Science Foundation (NSF), USA(National Science Foundation (NSF)); National Oceanic and Atmospheric Administration (NOAA), USA; Directorate For Geosciences(National Science Foundation (NSF)NSF - Directorate for Geosciences (GEO)); Directorate For Geosciences; Division Of Ocean Sciences(National Science Foundation (NSF)NSF - Directorate for Geosciences (GEO)); Division Of Ocean Sciences(National Science Foundation (NSF)NSF - Directorate for Geosciences (GEO)); Division Of Ocean Sciences; Directorate For Geosciences(National Science Foundation (NSF)NSF - Directorate for Geosciences (GEO))</t>
  </si>
  <si>
    <t>This material is based in part upon work supported by the National Science Foundation (NSF), USA under Grants 1635632, 1847687, and 1751386. These data were collected and made freely available by the International Argo Program and the national programs that contribute to it (http://www.argo.ucsd.edu, http://argo.jcommops.org).The Argo Program is part of the Global Ocean Observing System. The 19922012 mean ocean dynamic topography data has been obtained from Nikolai Maximenko (IPRC) and Peter Niiler (SIO) through the AsiaPacific Data Research Center, which is a part of the International Pacific Research Center at the University of Hawaii at Manoa, funded in part by the National Oceanic and Atmospheric Administration (NOAA), USA. The spatial distributions of the Antarctic Circumpolar Current fronts from Orsi and Whitworth (2005) have been obtained from the WOCE Southern Ocean Atlas. The code utilized for the SCV detection and the datasets produced in this work are available for download through Zenodo (https://doi.org/10.5281/zenodo.4037179 and https://doi.org/10.5281/zenodo.4037442, respectively). The authors would also like to thank Victor Ciaramitaro and James Huntley for initial analysis of SCVs in Argo data.</t>
  </si>
  <si>
    <t>PERGAMON-ELSEVIER SCIENCE LTD</t>
  </si>
  <si>
    <t>THE BOULEVARD, LANGFORD LANE, KIDLINGTON, OXFORD OX5 1GB, ENGLAND</t>
  </si>
  <si>
    <t>0079-6611</t>
  </si>
  <si>
    <t>PROG OCEANOGR</t>
  </si>
  <si>
    <t>Prog. Oceanogr.</t>
  </si>
  <si>
    <t>10.1016/j.pocean.2020.102452</t>
  </si>
  <si>
    <t>PB3BK</t>
  </si>
  <si>
    <t>WOS:000596200100005</t>
  </si>
  <si>
    <t>Zawierucha, K; Buda, J; Jaromerska, TN; Janko, K; Gasiorek, P</t>
  </si>
  <si>
    <t>Zawierucha, Krzysztof; Buda, Jakub; Jaromerska, Tereza Novotna; Janko, Karel; Gasiorek, Piotr</t>
  </si>
  <si>
    <t>Integrative approach reveals new species of water bears (Pilatobius, Grevenius, and Acutuncus) from Arctic cryoconite holes, with the discovery of hidden lineages of Hypsibius</t>
  </si>
  <si>
    <t>ZOOLOGISCHER ANZEIGER</t>
  </si>
  <si>
    <t>Biodiversity; Cryoconite; Glacier-dwelling; Invertebrates; Psychrophiles; Tardigrada; Thermal niches</t>
  </si>
  <si>
    <t>TARDIGRADA EUTARDIGRADA; ANTARCTIC TARDIGRADE; TAXONOMIC VALUE; GLACIER ICE; SVALBARD; DIVERSITY; COMMUNITIES; TUNDRA; VALLEY; REDESCRIPTION</t>
  </si>
  <si>
    <t>A crucial step in understanding glacial ecosystems is to elucidate their biodiversity. Although tardigrades (water bears) are one of the most common and abundant metazoans inhabiting glaciers, knowledge of their taxonomic diversity on these ice masses remains scarce. The fragmentary data about the diversity of metazoans in glacial ecosystems is a warning sign in the era of global warming that seriously threatens cold-adapted specialists. Based on morphological, morphometric and DNA analyses (18S rRNA, 28S rRNA, COI), we identified tardigrade taxa from water -filled reservoirs in the glacier surface (cryoconite holes) in the Arctic (Svalbard and Greenland). Here we describe three species new to science: Pilatobius glacialis sp. nov., Acutuncus mariae sp. nov. and Grevenius cryophilus sp. nov. In addition to their morphological and genetic differences, these species are easily distinguished from their close relatives by their thermally stable niche, cryoconite holes, in which water temperature at the bottom oscillates around 0.1 degrees C during the polar summer. Moreover, we found the genus Acutuncus, considered a pan-Antarctic taxon, in cryoconite holes on Svalbard. Additionally, we discovered three new species of the Hypsibius dujardini complex by DNA analysis. Their delimitation is currently based on genetic differences and further morphometric studies may aid in distinguishing them. Our study revealed a new view on the biogeography of glacier tardigrades and the genus Acutuncus, as well as emphasized the uniqueness of glacier metazoans. Tardigrade species inhabiting cryoconite holes may be either morphologically the same (P. glacialis sp. nov.), or very similar to species inhabiting other ecosystems (H. dujardini complex), but they differ in DNA. On other hands, others are unique in both morphology and DNA (G. cryophilus sp. nov.) indicating that the properties of specific habitats shape speciation and, as in cryoconite holes, the reason might be their thermal regime. Therefore, we suggest using the ecological background as well as habitat characteristics in taxonomic descriptions and the differential diagnosis of new tardigrade species. (c) 2020 Elsevier GmbH. All rights reserved.</t>
  </si>
  <si>
    <t>[Zawierucha, Krzysztof; Buda, Jakub] Adam Mickiewicz Univ, Dept Anim Taxon &amp; Ecol, Uniwersytetu Poznanskiego 6, PL-61614 Poznan, Poland; [Jaromerska, Tereza Novotna] Charles Univ Prague, Fac Sci, Dept Ecol, Vinicn a 7, CZ-12844 Prague 2, Czech Republic; [Janko, Karel] Acad Sci Czech Republ, Inst Anim Physiol &amp; Genet, Lab Fish Genet, Libechov, Czech Republic; [Janko, Karel] Univ Ostrava, Dept Biol &amp; Ecol, Fac Sci, Chittussiho 10, Ostrava, Czech Republic; [Gasiorek, Piotr] Jagiellonian Univ, Inst Zool &amp; Biomed Res, Gronostajowa 9, PL-30387 Krakow, Poland</t>
  </si>
  <si>
    <t>Adam Mickiewicz University; Charles University Prague; Czech Academy of Sciences; Institute of Animal Physiology &amp; Genetics of the Czech Academy of Sciences; University of Ostrava; Jagiellonian University</t>
  </si>
  <si>
    <t>Zawierucha, K (corresponding author), Adam Mickiewicz Univ, Dept Anim Taxon &amp; Ecol, Uniwersytetu Poznanskiego 6, PL-61614 Poznan, Poland.</t>
  </si>
  <si>
    <t>k.p.zawierucha@gmail.com</t>
  </si>
  <si>
    <t>Zawierucha, Krzysztof/HDN-5985-2022; Buda, Jakub/ABE-5873-2021; Zawierucha, Krzysztof/HTP-6506-2023; Gąsiorek, Piotr/L-3152-2017; NovotnaJaromerska, Tereza/KFR-5522-2024</t>
  </si>
  <si>
    <t>Zawierucha, Krzysztof/0000-0002-0754-1411; Gąsiorek, Piotr/0000-0002-2814-8117; NovotnaJaromerska, Tereza/0000-0002-8676-7792; Buda, Jakub/0000-0002-4584-5897</t>
  </si>
  <si>
    <t>National Science Center [NCN 2013/11/N/NZ8/00597]; INTERACT Transnational Access; START from the Foundation for Polish Science (FNP); National Science Centre [2020/36/T/NZ8/00360]; Centre for Polar Ecology of University of South Bohemia e Josef Svoboda station at Svalbard (Ministry of Education, Youth and Sports) [LM2015078]; Czech Arctic Polar Infrastructure of University of South Bohemia e Josef Svoboda station at Svalbard (Ministry of Education, Youth and Sports) [LM2015078]; Czech Academy of Sciences [RVO67985904]; Ministry of Education, Youth and Sports of the Czech Republic</t>
  </si>
  <si>
    <t>National Science Center(National Science Centre, Poland); INTERACT Transnational Access; START from the Foundation for Polish Science (FNP); National Science Centre(National Science Centre, Poland); Centre for Polar Ecology of University of South Bohemia e Josef Svoboda station at Svalbard (Ministry of Education, Youth and Sports); Czech Arctic Polar Infrastructure of University of South Bohemia e Josef Svoboda station at Svalbard (Ministry of Education, Youth and Sports); Czech Academy of Sciences(Czech Academy of Sciences); Ministry of Education, Youth and Sports of the Czech Republic(Ministry of Education, Youth &amp; Sports - Czech Republic)</t>
  </si>
  <si>
    <t>The field work and laboratory analyses were supported by the National Science Center grant no. NCN 2013/11/N/NZ8/00597 to K.Z. We thank the team of the Stanislaw Siedlecki Polish Polar Station in Hornsund for their hospitality and assistance during the field works. K.Z. is grateful to Joseph Cook for collection of samples in the dark zone of the Greenland Ice Sheet, Malgorzata Kolicka and Marie Sabacka for collection of samples in the Svalbard archipelago, Maciej Wilk for help in field works on Longyearbreen, and the forScience foundation team for logistical support during Arctic expeditions in 2013 and 2016. Specimens of Pilatobius have been compared with material from Norway collected within the Grant [ETANGO] awarded by INTERACT Transnational Access to K.Z. P.G. was supported by the START stipend from the Foundation for Polish Science (FNP) and the Etiuda stipend (2020/36/T/NZ8/00360) from the National Science Centre. Sampling on Nordenski_oldbreen, Ebbabreen and Svenbreen was supported by Centre for Polar Ecology and Czech Arctic Polar Infrastructure of University of South Bohemia e Josef Svoboda station at Svalbard (project CzechPolar LM2015078 supported by Ministry of Education, Youth and Sports) for T.J. K. J. is grateful for financial support from the Czech Academy of Sciences (grant number RVO67985904), and the Ministry of Education, Youth and Sports of the Czech Republic.</t>
  </si>
  <si>
    <t>ELSEVIER GMBH</t>
  </si>
  <si>
    <t>MUNICH</t>
  </si>
  <si>
    <t>HACKERBRUCKE 6, 80335 MUNICH, GERMANY</t>
  </si>
  <si>
    <t>0044-5231</t>
  </si>
  <si>
    <t>ZOOL ANZ</t>
  </si>
  <si>
    <t>Zool. Anz.</t>
  </si>
  <si>
    <t>10.1016/j.jcz.2020.09.004</t>
  </si>
  <si>
    <t>Zoology</t>
  </si>
  <si>
    <t>PE4NR</t>
  </si>
  <si>
    <t>WOS:000598342400004</t>
  </si>
  <si>
    <t>Chikudza, L; Gauzente, C; Guillotreau, P; Alexander, KA</t>
  </si>
  <si>
    <t>Chikudza, Lynnlee; Gauzente, Claire; Guillotreau, Patrice; Alexander, Karen A.</t>
  </si>
  <si>
    <t>Producer perceptions of the incentives and challenges of adopting ecolabels in the European finfish aquaculture industry: A Q-methodology approach</t>
  </si>
  <si>
    <t>MARINE POLICY</t>
  </si>
  <si>
    <t>Certification; Eco-label; Europe; Incentives; Challenges; Perspectives</t>
  </si>
  <si>
    <t>WILLINGNESS-TO-PAY; CONSUMER PREFERENCES; SOCIAL LICENSE; PRICE PREMIUMS; ECO-LABELS; SEAFOOD; SUSTAINABILITY; FISH; CERTIFICATION; GOVERNANCE</t>
  </si>
  <si>
    <t>There is growing research interest in aquaculture ecolabelling. This is unsurprising given the potential economic incentives for the producer such as market access, price premium and increased sales, as well as the expected environmental benefits. To date, the focus has been on consumer perspectives of ecolabels, but research regarding farmers' perceptions remains scant. This study starts to address this gap by examining producers' perceptions of the costs and benefits of ecolabelling, and by investigating the effects of operation scale on these perceptions. A Q-methodology approach was used to uncover shared ways of thinking about this topic. A total of 26 interviews provided in-depth data on the perceptions behind the Q-sort rankings. The results of the study indicated that producers believed that adopting ecolabelling provides opportunities such as enhanced local and export market access, product acceptance, price premium, long-term supply contracts, increased investment attractiveness, positive consumer perception of aquaculture products and increased reputation. Producers also identified challenges such as compliance costs, costly annual audits and a lack of long-term benefits. The results of this study also suggest that incentives and challenges may not be correlated to scale, as comparable sized farm units did not share similar viewpoints. There are many considerations for a producer prior to pursuing certification. Providing evidence relating to the perceived incentives and challenges may make the decision to take a step towards sustainability an easier one.</t>
  </si>
  <si>
    <t>[Chikudza, Lynnlee; Gauzente, Claire; Guillotreau, Patrice] Univ Nantes, LEMNA, Chemin Censive Du,Tertre BP 52231, F-44322 Nantes 3, France; [Alexander, Karen A.] Univ Tasmania, Ctr Marine Socioecol, Hobart, Tas 7001, Australia; [Alexander, Karen A.] Univ Tasmania, Inst Marine &amp; Antarctic Studies, POB 49, Hobart, Tas 7001, Australia</t>
  </si>
  <si>
    <t>Nantes Universite; University of Tasmania; University of Tasmania</t>
  </si>
  <si>
    <t>Alexander, KA (corresponding author), Univ Tasmania, Inst Marine &amp; Antarctic Studies, POB 49, Hobart, Tas 7001, Australia.</t>
  </si>
  <si>
    <t>Karen.Alexander@utas.edu.au</t>
  </si>
  <si>
    <t>Guillotreau, Patrice/AAL-7482-2020; Alexander, Karen/O-7042-2017</t>
  </si>
  <si>
    <t>Guillotreau, Patrice/0000-0002-3083-1230; Alexander, Karen/0000-0001-8801-413X</t>
  </si>
  <si>
    <t>ACES Erasmus Mundus JMD [553648-EPP-1-2014-1-UK-EPPKA1-JMD-MOB_ACES]</t>
  </si>
  <si>
    <t>ACES Erasmus Mundus JMD</t>
  </si>
  <si>
    <t>This study was funded by the ACES Erasmus Mundus JMD (Grant No. 553648-EPP-1-2014-1-UK-EPPKA1-JMD-MOB_ACES).</t>
  </si>
  <si>
    <t>ELSEVIER SCI LTD</t>
  </si>
  <si>
    <t>THE BOULEVARD, LANGFORD LANE, KIDLINGTON, OXFORD OX5 1GB, OXON, ENGLAND</t>
  </si>
  <si>
    <t>0308-597X</t>
  </si>
  <si>
    <t>1872-9460</t>
  </si>
  <si>
    <t>MAR POLICY</t>
  </si>
  <si>
    <t>Mar. Pol.</t>
  </si>
  <si>
    <t>10.1016/j.marpol.2020.104176</t>
  </si>
  <si>
    <t>Environmental Studies; International Relations</t>
  </si>
  <si>
    <t>Social Science Citation Index (SSCI)</t>
  </si>
  <si>
    <t>Environmental Sciences &amp; Ecology; International Relations</t>
  </si>
  <si>
    <t>PA8IL</t>
  </si>
  <si>
    <t>WOS:000595873000014</t>
  </si>
  <si>
    <t>Dahood, A; Klein, ES; Watters, GM</t>
  </si>
  <si>
    <t>Dahood, Adrian; Klein, Emily S.; Watters, George M.</t>
  </si>
  <si>
    <t>Planning for success: Leveraging two ecosystem models to support development of an Antarctic marine protected area</t>
  </si>
  <si>
    <t>Antarctic; Marine protected area; Ecosystem model; Multi-model inference; Decision support; Science for policy advice</t>
  </si>
  <si>
    <t>KRILL FISHERY; UNCERTAINTY; PARAMETERS; PENINSULA; ECOPATH; OPTIONS; ECOSIM</t>
  </si>
  <si>
    <t>Efforts are underway to forward a marine protected area (MPA) in the Western Antarctic Peninsula, guided by an internationally agreed framework of protected area objectives. Preliminary MPA boundaries were evaluated against some of these objectives using a static, map-based process, yet further assessment and additional objectives could be addressed with dynamic approaches. Here, the MPA's evaluation was expanded using the joint application of two published dynamic ecosystem models to further appraise the MPA. These models also considered potential impacts of climate change in the region, and greater insight can be gained from using them together rather than independently. Both models projected the proposed MPA could increase ecosystem viability in the region by reducing potential population declines, especially of penguins. These benefits manifested even when the impacts of climate change occurred over the long term, and likely accrued due to protection of areas important for krill aggregation and predator foraging. Model outcomes also suggested possible improvements to the preliminary MPA boundaries to reinforce these benefits. Using the two structurally distinct models together increased confidence in results and the potential for an MPA to meet multiple policy objectives in the region, and the paper further details the process of translating outcomes into timely decision support for stakeholders. Modelling results were regularly communicated using established formal and informal channels, ensuring modelderived advice directly supported policy needs. Collectively, the work demonstrates the process and value of leveraging existing ecosystem models, quickly adapting models to policy needs, and developing actionable advice for policy makers.</t>
  </si>
  <si>
    <t>[Dahood, Adrian; Klein, Emily S.; Watters, George M.] NOAA, Antarctic Ecosyst Res Div, Southwest Fisheries Sci Ctr, Natl Marine Fisheries Serv, 8901 La Jolla Shores Dr, La Jolla, CA 92037 USA; [Dahood, Adrian] Univ Calif Santa Cruz, Inst Marine Sci, 1156 High St, Santa Cruz, CA 95064 USA; [Watters, George M.] Farallon Inst, 101 H St, Petaluma, CA 94952 USA; [Dahood, Adrian] Calif Nat Resources Agcy, Calif Ocean Protect Council, 1416 Ninth St,Suite 1311, Sacramento, CA 95814 USA; [Klein, Emily S.] Boston Univ, Frederick S Pardee Ctr Study Longer Range Future, 67 Bay State Rd, Boston, MA 02215 USA</t>
  </si>
  <si>
    <t>National Oceanic Atmospheric Admin (NOAA) - USA; University of California System; University of California Santa Cruz; Boston University</t>
  </si>
  <si>
    <t>Klein, ES (corresponding author), NOAA, Antarctic Ecosyst Res Div, Southwest Fisheries Sci Ctr, Natl Marine Fisheries Serv, 8901 La Jolla Shores Dr, La Jolla, CA 92037 USA.;Klein, ES (corresponding author), Boston Univ, Frederick S Pardee Ctr Study Longer Range Future, 67 Bay State Rd, Boston, MA 02215 USA.</t>
  </si>
  <si>
    <t>emily.klein04@gmail.com; george.watters@noaa.gov</t>
  </si>
  <si>
    <t>Watters, George/HPE-2184-2023</t>
  </si>
  <si>
    <t>Watters, George/0000-0002-6989-1273; Klein, Emily S./0000-0001-9514-7344</t>
  </si>
  <si>
    <t>Pew Charitable Trusts [31740, 31815]</t>
  </si>
  <si>
    <t>Pew Charitable Trusts</t>
  </si>
  <si>
    <t>This work was supported by the Pew Charitable Trusts, contract IDs #31740 and #31815.</t>
  </si>
  <si>
    <t>10.1016/j.marpol.2020.104109</t>
  </si>
  <si>
    <t>PA8IE</t>
  </si>
  <si>
    <t>WOS:000595872300001</t>
  </si>
  <si>
    <t>Kolbasova, G; Kosobokova, K; Neretina, T</t>
  </si>
  <si>
    <t>Kolbasova, Glafira; Kosobokova, Ksenia; Neretina, Tatiana</t>
  </si>
  <si>
    <t>Bathy- and mesopelagic annelida from the Arctic Ocean: Description of new, redescription of known and notes on some cosmopolitan species</t>
  </si>
  <si>
    <t>DEEP-SEA RESEARCH PART I-OCEANOGRAPHIC RESEARCH PAPERS</t>
  </si>
  <si>
    <t>Deep sea; Biodiversity; Lopadorrhynchidae; Typhloscolecidae; Iospilidae; Polynoidae; Molecular systematics; Morphology; Pelagic polychaeta; 18S rDNA; 28S rDNA; 16S rDNA</t>
  </si>
  <si>
    <t>POLYCHAETA; POLYNOIDAE; SEA; PHYLOGENY; PACIFIC; MACELLICEPHALINAE; RECORDS; GENERA; WORMS; LOPADORHYNCHIDAE</t>
  </si>
  <si>
    <t>Pelagic polychaetes collected in the deep Arctic Ocean between 2011 and 2016 during three expeditions of R/V Polarstern were investigated using morphological taxonomic and molecular methods based on DNA sequences for portions of the mitochondrial 16S and nuclear 18S and 28S rDNA genes. A comparison of our results on arctic Pelagobia cf. longicirrata Greeff, 1879, (Lopadorrhynchidae) and Typhloscolex cf. muelleri Busch, 1851 (Typhloscolecidae) with the data on P. cf. longicirrata and T. cf. muelleri from the Atlantic, Antarctic and Pacific, suggests the presence of species complexes within each of them instead of cosmopolitan species. We infer the validity of Phalacrophorus borealis Reibisch, 1895 (Iospilidae), synonymized earlier by several authors with cosmopolitan P. pictus Greeff, 1879 as a subspecies. Also, we describe a new Lopadorrhynchidae genus, Bathypelagobia gen. nov. with a redescription of Pedinosoma polaris (Buzhinskaja, 2017). Finally, we describe a new Polynoidae species, Bathypolaria kondrashovi sp. nov. with some notes on the reproductive biology of the latter species.</t>
  </si>
  <si>
    <t>[Kolbasova, Glafira; Neretina, Tatiana] Lomonosov Moscow State Univ, NA Pertsov White Sea Biol Stn, Moscow, Russia; [Kosobokova, Ksenia] Russian Acad Sci, Shirshov Inst Oceanol, Moscow, Russia; [Neretina, Tatiana] Russian Acad Sci, Kharkevitch Inst Informat Transmiss Problems, Moscow, Russia</t>
  </si>
  <si>
    <t>Lomonosov Moscow State University; Russian Academy of Sciences; Shirshov Institute of Oceanology; Russian Academy of Sciences</t>
  </si>
  <si>
    <t>Kolbasova, G (corresponding author), Lomonosov Moscow State Univ, NA Pertsov White Sea Biol Stn, Moscow, Russia.</t>
  </si>
  <si>
    <t>utricularia57@yandex.ru</t>
  </si>
  <si>
    <t>Neretina, Tatiana Vladimirovna/O-3724-2016; Kolbasova, Glafira D./N-3824-2016; Kosobokova, Ksenia/P-3363-2014</t>
  </si>
  <si>
    <t>Kosobokova, Ksenia/0000-0002-3039-4480</t>
  </si>
  <si>
    <t>AWI [AWI_PS101_01]; Russian Science Foundation [16-14-10173]; Russian Foundation for Basic Research [18-05-60158, 19-04-00501, 19-04-00955]; Russian Science Foundation [16-14-10173] Funding Source: Russian Science Foundation</t>
  </si>
  <si>
    <t>AWI; Russian Science Foundation(Russian Science Foundation (RSF)); Russian Foundation for Basic Research(Russian Foundation for Basic Research (RFBR)Spanish Government); Russian Science Foundation(Russian Science Foundation (RSF))</t>
  </si>
  <si>
    <t>The ship time during the PS101 expedition was funded by AWI Grant No. AWI_PS101_01. This study was performed in the framework of the state assignment of IO RAS (theme No. 0149-2019-0008), and partially supported by Russian Science Foundation grantN. 16-14-10173 and by Russian Foundation for Basic Research grants 18-05-60158, 19-04-00501 and 19-04-00955.</t>
  </si>
  <si>
    <t>0967-0637</t>
  </si>
  <si>
    <t>1879-0119</t>
  </si>
  <si>
    <t>DEEP-SEA RES PT I</t>
  </si>
  <si>
    <t>Deep-Sea Res. Part I-Oceanogr. Res. Pap.</t>
  </si>
  <si>
    <t>10.1016/j.dsr.2020.103327</t>
  </si>
  <si>
    <t>OD5PF</t>
  </si>
  <si>
    <t>WOS:000579905100002</t>
  </si>
  <si>
    <t>Li, F; Guo, YX; Zhang, Y; Zhu, TT; Zhang, SK</t>
  </si>
  <si>
    <t>Li Fei; Guo YunXi; Zhang Yu; Zhu TingTing; Zhang ShengKai</t>
  </si>
  <si>
    <t>Grounding line extraction in the Amery ice shelf, Antarctic using fusion of CryoSat-2 altimetry data and Landsat 8 optical data</t>
  </si>
  <si>
    <t>CHINESE JOURNAL OF GEOPHYSICS-CHINESE EDITION</t>
  </si>
  <si>
    <t>Chinese</t>
  </si>
  <si>
    <t>Landsat 8; CryoSat-2 altimetry; Slope analysis; Surface curvature; Feature least squares fusion</t>
  </si>
  <si>
    <t>MODIS</t>
  </si>
  <si>
    <t>In this work, fusion of CryoSat-2 altimetry data and Landsat 8 data is applied to grounding line extraction in the Amery ice shelf area, Antarctic. Firstly, based on the 3-order Hermit polynomial interpolation processing of Landsat 8 optical images, the slope analysis is carried out to obtain the revised feature points using surface curvature. For the Cryosat-2 data, grounding point is extracted by using the along track gradient analysis after slope and surface curvature calculation. Finally, the least squares based fusion method is utilized to obtain the fusion grounding line. The results show that the fusion grounding line can guarantee the accuracy compared with optical data results, and the altimetry data are not affected by the cloud that can ensure the integrity of the grounding line. Compared with the Mosaic of Antarctica (MOA) product, the average distance between the fusion data points and the MOA grounding line is 367 m, and the standard deviation is 601 m. Points less than 1 km away from all data points account for 93.19% in total, which indicates the good agreement with the MOA product. The fusion algorithm maintains the grounding line characteristics extracted by Landsat 8, and the visual performance of overall results are also improved. It is of great importance for subsequent research on the Antarctic mass balance, ice velocity calculation and so on.</t>
  </si>
  <si>
    <t>[Li Fei; Guo YunXi; Zhang Yu; Zhang ShengKai] Wuhan Univ, Chinese Antarctic Ctr Surveying &amp; Mapping, Wuhan 430079, Peoples R China; [Li Fei; Zhu TingTing] Wuhan Univ, State Key Lab Informat Engn Surveying Mapping &amp; R, Wuhan 430079, Peoples R China</t>
  </si>
  <si>
    <t>Wuhan University; Wuhan University</t>
  </si>
  <si>
    <t>Zhang, Y (corresponding author), Wuhan Univ, Chinese Antarctic Ctr Surveying &amp; Mapping, Wuhan 430079, Peoples R China.</t>
  </si>
  <si>
    <t>fli@whu.edu.cn; yuzhang_spl@whu.edu.cn</t>
  </si>
  <si>
    <t>SCIENCE PRESS</t>
  </si>
  <si>
    <t>BEIJING</t>
  </si>
  <si>
    <t>16 DONGHUANGCHENGGEN NORTH ST, BEIJING 100717, PEOPLES R CHINA</t>
  </si>
  <si>
    <t>0001-5733</t>
  </si>
  <si>
    <t>CHINESE J GEOPHYS-CH</t>
  </si>
  <si>
    <t>Chinese J. Geophys.-Chinese Ed.</t>
  </si>
  <si>
    <t>10.6038/cjg2020N0242</t>
  </si>
  <si>
    <t>OS1GX</t>
  </si>
  <si>
    <t>WOS:000589913700005</t>
  </si>
  <si>
    <t>Hamilton, VE; Haberle, CW; Mayerhöfer, TG</t>
  </si>
  <si>
    <t>Hamilton, Victoria E.; Haberle, Christopher W.; Mayerhoefer, Thomas G.</t>
  </si>
  <si>
    <t>Effects of small crystallite size on the thermal infrared (vibrational) spectra of minerals</t>
  </si>
  <si>
    <t>AMERICAN MINERALOGIST</t>
  </si>
  <si>
    <t>Spectroscopy; olivine; carbonate; crystallinity; metamorphism; meteorites; mineral synthesis; carbonaceous chondrites</t>
  </si>
  <si>
    <t>INTERSTELLAR SILICATE MINERALOGY; CARBONACEOUS CHONDRITES; EMISSION-SPECTROSCOPY; REFLECTANCE SPECTRA; IR-SPECTRA; MU-M; CM; OLIVINES; STEPS; CR</t>
  </si>
  <si>
    <t>The thermal infrared (TIR, or vibrational) emission spectra of a suite of synthetic Mg-Fe olivines exhibit notable differences from their natural igneous counterparts in terms of their band shapes, relative depths, and reduced shifts in some band positions with Mg-Fe solid solution. Comparable reflectance spectra acquired from olivine-dominated matrices and fusion crusts of some carbonaceous chondrite meteorites exhibit similar deviations. Here we show that these unusual spectral characteristics are consistent with crystallite sizes much smaller than the resolution limit of infrared light. We hypothesize that these small crystallites denote abbreviated crystal growth and also may be linked to the size of nucleation sites. Other silicates and non-silicates, such as carbonates, exhibit similar spectral behaviors. Because the spectra of mineral separates are commonly used in the modeling and analysis of comparable bulk rock, meteorite, and remote sensing data, understanding these spectral variations is important to correctly identifying the minerals and interpreting the origin and/or secondary processing histories of natural materials.</t>
  </si>
  <si>
    <t>[Hamilton, Victoria E.] Southwest Res Inst, Dept Space Studies, 1050 Walnut St,300, Boulder, CO 80302 USA; [Haberle, Christopher W.] Arizona State Univ, Sch Earth &amp; Space Explorat, Tempe, AZ 85287 USA; [Mayerhoefer, Thomas G.] Leibniz Inst Photon Technol IPHT, Albert Einstein Str 9, D-07745 Jena, Germany; [Mayerhoefer, Thomas G.] Friedrich Schiller Univ, Inst Phys Chem, Helmholtzweg 4, D-07743 Jena, Germany; [Mayerhoefer, Thomas G.] Friedrich Schiller Univ, Abbe Ctr Photon, Helmholtzweg 4, D-07743 Jena, Germany</t>
  </si>
  <si>
    <t>Southwest Research Institute; Arizona State University; Arizona State University-Tempe; Leibniz Institut fur Photonische Technologien; Friedrich Schiller University of Jena; Friedrich Schiller University of Jena</t>
  </si>
  <si>
    <t>Hamilton, VE (corresponding author), Southwest Res Inst, Dept Space Studies, 1050 Walnut St,300, Boulder, CO 80302 USA.</t>
  </si>
  <si>
    <t>hamilton@boulder.swri.edu</t>
  </si>
  <si>
    <t>Haberle, Christopher/0000-0003-1174-7313</t>
  </si>
  <si>
    <t>NSF; NASA</t>
  </si>
  <si>
    <t>NSF(National Science Foundation (NSF)); NASA(National Aeronautics &amp; Space Administration (NASA))</t>
  </si>
  <si>
    <t>U.S. Antarctic meteorite samples are recovered by the Antarctic Search for Meteorites (ANSMET) program that has been funded by NSF and NASA, and characterized and curated by the Department of Mineral Sciences of the Smithsonian Institution and Astromaterials Curation Office at NASA Johnson Space Center.</t>
  </si>
  <si>
    <t>MINERALOGICAL SOC AMER</t>
  </si>
  <si>
    <t>CHANTILLY</t>
  </si>
  <si>
    <t>3635 CONCORDE PKWY STE 500, CHANTILLY, VA 20151-1125 USA</t>
  </si>
  <si>
    <t>0003-004X</t>
  </si>
  <si>
    <t>1945-3027</t>
  </si>
  <si>
    <t>AM MINERAL</t>
  </si>
  <si>
    <t>Am. Miner.</t>
  </si>
  <si>
    <t>10.2138/am-2020-7602</t>
  </si>
  <si>
    <t>Geochemistry &amp; Geophysics; Mineralogy</t>
  </si>
  <si>
    <t>PC1JH</t>
  </si>
  <si>
    <t>WOS:000596764500016</t>
  </si>
  <si>
    <t>Lloyd, JC; Blades, ML; Counts, JW; Collins, AS; Amos, KJ; Wade, BP; Hall, JW; Hore, S; Ball, AL; Shahin, S; Drabsch, M</t>
  </si>
  <si>
    <t>Lloyd, Jarred C.; Blades, Morgan L.; Counts, John W.; Collins, Alan S.; Amos, Kathryn J.; Wade, Benjamin P.; Hall, James W.; Hore, Stephen; Ball, Ashleigh L.; Shahin, Sameh; Drabsch, Matthew</t>
  </si>
  <si>
    <t>Neoproterozoic geochronology and provenance of the Adelaide Superbasin</t>
  </si>
  <si>
    <t>PRECAMBRIAN RESEARCH</t>
  </si>
  <si>
    <t>Adelaide Superbasin; Adelaide Geosyncline; Adelaide fold belt; Detrital zircon; Adelaide Rift Complex; Neoproterozoic</t>
  </si>
  <si>
    <t>U-PB ZIRCON; LATE PRECAMBRIAN SHALES; NORTHERN GAWLER CRATON; EAST ANTARCTICA; SOUTH-AUSTRALIA; PACIFIC MARGIN; MISSING-LINK; HF-ISOTOPES; TECTONIC DEVELOPMENT; WILLYAMA SUPERGROUP</t>
  </si>
  <si>
    <t>The Adelaide Superbasin (Adelaide Rift Complex, Stuart Shelf, Torrens Hinge Zone, Coombalarnie Platform, and Cambrian Stansbury and Arrowie Basins) is a vast sedimentary basin in southern Australia that initiated due to the break-up of central Rodinia and, evolved into the Australian passive margin on edge of the Pacific Basin. Rocks within it contain evidence for the evolving earth system through the Neoproterozoic, including type sections of the Ediacaran fauna, Sturtian and Marinoan glaciations, and the GSSP for the base of the Ediacaran period. Much research over the last century has unravelled the lithostratigraphy and sedimentology of the basin. Despite this, the rocks are poorly dated, and their sedimentary provenance and link with tectonic geography is poorly known. This poor chronology hampers global and local efforts to gain a detailed understanding and chronological framework of the interplay between tectonics and momentous changes to the earth system during this time. This paper presents a comprehensive database of detrital zircon geochronology and review of geochronology for the Neoproterozoic of the Adelaide Superbasin, highlighting the stratigraphic, and spatial locations of available data. In the north of the basin, zircons were sourced locally in the initial stages of rifting, ca. 830 Ma-from the adjacent Gawler Craton and Curnamona Province. During the late Tonian, detritus was transported along graben from the north-west, from the Musgrave Orogen, as the rift basin developed during the opening of the nascent Pacific Ocean. Cryogenian icesheets punctuate the detrital record with an ephemeral return to more localised rift shoulder sources. In the Ediacaran, there is an increasing influence of younger (&lt; 740 Ma) detrital zircon from an enigmatic source that we interpret to be from southern (i.e. Antarctic) sources, with a corresponding shift in the late Mesoproterozoic age peaks, from ca. 1180 Ma to ca. 1090 Ma, and corresponding decrease in older, ca. 1600 Ma, detritus. These changes in sediment source reflect the changing tectonic geography and large-scale environmental influence of the Cryogenian glaciations as the basin evolved from a local rift, to a larger rift basin and finally to a continental margin, with sedimentary input becoming increasingly restricted over time.</t>
  </si>
  <si>
    <t>[Lloyd, Jarred C.; Blades, Morgan L.; Collins, Alan S.; Hall, James W.; Ball, Ashleigh L.; Shahin, Sameh; Drabsch, Matthew] Univ Adelaide, Tecton &amp; Earth Syst Grp, Mawson Ctr Geosci, Dept Earth Sci, Adelaide, SA 5005, Australia; [Lloyd, Jarred C.; Blades, Morgan L.; Collins, Alan S.; Hall, James W.; Ball, Ashleigh L.; Shahin, Sameh; Drabsch, Matthew] Univ Adelaide, MinEx CRC, Dept Earth Sci, Adelaide, SA 5005, Australia; [Counts, John W.] Univ Coll Dublin, Irish Ctr Res Appl Geosci iCRAG, OBrien Ctr Sci, Dublin 4, Ireland; [Lloyd, Jarred C.; Amos, Kathryn J.] Univ Adelaide, Australian Sch Petr &amp; Energy Resources, Adelaide, SA 5005, Australia; [Wade, Benjamin P.] Univ Adelaide, Adelaide Microscopy, Adelaide, SA 5005, Australia; [Hore, Stephen] Geol Survey South Australia, 101 Grenfell St, Adelaide, SA 5000, Australia</t>
  </si>
  <si>
    <t>University of Adelaide; University of Western Australia; University of Adelaide; University College Dublin; University of Adelaide; University of Adelaide</t>
  </si>
  <si>
    <t>Lloyd, JC; Collins, AS (corresponding author), Univ Adelaide, Tecton &amp; Earth Syst Grp, Mawson Ctr Geosci, Dept Earth Sci, Adelaide, SA 5005, Australia.;Lloyd, JC; Collins, AS (corresponding author), Univ Adelaide, MinEx CRC, Dept Earth Sci, Adelaide, SA 5005, Australia.;Lloyd, JC (corresponding author), Univ Adelaide, Australian Sch Petr &amp; Energy Resources, Adelaide, SA 5005, Australia.</t>
  </si>
  <si>
    <t>jarred.lloyd@adelaide.edu.au; alan.collins@adelaide.edu.au</t>
  </si>
  <si>
    <t>Lloyd, Jarred/AAU-9339-2020; Lloyd, Jarred Cain/AAQ-8568-2021; Collins, Alan/D-9781-2011</t>
  </si>
  <si>
    <t>Lloyd, Jarred/0000-0002-4429-873X; Lloyd, Jarred Cain/0000-0002-4429-873X; Blades, Morgan/0000-0002-4653-4476; Collins, Alan/0000-0002-3408-5474; Amos, Kathryn/0000-0003-0306-7588</t>
  </si>
  <si>
    <t>Geological Survey of South Australia; MinEx CRC, Australia</t>
  </si>
  <si>
    <t>This work was supported by the Geological Survey of South Australia and the MinEx CRC, Australia.</t>
  </si>
  <si>
    <t>0301-9268</t>
  </si>
  <si>
    <t>1872-7433</t>
  </si>
  <si>
    <t>PRECAMBRIAN RES</t>
  </si>
  <si>
    <t>Precambrian Res.</t>
  </si>
  <si>
    <t>10.1016/j.precamres.2020.105849</t>
  </si>
  <si>
    <t>OR4DS</t>
  </si>
  <si>
    <t>WOS:000589423600003</t>
  </si>
  <si>
    <t>Marquetto, L; Kaspari, S; Simoes, JC</t>
  </si>
  <si>
    <t>Marquetto, Luciano; Kaspari, Susan; Simoes, Jefferson Cardia</t>
  </si>
  <si>
    <t>Mass and Number Size Distributions of rBC in Snow and Firn Samples From Pine Island Glacier, West Antarctica</t>
  </si>
  <si>
    <t>EARTH AND SPACE SCIENCE</t>
  </si>
  <si>
    <t>rBC; SP2; size distribution; snow; West Antarctica</t>
  </si>
  <si>
    <t>BLACK CARBON DEPOSITION; ICE-CORE RECORD; PHYSICAL-PROPERTIES; DUST VARIABILITY; PARTICLES; CLIMATE; AEROSOL; THICKNESS; PLATEAU; PART</t>
  </si>
  <si>
    <t>An extended-range Single Particle Soot Photometer (SP2) coupled to a Marin-5 nebulizer was used to measure the refractory black carbon (rBC) mass and number size distributions in 1,004 samples from a West Antarctica snow/firn core. The SP2 was calibrated using Aquadag and a Centrifugal Particle Mass Analyzer for BC particles ranging from 0.5 to 800 fg. Our results indicate a significant contribution of rare, large particles of mass-equivalent diameter (D-BC) &gt; 500 nm to the total rBC mass (36%), while small particles (D-BC &lt; 100 nm) are abundant but contribute &lt;8% to total rBC mass. We observed a primary mass median diameter of 162 +/- 40 nm, smaller than reported for snow in other regions of the globe but similar to East Antarctica rBC size distributions. In addition, we observed other modes at 673, 1,040, and &gt;1,810 nm (uncontained mode). We compared two sets of samples from different seasons (wet vs. dry) and observed that dry season concentrations are 3.4 and 2 times that of the wet season in the ranges of 80 nm D-BC &lt; 500 nm (small particles) and 500 nm D-BC &lt; 2,000 nm (large particles), respectively, while number of particles in the dry season is 3.5 and 2 times that of the wet season for the same size ranges. Millimeter thick melt layers have been observed in some samples, although they did not change the observed median diameter. This study provides the first detailed rBC mass and number size distribution from West Antarctica. Plain Language Summary Black carbon (BC) is a particle produced by the incomplete combustion of biomass burning and fossil fuels and plays an important role in the climate system due to its strong light absorption properties. The size of BC particles in snow is important for determining the effects that BC has on the cryosphere and provides insight into the processes controlling BC emission history, transport, and deposition. Past studies indicate spatial differences of BC size distributions in snow, but these studies are limited in number, and more are needed to address this spatial variability. Here the size distribution is presented of BC particles from 1,004 samples from a Pine Island Glacier ice core, West Antarctica, in a region where there is no information of BC particle size in snow. BC in West Antarctica is smaller than other regions of the globe but large, rare particles are also present. These large BC particles are larger than what other studies have reported and could be a result of long-range transport from other continents and/or agglomeration from small particles during transport or deposition.</t>
  </si>
  <si>
    <t>[Marquetto, Luciano; Kaspari, Susan] Cent Washington Univ, Dept Geol Sci, Ellensburg, WA 98926 USA; [Marquetto, Luciano; Simoes, Jefferson Cardia] Univ Fed Rio Grande do Sul, Ctr Polar &amp; Climat, Porto Alegre, RS, Brazil; [Simoes, Jefferson Cardia] Univ Maine, Climate Change Inst, Orono, ME USA</t>
  </si>
  <si>
    <t>Central Washington University; Universidade Federal do Rio Grande do Sul; University of Maine System; University of Maine Orono</t>
  </si>
  <si>
    <t>Marquetto, L (corresponding author), Cent Washington Univ, Dept Geol Sci, Ellensburg, WA 98926 USA.;Marquetto, L (corresponding author), Univ Fed Rio Grande do Sul, Ctr Polar &amp; Climat, Porto Alegre, RS, Brazil.</t>
  </si>
  <si>
    <t>luciano.marquetto@gmail.com</t>
  </si>
  <si>
    <t>Simoes, Jefferson Cardia/D-7232-2013</t>
  </si>
  <si>
    <t>Simoes, Jefferson Cardia/0000-0001-5555-3401; Kaspari, Susan/0000-0001-5815-2873; Marquetto, Luciano/0000-0003-0943-3729</t>
  </si>
  <si>
    <t>Brazilian National Council for Scientific and Technological Development (CNPq) Split Fellowship Program [200386/2018-2]; CNPq [465680/2014-3, 442761/2018-0]; CAPES project INCT da Criosfera [88887.136384/2017-00]; PROANTAR project [88887.314450/2019-00]; Centro Polar e Climatico (CPC/UFRGS)</t>
  </si>
  <si>
    <t>Brazilian National Council for Scientific and Technological Development (CNPq) Split Fellowship Program(Conselho Nacional de Desenvolvimento Cientifico e Tecnologico (CNPQ)Fundacao de Apoio a Pesquisa do Distrito Federal (FAPDF)); CNPq(Conselho Nacional de Desenvolvimento Cientifico e Tecnologico (CNPQ)); CAPES project INCT da Criosfera(Coordenacao de Aperfeicoamento de Pessoal de Nivel Superior (CAPES)); PROANTAR project; Centro Polar e Climatico (CPC/UFRGS)</t>
  </si>
  <si>
    <t>This research is part of the Brazilian Antarctic Program (PROANTAR) and was financed with funds from the Brazilian National Council for Scientific and Technological Development (CNPq) Split Fellowship Program (no. 200386/2018-2), from the CNPq projects 465680/2014-3 and 442761/2018-0, CAPES project INCT da Criosfera 88887.136384/2017-00, and PROANTAR project 88887.314450/2019-00. We thank the Centro Polar e Climatico (CPC/UFRGS) and the Department of Geological Sciences (CWU) faculty and staff for supporting this work. We also thank authors of Khan et al. (2018), Kinase et al. (2019), Ohata et al. (2013), Schwarz et al. (2013), Sinha et al. (2018), and Mori et al. (2019) for data availability and Joshua Schwarz and the two anonymous referees for their expertise and helpful suggestions. We also thank Martin Gysel, Anja Eicher, and Theo Jenk for their comments on internal calibration of the SP2 for snow samples.</t>
  </si>
  <si>
    <t>AMER GEOPHYSICAL UNION</t>
  </si>
  <si>
    <t>2000 FLORIDA AVE NW, WASHINGTON, DC 20009 USA</t>
  </si>
  <si>
    <t>2333-5084</t>
  </si>
  <si>
    <t>EARTH SPACE SCI</t>
  </si>
  <si>
    <t>Earth Space Sci.</t>
  </si>
  <si>
    <t>e2020EA001198</t>
  </si>
  <si>
    <t>10.1029/2020EA001198</t>
  </si>
  <si>
    <t>Astronomy &amp; Astrophysics; Geosciences, Multidisciplinary</t>
  </si>
  <si>
    <t>Astronomy &amp; Astrophysics; Geology</t>
  </si>
  <si>
    <t>PA8NK</t>
  </si>
  <si>
    <t>WOS:000595886000018</t>
  </si>
  <si>
    <t>Bailey, DA; Holland, MM; DuVivier, AK; Hunke, EC; Turner, AK</t>
  </si>
  <si>
    <t>Bailey, David A.; Holland, Marika M.; DuVivier, Alice K.; Hunke, Elizabeth C.; Turner, Adrian K.</t>
  </si>
  <si>
    <t>Impact of a New Sea Ice Thermodynamic Formulation in the CESM2 Sea Ice Component</t>
  </si>
  <si>
    <t>JOURNAL OF ADVANCES IN MODELING EARTH SYSTEMS</t>
  </si>
  <si>
    <t>coupled Earth system model; sea ice modeling</t>
  </si>
  <si>
    <t>MODEL; GROWTH</t>
  </si>
  <si>
    <t>The sea ice component of the Community Earth System Model version 2 (CESM2) contains new mushy-layer physics that simulates prognostic salinity in the sea ice, with consequent modifications to sea ice thermodynamics and the treatment of melt ponds. The changes to the sea ice model and their influence on coupled model simulations are described here. Two simulations were performed to assess the changes in the vertical thermodynamics formulation with prognostic salinity compared to a constant salinity profile. Inclusion of the mushy layer thermodynamics of Turner et al. (2013, ) in a fully coupled Earth system model produces thicker and more extensive sea ice in the Arctic, with relatively unchanged sea ice in the Antarctic compared to simulations using a constant salinity profile. While this is consistent with the findings of uncoupled ice-ocean model studies, the role of the frazil and congelation growth is more important in fully coupled simulations. Melt pond drainage is also an important contribution to simulated ice thickness differences as also found in the uncoupled simulations of Turner and Hunke (2015; ). However, it is an interaction of the ponds and the snow fraction that impacts the surface albedo and hence the top melt. The changes in the thermodynamics and resulting ice state modify the ice-ocean-atmosphere fluxes with impacts on the atmosphere and ocean states, particularly temperature.</t>
  </si>
  <si>
    <t>[Bailey, David A.; Holland, Marika M.; DuVivier, Alice K.] Natl Ctr Atmospher Res, POB 3000, Boulder, CO 80307 USA; [Hunke, Elizabeth C.; Turner, Adrian K.] Los Alamos Natl Lab, Los Alamos, NM USA</t>
  </si>
  <si>
    <t>National Center Atmospheric Research (NCAR) - USA; United States Department of Energy (DOE); Los Alamos National Laboratory</t>
  </si>
  <si>
    <t>Bailey, DA (corresponding author), Natl Ctr Atmospher Res, POB 3000, Boulder, CO 80307 USA.</t>
  </si>
  <si>
    <t>dbailey@ucar.edu</t>
  </si>
  <si>
    <t>DuVivier, Alice K./JJC-1516-2023; Turner, Adrian K/A-9539-2009</t>
  </si>
  <si>
    <t>DuVivier, Alice K./0000-0001-6920-5926; Hunke, Elizabeth/0000-0002-7033-6031; Turner, Adrian/0000-0001-6796-4187; Bailey, David/0000-0002-6584-0663</t>
  </si>
  <si>
    <t>National Science Foundation (NSF); National Center for Atmospheric Research (NCAR) - NSF [1852977]; NSF [OPP 1724748]; Regional and Global Modeling and Analysis focus of the Earth System Model Dynamics program within the Department of Energy's Office of Biological and Environmental Research</t>
  </si>
  <si>
    <t>National Science Foundation (NSF)(National Science Foundation (NSF)National Research Foundation of Korea); National Center for Atmospheric Research (NCAR) - NSF; NSF(National Science Foundation (NSF)); Regional and Global Modeling and Analysis focus of the Earth System Model Dynamics program within the Department of Energy's Office of Biological and Environmental Research</t>
  </si>
  <si>
    <t>The CESM project is supported primarily by the National Science Foundation (NSF). This material is based upon work supported by the National Center for Atmospheric Research (NCAR), which is a major facility sponsored by the NSF under Cooperative Agreement No. 1852977. Computing and data storage resources, including the Cheyenne supercomputer (doi:10.5065/D6RX99HX), were provided by the Computational and Information Systems Laboratory (CISL) at NCAR. M. M. Holland acknowledges support from NSF OPP 1724748. E. C. H. is supported through the Regional and Global Modeling and Analysis focus of the Earth System Model Dynamics program within the Department of Energy's Office of Biological and Environmental Research. We would like to thank the editor, S. Griffies, for his work in the review process. We would also like to thank three anonymous reviewers for their challenging, yet constructive reviews.</t>
  </si>
  <si>
    <t>1942-2466</t>
  </si>
  <si>
    <t>J ADV MODEL EARTH SY</t>
  </si>
  <si>
    <t>J. Adv. Model. Earth Syst.</t>
  </si>
  <si>
    <t>e2020MS002154</t>
  </si>
  <si>
    <t>10.1029/2020MS002154</t>
  </si>
  <si>
    <t>PA8JG</t>
  </si>
  <si>
    <t>WOS:000595875100005</t>
  </si>
  <si>
    <t>Goldberg, DN; Smith, TA; Narayanan, SHK; Heimbach, P; Morlighem, M</t>
  </si>
  <si>
    <t>Goldberg, D. N.; Smith, T. A.; Narayanan, S. H. K.; Heimbach, P.; Morlighem, M.</t>
  </si>
  <si>
    <t>Bathymetric Influences on Antarctic Ice-Shelf Melt Rates</t>
  </si>
  <si>
    <t>JOURNAL OF GEOPHYSICAL RESEARCH-OCEANS</t>
  </si>
  <si>
    <t>Ocean model; Ice shelf; Adjoint; Bathymetry; ice‐ ocean interaction</t>
  </si>
  <si>
    <t>PINE ISLAND GLACIER; GENERAL-CIRCULATION MODEL; AMUNDSEN SEA EMBAYMENT; OCEAN CIRCULATION; WEST ANTARCTICA; OCEANOGRAPHIC CONTROLS; ADJOINT SENSITIVITIES; ICEBRIDGE GRAVITY; SHEET; BENEATH</t>
  </si>
  <si>
    <t>Ocean bathymetry exerts a strong control on ice sheet-ocean interactions within Antarctic ice-shelf cavities, where it can limit the access of warm, dense water at depth to the underside of floating ice shelves. However, ocean bathymetry is challenging to measure within or close to ice-shelf cavities. It remains unclear how uncertainty in existing bathymetry datasets affect simulated sub-ice-shelf melt rates. Here we infer linear sensitivities of ice-shelf melt rates to bathymetric shape with grid-scale detail by means of the adjoint of an ocean general circulation model. Both idealized and realistic-geometry experiments of sub-ice-shelf cavities in West Antarctica reveal that bathymetry has a strong impact on melt in localized regions such as topographic obstacles to flow. Moreover, response of melt to bathymetric perturbation is found to be non-monotonic, with deepening leading to either increased or decreased melt depending on location. Our computational approach provides a comprehensive way of identifying regions, where refined knowledge of bathymetry is most impactful, and also where bathymetric errors have relatively little effect on modeled ice sheet-ocean interactions.</t>
  </si>
  <si>
    <t>[Goldberg, D. N.] Univ Edinburgh, Sch Geosci, Edinburgh, Midlothian, Scotland; [Smith, T. A.; Heimbach, P.] Univ Texas Austin, Odell Inst Computat Engn &amp; Sci, Austin, TX 78712 USA; [Narayanan, S. H. K.] Argonne Natl Lab, Math &amp; Comp Sci Div, Lemont, IL USA; [Heimbach, P.] Univ Texas Austin, Jackson Sch Geosci, Austin, TX 78712 USA; [Heimbach, P.] Univ Texas Austin, Inst Geophys, Austin, TX USA; [Morlighem, M.] Univ Calif Irvine, Dept Earth Syst Sci, Irvine, CA USA</t>
  </si>
  <si>
    <t>University of Edinburgh; University of Texas System; University of Texas Austin; United States Department of Energy (DOE); Argonne National Laboratory; University of Texas System; University of Texas Austin; University of Texas System; University of Texas Austin; University of California System; University of California Irvine</t>
  </si>
  <si>
    <t>Goldberg, DN (corresponding author), Univ Edinburgh, Sch Geosci, Edinburgh, Midlothian, Scotland.</t>
  </si>
  <si>
    <t>dan.goldberg@ed.ac.uk</t>
  </si>
  <si>
    <t>Smith, Timothy Andrew/GXM-8631-2022; Smith, Timothy Andrew/ABG-1589-2020; Morlighem, Mathieu/O-9942-2014; Heimbach, Patrick/K-3530-2013</t>
  </si>
  <si>
    <t>Smith, Timothy Andrew/0000-0003-4463-6126; Smith, Timothy Andrew/0000-0003-4463-6126; Morlighem, Mathieu/0000-0001-5219-1310; Heimbach, Patrick/0000-0003-3925-6161; Narayanan, Sri Hari Krishna/0000-0003-0388-5943</t>
  </si>
  <si>
    <t>NERC [NE/T001607/1, NE/M003590/1] Funding Source: UKRI</t>
  </si>
  <si>
    <t>NERC(UK Research &amp; Innovation (UKRI)Natural Environment Research Council (NERC))</t>
  </si>
  <si>
    <t>2169-9275</t>
  </si>
  <si>
    <t>2169-9291</t>
  </si>
  <si>
    <t>J GEOPHYS RES-OCEANS</t>
  </si>
  <si>
    <t>J. Geophys. Res.-Oceans</t>
  </si>
  <si>
    <t>e2020JC016370</t>
  </si>
  <si>
    <t>10.1029/2020JC016370</t>
  </si>
  <si>
    <t>PA6DR</t>
  </si>
  <si>
    <t>WOS:000595724300005</t>
  </si>
  <si>
    <t>Gupta, M; Marshall, J; Song, H; Campin, JM; Meneghello, G</t>
  </si>
  <si>
    <t>Gupta, Mukund; Marshall, John; Song, Hajoon; Campin, Jean-Michel; Meneghello, Gianluca</t>
  </si>
  <si>
    <t>Sea-Ice Melt Driven by Ice-Ocean Stresses on the Mesoscale</t>
  </si>
  <si>
    <t>sea‐ ice; ocean; mesoscale; drag; Antarctica</t>
  </si>
  <si>
    <t>MIXED-LAYER; HEAT-FLUX; SURFACE TEMPERATURE; EDDIES; MODEL; WIND</t>
  </si>
  <si>
    <t>The seasonal ice zone around both the Arctic and the Antarctic coasts is typically characterized by warm and salty waters underlying a cold and fresh layer that insulates sea-ice floating at the surface from vertical heat fluxes. Here, we explore how a mesoscale eddy field rubbing against ice at the surface can, through Ekman-induced vertical motion, bring warm waters up to the surface and partially melt the ice. We dub this the Eddy-Ice-Pumping (EIP) mechanism. When sea-ice is relatively motionless, underlying mesoscale eddies experience a surface drag that generates Ekman upwelling in anticyclones and downwelling in cyclones. An eddy composite analysis of a Southern Ocean eddying channel model, capturing the interaction of the mesoscale with sea-ice, shows that within the compact ice zone, the mixed layer depth (MLD) is shallow in anticyclones (similar to 20 m) due to sea-ice melt and deep in cyclones (similar to 50-200m) due to brine rejection. EIP warms the core of anticyclones without significantly affecting the temperature of cyclones, producing a net upward vertical heat flux that reduces the mean sea-ice thickness by 10% and shoals the MLD by 60% over the course of winter and spring. In the following months, the sea-ice thickness recovers with an overshoot, due to strong negative feedbacks associated with atmospheric cooling and salt stratification. Consequently, the effect of EIP does not accumulate over the years, but modulates the seasonal cycle of ice within the compact ice zone.</t>
  </si>
  <si>
    <t>[Gupta, Mukund; Marshall, John; Campin, Jean-Michel; Meneghello, Gianluca] MIT, Dept Earth Atmosphere &amp; Planetary Sci, 77 Massachusetts Ave, Cambridge, MA 02139 USA; [Song, Hajoon] Yonsei Univ, Dept Atmospher Sci, Seoul, South Korea</t>
  </si>
  <si>
    <t>Massachusetts Institute of Technology (MIT); Yonsei University</t>
  </si>
  <si>
    <t>Gupta, M (corresponding author), MIT, Dept Earth Atmosphere &amp; Planetary Sci, 77 Massachusetts Ave, Cambridge, MA 02139 USA.</t>
  </si>
  <si>
    <t>guptam@mit.edu</t>
  </si>
  <si>
    <t>/0000-0003-0181-9504; Meneghello, Gianluca/0000-0002-0767-2497</t>
  </si>
  <si>
    <t>e2020JC016404</t>
  </si>
  <si>
    <t>10.1029/2020JC016404</t>
  </si>
  <si>
    <t>WOS:000595724300027</t>
  </si>
  <si>
    <t>Hayden, AM; Wilmes, SB; Gomez, N; Green, JAM; Pan, L; Han, H; Golledge, NR</t>
  </si>
  <si>
    <t>Hayden, A-M; Wilmes, S-B; Gomez, N.; Green, J. A. M.; Pan, L.; Han, H.; Golledge, N. R.</t>
  </si>
  <si>
    <t>Multi-Century Impacts of Ice Sheet Retreat on Sea Level and Ocean Tides in Hudson Bay</t>
  </si>
  <si>
    <t>JAMES BAY; RISE; MODEL; AGE; EARTH; ANTARCTICA; CANADA; FLOOD; SHELF</t>
  </si>
  <si>
    <t>Past and modern large-scale ice sheet loss results in geographically variable sea level changes. At present, in Hudson Bay, Canada, sea level is decreasing due to glacial isostatic adjustment, which represents a departure from the globally averaged sea level rise. However, there are large uncertainties in future sea level trends with further polar ice sheet retreat in the coming centuries. Sea level changes affect ocean tides considerably because tides are highly sensitive to changes in bathymetry. Here, we present multi-century sea level projections associated with a suite of past and future ice loss scenarios and consider the impact of these changes on ocean tides using an established tidal model. Modern tides in Hudson Bay are poorly resolved due to large uncertainties in bathymetry. To establish an initial condition for our simulations, we constrain bathymetry in the bay using tide observations. Due to gravitational, Earth rotational and deformational effects, Greenland ice loss will produce a small sea level fall in the bay, while Antarctic ice loss will produce a larger than average sea level rise. Our results show that the response of the Antarctic ice sheet to climate change strongly impacts the magnitude and sign of future sea level and tidal amplitude changes in the region, with the largest changes predicted in Hudson Strait and Foxe Basin. We emphasize that further constraints on bathymetry and accurate projections of sea level and tides in Hudson Bay are imperative for assessing the associated impacts on coastal communities and ecosystems.</t>
  </si>
  <si>
    <t>[Hayden, A-M; Gomez, N.; Pan, L.; Han, H.] McGill Univ, Dept Earth &amp; Planetary Sci, Montreal, PQ, Canada; [Hayden, A-M] Univ Waterloo, Dept Geog &amp; Environm Management, Waterloo, ON, Canada; [Wilmes, S-B; Green, J. A. M.] Bangor Univ, Sch Ocean Sci, Bangor, Gwynedd, Wales; [Golledge, N. R.] Victoria Univ Wellington, Antarctic Res Ctr, Wellington, New Zealand</t>
  </si>
  <si>
    <t>McGill University; University of Waterloo; Bangor University; Victoria University Wellington</t>
  </si>
  <si>
    <t>Hayden, AM (corresponding author), McGill Univ, Dept Earth &amp; Planetary Sci, Montreal, PQ, Canada.;Hayden, AM (corresponding author), Univ Waterloo, Dept Geog &amp; Environm Management, Waterloo, ON, Canada.</t>
  </si>
  <si>
    <t>anna-mireilla.hayden@mail.mcgill.ca</t>
  </si>
  <si>
    <t>Green, Mattias/0000-0001-5090-1040; Hayden, Anna-Mireilla/0000-0001-5931-458X; Golledge, Nicholas/0000-0001-7676-8970</t>
  </si>
  <si>
    <t>NERC [NE/S009566/1] Funding Source: UKRI</t>
  </si>
  <si>
    <t>e2019JC015104</t>
  </si>
  <si>
    <t>10.1029/2019JC015104</t>
  </si>
  <si>
    <t>Green Submitted, Green Published</t>
  </si>
  <si>
    <t>WOS:000595724300018</t>
  </si>
  <si>
    <t>Liniger, G; Strutton, PG; Lannuzel, D; Moreau, S</t>
  </si>
  <si>
    <t>Liniger, Guillaume; Strutton, Peter G.; Lannuzel, Delphine; Moreau, Sebastien</t>
  </si>
  <si>
    <t>Calving Event Led to Changes in Phytoplankton Bloom Phenology in the Mertz Polynya, Antarctica</t>
  </si>
  <si>
    <t>calving; phytoplankton; bloom phenology; polynyas</t>
  </si>
  <si>
    <t>MELTING GLACIERS FUELS; AMUNDSEN SEA POLYNYA; CRITICAL DEPTH; ADELIE LAND; ICE SHELF; INTERANNUAL VARIABILITY; SEASONAL CYCLE; SPRING BLOOM; TIME-SERIES; ROSS SEA</t>
  </si>
  <si>
    <t>Polynyas are subject to variability in winds and ocean circulation and are important sites of ecological productivity. In February 2010, the B09B iceberg collided with the Mertz Glacier Tongue (MGT), calving a 78 x 40-km giant iceberg which modified the icescape and primary productivity of the Mertz polynya. In this study, we use satellite ocean color and sea ice concentration to investigate the variability, trends, and drivers of phytoplankton blooms in the Mertz polynya since 1997. During the bloom, over 21 years, we found (i) a later ice retreat time, (ii) an increase in sea ice concentration, (iii) a decrease in open-water period, (iv) a later bloom start, and (v) a decrease in bloom duration. Our results suggest that major postcalving changes in the physical characteristics of the polynya, mainly its icescape, are the primary drivers of phytoplankton phenology. More specifically, the MGT calving event resulted in significant seasonal and regional changes, with higher eastern chl-a and mean summer chl-a postcalving. While satellite data are useful to study long-term variability in these inhospitable areas, they only focus on the ocean surface and are obscured by ice and clouds. Additional subsurface parameters from seal tags, gliders and moorings in the southernmost polar regions would strengthen our comprehension of phytoplankton and physical changes in ocean dynamics that may have far-reaching consequences, from global circulation to carbon export.</t>
  </si>
  <si>
    <t>[Liniger, Guillaume; Strutton, Peter G.; Lannuzel, Delphine] Univ Tasmania, Inst Marine &amp; Antarctic Studies, Hobart, Tas, Australia; [Liniger, Guillaume; Strutton, Peter G.] Univ Tasmania, Australian Res Council Ctr Excellence Climate Ext, Hobart, Tas, Australia; [Moreau, Sebastien] Norwegian Polar Res Inst, Tromso, Norway</t>
  </si>
  <si>
    <t>University of Tasmania; University of Tasmania; Norwegian Polar Institute</t>
  </si>
  <si>
    <t>Liniger, G (corresponding author), Univ Tasmania, Inst Marine &amp; Antarctic Studies, Hobart, Tas, Australia.;Liniger, G (corresponding author), Univ Tasmania, Australian Res Council Ctr Excellence Climate Ext, Hobart, Tas, Australia.</t>
  </si>
  <si>
    <t>guillaume.liniger@utas.edu.au</t>
  </si>
  <si>
    <t>Strutton, Peter/C-4466-2011; lannuzel, delphine/J-7937-2014</t>
  </si>
  <si>
    <t>Strutton, Peter/0000-0002-2395-9471; Moreau, Sebastien/0000-0001-9446-812X; lannuzel, delphine/0000-0001-6154-1837; Liniger, Guillaume/0000-0001-5380-5425</t>
  </si>
  <si>
    <t>e2020JC016387</t>
  </si>
  <si>
    <t>10.1029/2020JC016387</t>
  </si>
  <si>
    <t>WOS:000595724300016</t>
  </si>
  <si>
    <t>Raphael, MN; Handcock, MS; Holland, MM; Landrum, LL</t>
  </si>
  <si>
    <t>Raphael, Marilyn N.; Handcock, Mark S.; Holland, Marika M.; Landrum, Laura L.</t>
  </si>
  <si>
    <t>An Assessment of the Temporal Variability in the Annual Cycle of Daily Antarctic Sea Ice in the NCAR Community Earth System Model, Version 2: A Comparison of the Historical Runs With Observations</t>
  </si>
  <si>
    <t>Antarctic sea ice variability; observed and simulated sea ice comparisons; daily Antarctic sea ice; sea ice atmosphere interaction; climate system modeling; statistical estimation of sea ice variability</t>
  </si>
  <si>
    <t>HALF-YEARLY CYCLE; SEMIANNUAL OSCILLATION; EXTENT; CLIMATE; TRENDS; MODULATION; ADVANCE; RETREAT; DIPOLE; BIASES</t>
  </si>
  <si>
    <t>Understanding the variability of Antarctic sea ice is an ongoing challenge given the limitations of observed data. Coupled climate model simulations present the opportunity to examine this variability in Antarctic sea ice. Here, the daily sea ice extent simulated by the newly released National Center for Atmospheric Research (NCAR) Community Eart h System Model Version 2 (CESM2) for the historical period (1979-2014) is compared to the satellite-observed daily sea ice extent for the same period. The comparisons are made using a newly developed suite of statistical metrics that estimates the variability of the sea ice extent on timescales ranging from the long-term decadal to the short term, intraday scales. Assessed are the annual cycle, trend, day-to-day change, and the volatility, a new statistic that estimates the variability at the daily scale. Results show that the trend in observed daily sea ice is dominated by subdecadal variability with a weak positive linear trend superimposed. The CESM2 simulates comparable subdecadal variability but with a strong negative linear trend superimposed. The CESM2's annual cycle is similar in amplitude to the observed, key differences being the timing of ice advance and retreat. The sea ice begins its advance later, reaches its maximum later and begins retreat later in the CESM2. This is confirmed by the day-to-day change. Apparent in all of the sea ice regions, this behavior suggests the influence of the semiannual oscillation of the circumpolar trough. The volatility, which is associated with smaller scale dynamics such as storms, is smaller in the CESM2 than observed.</t>
  </si>
  <si>
    <t>[Raphael, Marilyn N.] Univ Calif Los Angeles, Dept Geog, Los Angeles, CA 90024 USA; [Handcock, Mark S.] Univ Calif Los Angeles, Dept Stat, Los Angeles, CA USA; [Holland, Marika M.; Landrum, Laura L.] Natl Ctr Atmospher Res, Boulder, CO 80307 USA</t>
  </si>
  <si>
    <t>University of California System; University of California Los Angeles; University of California System; University of California Los Angeles; National Center Atmospheric Research (NCAR) - USA</t>
  </si>
  <si>
    <t>Raphael, MN (corresponding author), Univ Calif Los Angeles, Dept Geog, Los Angeles, CA 90024 USA.</t>
  </si>
  <si>
    <t>raphael@geog.ucla.edu</t>
  </si>
  <si>
    <t>Handcock, Mark S./AAY-3318-2021</t>
  </si>
  <si>
    <t>Handcock, Mark S./0000-0002-9985-2785; Landrum, Laura/0000-0002-6003-1146</t>
  </si>
  <si>
    <t>e2020JC016459</t>
  </si>
  <si>
    <t>10.1029/2020JC016459</t>
  </si>
  <si>
    <t>Green Submitted, hybrid</t>
  </si>
  <si>
    <t>WOS:000595724300004</t>
  </si>
  <si>
    <t>Zhai, CZ; Lu, G; Yao, YB; Wang, WB; Zhang, SR; Liu, J; Peng, WJ; Kong, J; Chen, J</t>
  </si>
  <si>
    <t>Zhai, Changzhi; Lu, Gang; Yao, Yibin; Wang, Wenbin; Zhang, Shunrong; Liu, Jing; Peng, Wenjie; Kong, Jian; Chen, Jun</t>
  </si>
  <si>
    <t>3-D Tomographic Reconstruction of SED Plume During 17 March 2013 Storm</t>
  </si>
  <si>
    <t>JOURNAL OF GEOPHYSICAL RESEARCH-SPACE PHYSICS</t>
  </si>
  <si>
    <t>GPS; 3DCIT; SED; geomagnetic storm</t>
  </si>
  <si>
    <t>ENHANCED DENSITY; TIME IONOSPHERE; LATITUDE; MODEL; DISTURBANCES</t>
  </si>
  <si>
    <t>The three-dimensional computerized ionospheric tomography (3DCIT) technique is used to reconstruct the spatial distribution of storm-enhanced density (SED) based on the global positioning system total electron content measurements over the North American area during the 17 March 2013 storm. The reconstruction results are carefully validated with observations from three ionosonde stations, the constellation observing system for meteorology, ionosphere, and climate (COSMIC) radio occultations, and the Millstone Hill incoherent scatter radar. The electron density profiles from the 3DCIT reconstruction show a good agreement with the ionosonde and COSMIC electron density profiles. The 3DCIT-derived electron density difference between the storm day of 17 March and the quiet day of 16 March also captures the similar SED plume signature that was observed by the Millstone Hill incoherent scatter radar. The 3DCIT reconstruction allows us for the first time to unveil the 3-D configuration of the SED plume and its spatiotemporal evolution. It was found that the SED plume first appeared around 400 km and then expanded downward to similar to 300 km as well as upward to similar to 500 km over the course of a 3-hr period from 19 to 22 UT on 17 March. Our study also showed that the density enhancement within the SED plume occurred mostly above the storm time F layer peak height.</t>
  </si>
  <si>
    <t>[Zhai, Changzhi; Yao, Yibin; Peng, Wenjie; Chen, Jun] Wuhan Univ, Sch Geodesy &amp; Geomat, Wuhan, Peoples R China; [Lu, Gang; Wang, Wenbin] Natl Ctr Atmospher Res, High Altitude Observ, Pob 3000, Boulder, CO 80307 USA; [Zhang, Shunrong] MIT, Haystack Observ, Westford, MA 01886 USA; [Liu, Jing] Shandong Univ, Inst Space Sci, Sch Space Sci &amp; Phys, Shandong Key Lab Opt Astron &amp; Solar Terr Environm, Weihai, Peoples R China; [Kong, Jian] Wuhan Univ, Chinese Antarctic Ctr Surveying &amp; Mapping, Wuhan, Peoples R China</t>
  </si>
  <si>
    <t>Wuhan University; National Center Atmospheric Research (NCAR) - USA; Massachusetts Institute of Technology (MIT); Shandong University; Wuhan University</t>
  </si>
  <si>
    <t>Yao, YB (corresponding author), Wuhan Univ, Sch Geodesy &amp; Geomat, Wuhan, Peoples R China.</t>
  </si>
  <si>
    <t>ybyao@whu.edu.cn</t>
  </si>
  <si>
    <t>Liu, Jing/AAD-7724-2021; Zhai, Changzhi/JQW-2878-2023; Zhang, Shun-Rong/G-7593-2015; Wang, Wenbin/G-2596-2013; Yao, Yibin/B-1395-2013</t>
  </si>
  <si>
    <t>Liu, Jing/0000-0002-6584-0647; Zhang, Shun-Rong/0000-0002-1946-3166; zhai, changzhi/0000-0003-0183-2063; Wang, Wenbin/0000-0002-6287-4542; Yao, Yibin/0000-0002-7723-4601</t>
  </si>
  <si>
    <t>National Science Foundation; National Natural Science Foundation Innovation Research Group Project [41721003]; National Natural Science Foundation of China [41874033]; AFOSR Multidisciplinary Research Program of the University Research Initiative (MURI) [FA9559-16-1-0364]; Strategic Priority Research Program of Chinese Academy of Sciences [XDB 41000000]; U.S. National Science Foundation (NSF) [AGS-1762141]</t>
  </si>
  <si>
    <t>National Science Foundation(National Science Foundation (NSF)); National Natural Science Foundation Innovation Research Group Project; National Natural Science Foundation of China(National Natural Science Foundation of China (NSFC)); AFOSR Multidisciplinary Research Program of the University Research Initiative (MURI); Strategic Priority Research Program of Chinese Academy of Sciences(Chinese Academy of Sciences); U.S. National Science Foundation (NSF)(National Science Foundation (NSF))</t>
  </si>
  <si>
    <t>The National Center for Atmospheric Research is sponsored by the National Science Foundation. Yibin Yao acknowledges the support by the National Natural Science Foundation Innovation Research Group Project under grant 41721003 and by National Natural Science Foundation of China under grant 41874033. Shunrong Zhang acknowledges the AFOSR Multidisciplinary Research Program of the University Research Initiative (MURI) Project FA9559-16-1-0364. Jing Liu acknowledges the support by the Strategic Priority Research Program of Chinese Academy of Sciences, under grant XDB 41000000. We acknowledge the use of the raw GPS data provided by the Continuously Operating Reference Station (CORS) (), Scripps Orbit and Permanent Array Center (SOPAC) (), and Canadian High Arctic Ionospheric Network (CHAIN) (). GPS TEC data products and access through the Madrigal distributed data system are provided to the community by the Massachusetts Institute of Technology (MIT) under support from the U.S. National Science Foundation (NSF) Grant AGS-1762141, which also supports ISR observations and analysis at the MIT Haystack Observatory. The authors would like to thank Global Ionospheric Radio Observatory (GIRO) for providing the ionosonde data. We acknowledge Telecommunications/ICT for Development (T/ICT4D) Laboratory of the Abdus Salam International Centre for Theoretical Physics, Trieste, Italy for providing NeQuick2 model.</t>
  </si>
  <si>
    <t>2169-9380</t>
  </si>
  <si>
    <t>2169-9402</t>
  </si>
  <si>
    <t>J GEOPHYS RES-SPACE</t>
  </si>
  <si>
    <t>J. Geophys. Res-Space Phys.</t>
  </si>
  <si>
    <t>e2020JA028257</t>
  </si>
  <si>
    <t>10.1029/2020JA028257</t>
  </si>
  <si>
    <t>Astronomy &amp; Astrophysics</t>
  </si>
  <si>
    <t>PA8DG</t>
  </si>
  <si>
    <t>WOS:000595859400012</t>
  </si>
  <si>
    <t>Modestou, SE; Leutert, TJ; Fernandez, A; Lear, CH; Meckler, AN</t>
  </si>
  <si>
    <t>Modestou, S. E.; Leutert, T. J.; Fernandez, A.; Lear, C. H.; Meckler, A. N.</t>
  </si>
  <si>
    <t>Warm Middle Miocene Indian Ocean Bottom Water Temperatures: Comparison of Clumped Isotope and Mg/Ca-Based Estimates</t>
  </si>
  <si>
    <t>PALEOCEANOGRAPHY AND PALEOCLIMATOLOGY</t>
  </si>
  <si>
    <t>ANTARCTIC ICE-SHEET; SEAWATER CARBONATE CONCENTRATION; SEA-SURFACE TEMPERATURE; MASS-SPECTROMETRY; PLANKTIC FORAMINIFERA; ATMOSPHERIC CO2; LONG-TERM; ROSS SEA; CLIMATE; EVOLUTION</t>
  </si>
  <si>
    <t>The middle Miocene is an important analogue for potential future warm climates. However, few independent deep ocean temperature records exist, though these are important for climate model validation and estimates of changes in ice volume. Existing records, all based on the foraminiferal Mg/Ca proxy, suggest that bottom water temperatures were 5-8 degrees C warmer than present. In order to improve confidence in these bottom water temperature reconstructions, we generated a new record using carbonate clumped isotopes (Delta(47)) and compared our results with Mg/Ca-based estimates for the Indian Ocean at ODP Site 761. Our results indicate temperatures of 11.0 +/- 1.7 degrees C during the middle Miocene Climatic Optimum (MCO, 14.7-17 Ma) and 8.1 +/- 1.9 degrees C after the middle Miocene Climate Transition (MCT, 13.0-14.7 Ma), values 6 to 9 degrees C warmer than present. Our record also indicates cooling across the MCT of 2.9 +/- 2.5 degrees C (uncertainties 95% confidence level). The Mg/Ca record derived from the same samples indicates temperatures well within uncertainty of Delta(47). As the two proxies are affected by different non-thermal biases, the good agreement provides confidence in these reconstructed temperatures. Our Delta(47) temperature record implies a similar to 0.6 parts per thousand seawater delta O-18 change over the MCT, in good agreement with previously published values from other sites. Our data furthermore confirm overall high seawater delta O-18 values across the middle Miocene, at face value suggesting ice volumes exceeding present-day despite the warm bottom water temperatures. This finding suggests previously underappreciated additional influences on seawater delta O-18 and/or a decoupling of ice volume and ocean temperature. Plain Language Summary In the context of understanding global warming, the middle Miocene (approximately 12 to 18 million years ago) is an important time in Earth's geological history because atmospheric carbon dioxide levels in parts of this time period were comparable to those predicted for the near future. An accurate understanding of the temperature of deep ocean water in the past is an important constraint for climate studies because that information is needed in order to understand important processes such as ocean heat transport and sea level changes. In this study, we compared the only two temperature proxies available for ancient bottom water, the Mg/Ca and carbonate clumped isotope paleothermometers, to help understand their accuracy in estimating temperatures from the middle Miocene period. We found that the two proxies agree well at our study site (Ocean Drilling Program Site 761 in the Eastern Indian Ocean) despite unresolved issues with both proxies, suggesting that the warm temperatures reconstructed are realistic (approximately 11 degrees C between 15 and 17 Ma, and about 8 degrees C between 11.5 and 13 Ma, compared to approximately 2 degrees C today).</t>
  </si>
  <si>
    <t>[Modestou, S. E.; Leutert, T. J.; Fernandez, A.; Meckler, A. N.] Univ Bergen, Dept Earth Sci, Bergen, Norway; [Modestou, S. E.; Leutert, T. J.; Fernandez, A.; Meckler, A. N.] Bjerknes Ctr Climate Res, Bergen, Norway; [Lear, C. H.] Cardiff Univ, Sch Earth &amp; Ocean Sci, Cardiff, Wales</t>
  </si>
  <si>
    <t>University of Bergen; Bjerknes Centre for Climate Research; Cardiff University</t>
  </si>
  <si>
    <t>Modestou, SE (corresponding author), Univ Bergen, Dept Earth Sci, Bergen, Norway.;Modestou, SE (corresponding author), Bjerknes Ctr Climate Res, Bergen, Norway.</t>
  </si>
  <si>
    <t>sevasti.modestou@uib.no</t>
  </si>
  <si>
    <t>Fernandez, Alvaro/AAG-8298-2019; Lear, Caroline H/D-2582-2009</t>
  </si>
  <si>
    <t>Fernandez, Alvaro/0000-0003-4765-707X; Lear, Caroline/0000-0002-7533-4430; Meckler, Anna Nele/0000-0002-7225-8276; Leutert, Thomas/0000-0002-1714-0080; Modestou, Sevasti/0000-0002-9820-5551</t>
  </si>
  <si>
    <t>Trond Mohn Foundation; European Research Council (ERC) under the European Union's Horizon 2020 research and innovation programme [638467]; Natural Environment Research Council (NERC) [NE/P019102/1]; NERC [NE/P019102/1] Funding Source: UKRI; European Research Council (ERC) [638467] Funding Source: European Research Council (ERC)</t>
  </si>
  <si>
    <t>Trond Mohn Foundation; European Research Council (ERC) under the European Union's Horizon 2020 research and innovation programme(European Research Council (ERC)); Natural Environment Research Council (NERC)(UK Research &amp; Innovation (UKRI)Natural Environment Research Council (NERC)); NERC(UK Research &amp; Innovation (UKRI)Natural Environment Research Council (NERC)); European Research Council (ERC)(European Research Council (ERC)Spanish Government)</t>
  </si>
  <si>
    <t>The authors thank Laura Rodriguez-Sanz for providing the Matlab code used to perform the Gaussian Window Filter smoothing and Eirik Galaasen for thoughtful discussions which improved this manuscript. This manuscript was greatly improved by two anonymous reviews and an associate editor, as well as the editorial handling of Matthew Huber. This work was funded by the Trond Mohn Foundation and the European Research Council (ERC) under the European Union's Horizon 2020 research and innovation programme (grant agreement no. 638467; both to A. N. M.) as well as Natural Environment Research Council (NERC) grant NE/P019102/1 (to C. H. L.).</t>
  </si>
  <si>
    <t>2572-4517</t>
  </si>
  <si>
    <t>2572-4525</t>
  </si>
  <si>
    <t>PALEOCEANOGR PALEOCL</t>
  </si>
  <si>
    <t>Paleoceanogr. Paleoclimatology</t>
  </si>
  <si>
    <t>e2020PA003927</t>
  </si>
  <si>
    <t>10.1029/2020PA003927</t>
  </si>
  <si>
    <t>Geosciences, Multidisciplinary; Oceanography; Paleontology</t>
  </si>
  <si>
    <t>Geology; Oceanography; Paleontology</t>
  </si>
  <si>
    <t>PA9CU</t>
  </si>
  <si>
    <t>hybrid, Green Published, Green Accepted</t>
  </si>
  <si>
    <t>WOS:000595926100008</t>
  </si>
  <si>
    <t>Stap, LB; Knorr, G; Lohmann, G</t>
  </si>
  <si>
    <t>Stap, L. B.; Knorr, G.; Lohmann, G.</t>
  </si>
  <si>
    <t>Anti-Phased Miocene Ice Volume and CO2 Changes by Transient Antarctic Ice Sheet Variability</t>
  </si>
  <si>
    <t>Miocene; Antarctica; ice sheet; sea level; carbon dioxide</t>
  </si>
  <si>
    <t>ATMOSPHERIC CARBON-DIOXIDE; OFFSHORE WILKES LAND; GLACIAL CYCLES; CLIMATE; EVOLUTION; MODEL; SENSITIVITY; PALEOCEANOGRAPHY; INSIGHTS; SURFACE</t>
  </si>
  <si>
    <t>Geological evidence indicates large continental-scale Antarctic ice volume variations during the early and mid-Miocene. On million-year timescales, these variations can largely be explained by equilibrium Antarctic ice sheet (AIS) simulations. In contrast, on shorter orbital timescales, the AIS needs not be in equilibrium with the forcing and ice volume variations may be substantially different. Here, we introduce a conceptual model, based on ice dynamical model results, to investigate the difference between transient variability and equilibrium differences of the Miocene AIS. In our model, an ice sheet will grow (shrink) by a specific rate when it is smaller (larger) than its equilibrium size. We show that phases of concurrent ice volume increase and rising CO2 levels are possible, even though the equilibrium ice volume decreases monotonically with CO2. When the AIS volume is out of equilibrium with the forcing climate, the ice sheet can still be adapting to a relatively large equilibrium size, although CO2 is rising after a phase of decrease. A delayed response of Antarctic ice volume to (covarying) solar insolation and CO2 concentrations can cause discrepancies between Miocene solar insolation and benthic delta O-18 variability. Increasing forcing frequency leads to a larger disequilibrium and consequently larger CO2-ice volume phase differences. Furthermore, an amplified forcing amplitude causes larger amplitude ice volume variability, because the growth and decay rates depend on the forcing. It also leads to a reduced average ice volume, resulting from the growth rates generally being smaller than the decay rates.</t>
  </si>
  <si>
    <t>[Stap, L. B.; Knorr, G.; Lohmann, G.] Alfred Wegener Inst, Helmholtz Zentrum Polarund &amp; Meeresforsch, Bremerhaven, Germany</t>
  </si>
  <si>
    <t>Helmholtz Association; Alfred Wegener Institute, Helmholtz Centre for Polar &amp; Marine Research</t>
  </si>
  <si>
    <t>Stap, LB (corresponding author), Alfred Wegener Inst, Helmholtz Zentrum Polarund &amp; Meeresforsch, Bremerhaven, Germany.</t>
  </si>
  <si>
    <t>lennert.stap@awi.de</t>
  </si>
  <si>
    <t>; Lohmann, Gerrit/M-7453-2016</t>
  </si>
  <si>
    <t>Stap, Lennert/0000-0002-2108-3533; Knorr, Gregor/0000-0002-8317-5046; Lohmann, Gerrit/0000-0003-2089-733X</t>
  </si>
  <si>
    <t>PACES-II; Helmholtz Research Programme of the Alfred Wegener Institute; Projekt DEAL</t>
  </si>
  <si>
    <t>This paper is institutionally funded by PACES-II, the Helmholtz Research Programme of the Alfred Wegener Institute. We thank three anonymous referees for their helpful comments. Open access funding enabled and organized by Projekt DEAL.</t>
  </si>
  <si>
    <t>e2020PA003971</t>
  </si>
  <si>
    <t>10.1029/2020PA003971</t>
  </si>
  <si>
    <t>Green Published, hybrid</t>
  </si>
  <si>
    <t>WOS:000595926100003</t>
  </si>
  <si>
    <t>Smith, AW; Rae, IJ; Forsyth, C; Oliveira, DM; Freeman, MP; Jackson, DR</t>
  </si>
  <si>
    <t>Smith, A. W.; Rae, I. J.; Forsyth, C.; Oliveira, D. M.; Freeman, M. P.; Jackson, D. R.</t>
  </si>
  <si>
    <t>Probabilistic Forecasts of Storm Sudden Commencements From Interplanetary Shocks Using Machine Learning</t>
  </si>
  <si>
    <t>SPACE WEATHER-THE INTERNATIONAL JOURNAL OF RESEARCH AND APPLICATIONS</t>
  </si>
  <si>
    <t>forecast; interplanetary shock; machine leaning; space weather; Sudden Commencement</t>
  </si>
  <si>
    <t>GEOMAGNETICALLY INDUCED CURRENTS; IMPACT ANGLE CONTROL; SOLAR-WIND; MAGNETIC STORMS; INTERACTION REGIONS; NEURAL-NETWORK; DST INDEX; PARAMETERS; PREDICTION; GEOEFFECTIVENESS</t>
  </si>
  <si>
    <t>In this study we investigate the ability of several different machine learning models to provide probabilistic predictions as to whether interplanetary shocks observed upstream of the Earth at L1 will lead to immediate (Sudden Commencements, SCs) or longer lasting magnetospheric activity (Storm Sudden Commencements, SSCs). Four models are tested including linear (Logistic Regression), nonlinear (Naive Bayes and Gaussian Process), and ensemble (Random Forest) models and are shown to provide skillful and reliable forecasts of SCs with Brier Skill Scores (BSSs) of similar to 0.3 and ROC scores &gt;0.8. The most powerful predictive parameter is found to be the range in the interplanetary magnetic field. The models also produce skillful forecasts of SSCs, though with less reliability than was found for SCs. The BSSs and ROC scores returned are similar to 0.21 and 0.82, respectively. The most important parameter for these predictions was found to be the minimum observed B-Z. The simple parameterization of the shock was tested by including additional features related to magnetospheric indices and their changes during shock impact, resulting in moderate increases in reliability. Several parameters, such as velocity and density, may be able to be more accurately predicted at a longer lead time, for example, from heliospheric imagery. When the input was limited to the velocity and density the models were found to perform well at forecasting SSCs, though with lower reliability than previously (BSSs similar to 0.16, ROC Scores similar to 0.8), Finally, the models were tested with hypothetical extreme data beyond current observations, showing dramatically different extrapolations.</t>
  </si>
  <si>
    <t>[Smith, A. W.; Rae, I. J.; Forsyth, C.] UCL, Mullard Space Sci Lab, Dorking, Surrey, England; [Rae, I. J.] Northumbria Univ, Dept Math Phys &amp; Elect Engn, Newcastle Upon Tyne, Tyne &amp; Wear, England; [Oliveira, D. M.] Univ Maryland, Goddard Planetary Heliophys Inst, Baltimore, MD 21201 USA; [Oliveira, D. M.] NASA, Goddard Space Flight Ctr, Greenbelt, MD USA; [Freeman, M. P.] British Antarctic Survey, Cambridge, England; [Jackson, D. R.] Met Off, Exeter, Devon, England</t>
  </si>
  <si>
    <t>University of London; University College London; Northumbria University; University System of Maryland; University of Maryland Baltimore; National Aeronautics &amp; Space Administration (NASA); NASA Goddard Space Flight Center; UK Research &amp; Innovation (UKRI); Natural Environment Research Council (NERC); NERC British Antarctic Survey; Met Office - UK</t>
  </si>
  <si>
    <t>Smith, AW (corresponding author), UCL, Mullard Space Sci Lab, Dorking, Surrey, England.</t>
  </si>
  <si>
    <t>andy.w.smith@ucl.ac.uk</t>
  </si>
  <si>
    <t>Rae, Jonathan/D-8132-2013; Oliveira, Denny M/B-9818-2015; Smith, Andy/AAT-7849-2020; Forsyth, Colin/E-4159-2010; Freeman, Mervyn/E-5687-2019</t>
  </si>
  <si>
    <t>Rae, Jonathan/0000-0002-2637-4786; Oliveira, Denny M/0000-0003-2078-7229; Smith, Andy/0000-0001-7321-4331; Forsyth, Colin/0000-0002-0026-8395; Jackson, David/0000-0001-6387-6876; Freeman, Mervyn/0000-0002-8653-8279</t>
  </si>
  <si>
    <t>STFC [ST/S000240/1]; NERC [NE/P017150/1, NE/V002724/1]; NERC Independent Research Fellowship [NE/N014480/1]; STFC Consolidated Grant [ST/S000240/1]; NASA [HISFM18-HIF]; NERC [bas0100031, NE/N014480/1, NE/P016693/1, NE/P017150/1] Funding Source: UKRI; SPF [NE/V002716/1, NE/V002724/1] Funding Source: UKRI</t>
  </si>
  <si>
    <t>STFC(UK Research &amp; Innovation (UKRI)Science &amp; Technology Facilities Council (STFC)); NERC(UK Research &amp; Innovation (UKRI)Natural Environment Research Council (NERC)); NERC Independent Research Fellowship(UK Research &amp; Innovation (UKRI)Natural Environment Research Council (NERC)); STFC Consolidated Grant(UK Research &amp; Innovation (UKRI)Science &amp; Technology Facilities Council (STFC)); NASA(National Aeronautics &amp; Space Administration (NASA)); NERC(UK Research &amp; Innovation (UKRI)Natural Environment Research Council (NERC)); SPF</t>
  </si>
  <si>
    <t>We acknowledge and thank the Wind and ACE teams for the solar wind data and NASA GSFC's Space Physics Data Facility's CDAWeb service for data availability (https://cdaweb.gsfc.nasa.gov/index.html/). The results presented in the paper also rely on the SC list made available by the International Service on Rapid Magnetic Variations (https://www.obsebre.es/en/rapid) and published by the Observatorio de l'Ebre in association with the International Association of Geomagnetism and Aeronomy (IAGA) and the International Service of Geomagnetic Indices (ISGI). We thank the involved national institutes, the INTERMAGNET network and the ISGI. The authors would like to thank A. A. Samsonov for helpful discussions. This work has also used the interplanetary shock catalog compiled by Oliveira, Arel, et al. (2018), including those intervals identifiedWang et al. (2010), and Dr. J. C. Kasper for theWind (https://www.cfa.harvard.edu/shocks/wi_data/) and ACE data (https://www.cfa.harvard.edu/shocks/ac_master_data/), and also by the ACE team (https://wwwssg.sr.unh.edu/mag/ace/ACElists/obs_list.html#shocks). It may be found in the supporting information of Oliveira, Arel, et al. (2018). A. W. S. and I. J. R. were supported by STFC Consolidated Grant ST/S000240/1 and NERC grants NE/P017150/1 and NE/V002724/1. C. F. was supported by the NERC Independent Research Fellowship NE/N014480/1 and STFC Consolidated Grant ST/S000240/1. D. M. O. was supported by NASA through grant HISFM18-HIF (Heliophysics Innovation Fund). The analysis in this paper was performed using python, including the pandas (McKinney, 2010), numpy (van derWalt et al., 2011), scikit-learn (Pedregosa et al., 2011), scipy (Virtanen et al., 2020) and matplotlib (Hunter, 2007) libraries. Detailed documentation for the models can be found at https://scikitlearn.org/, while the specific implementations of the models used in this work are: sklearn.linear_model. LogisticRegression, sklearn.naive_bayes.GaussianNB, sklearn.gaussian_process.GaussianProcessClassifier, sklearn.ensemble. RandomForestClassifier.</t>
  </si>
  <si>
    <t>1542-7390</t>
  </si>
  <si>
    <t>SPACE WEATHER</t>
  </si>
  <si>
    <t>Space Weather</t>
  </si>
  <si>
    <t>e2020SW002603</t>
  </si>
  <si>
    <t>10.1029/2020SW002603</t>
  </si>
  <si>
    <t>Astronomy &amp; Astrophysics; Geochemistry &amp; Geophysics; Meteorology &amp; Atmospheric Sciences</t>
  </si>
  <si>
    <t>PA8DO</t>
  </si>
  <si>
    <t>Green Accepted, hybrid, Green Published</t>
  </si>
  <si>
    <t>WOS:000595860300003</t>
  </si>
  <si>
    <t>Reilly, BT; McCormick, ML; Brachfeld, SA; Haley, BA</t>
  </si>
  <si>
    <t>Reilly, Brendan T.; McCormick, Michael L.; Brachfeld, Stefanie A.; Haley, Brian A.</t>
  </si>
  <si>
    <t>Authigenic Ferrimagnetic Iron Sulfide Preservation Due to Nonsteady State Diagenesis: A Perspective From Perseverance Drift, Northwestern Weddell Sea</t>
  </si>
  <si>
    <t>GEOCHEMISTRY GEOPHYSICS GEOSYSTEMS</t>
  </si>
  <si>
    <t>Environmental Magnetism; Diagenesis; Sulfate Methane Transition; Marine Sediments; Greigite; Pyrrhotite</t>
  </si>
  <si>
    <t>MAGNETIC MINERAL DIAGENESIS; HIGH-TEMPERATURE STABILITY; ANTARCTIC PENINSULA; MARINE-SEDIMENTS; WIDESPREAD OCCURRENCE; REDUCTION DIAGENESIS; ANAEROBIC OXIDATION; DIATOM ASSEMBLAGES; PELAGIC SEDIMENTS; GRAIN-SIZE</t>
  </si>
  <si>
    <t>We document magnetic mineral diagenesis with high-resolution magnetic susceptibility, hysteresis, isothermal remanent magnetization, and other rock magnetic measurements through a shallow sulfate-methane transition (SMT) at Perseverance Drift-a high-accumulation rate Holocene biosiliceous Antarctic marine sediment deposit. The structure of the SMT is defined with porewater measurements from the same core, allowing direct comparison. Dissolution of the detrital (titano)magnetite assemblage, with preferential dissolution of stochiometric magnetite, occurs in the upper SMT. Higher coercivity magnetic minerals dissolve more slowly, continuing to dissolve through the entire SMT and could be a source of ferric iron for microbial respiration following exhaustion of porewater sulfate, as suggested by accumulation of porewater ferrous iron below the SMT. Superparamagnetic ferrimagnetic mineral enrichment/depletion occurs in three phases through the SMT and is coupled tightly to the availability of dissolved ferrous iron relative to dissolved sulfide. High concentrations of authigenic remanence-bearing iron sulfides, including greigite and hexagonal 3C pyrrhotite, which can be detected using remanence parameters but not in-field concentration dependent parameters, accumulate in a transient horizon at the base of the SMT during this early diagenesis, where sulfide is present but limited relative to dissolved ferrous iron. Formation of this remanence-bearing iron sulfide horizon is likely facilitated by continued iron reduction through the SMT. Nonsteady state perturbations that shift the porewater profile, such as changes in carbon flux or sedimentation rate, can lead to preservation of these transient horizons, much like well documented preservation of manganese oxide layers in marine sediments following similar shifts to porewater profiles.</t>
  </si>
  <si>
    <t>[Reilly, Brendan T.] Univ Calif San Diego, Scripps Inst Oceanog, La Jolla, CA 92093 USA; [McCormick, Michael L.] Hamilton Coll, Biol, Clinton, NY 13323 USA; [Brachfeld, Stefanie A.] Montclair State Univ, Earth &amp; Environm Studies, Montclair, NJ USA; [Haley, Brian A.] Oregon State Univ, Coll Earth Ocean &amp; Atmospher Sci, Corvallis, OR 97331 USA</t>
  </si>
  <si>
    <t>University of California System; University of California San Diego; Scripps Institution of Oceanography; Hamilton College; Montclair State University; Oregon State University</t>
  </si>
  <si>
    <t>Reilly, BT (corresponding author), Univ Calif San Diego, Scripps Inst Oceanog, La Jolla, CA 92093 USA.</t>
  </si>
  <si>
    <t>btreilly@ucsd.edu</t>
  </si>
  <si>
    <t>McCormick, Michael L/A-2308-2008</t>
  </si>
  <si>
    <t>Brachfeld, Stefanie/0000-0003-4612-2866; McCormick, Michael/0000-0002-7403-7186; Haley, Brian/0000-0003-2879-8117; Reilly, Brendan/0000-0003-3666-4338</t>
  </si>
  <si>
    <t>National Science Foundation Office of Polar Programs (NSF-OPP); Instrumentation and Facilities program of the National Science Foundation, Earth Sciences Division; University of Minnesota; NSF-OPP [0732917, 0732605]; NSF-MRI [0521069, 0619402]; Scripps Institution of Oceanography; Directorate For Geosciences; Office of Polar Programs (OPP) [0732917, 0732605] Funding Source: National Science Foundation; Division Of Earth Sciences; Directorate For Geosciences [0521069, 0619402] Funding Source: National Science Foundation</t>
  </si>
  <si>
    <t>National Science Foundation Office of Polar Programs (NSF-OPP)(National Science Foundation (NSF)); Instrumentation and Facilities program of the National Science Foundation, Earth Sciences Division; University of Minnesota(University of Minnesota System); NSF-OPP(National Science Foundation (NSF)NSF - Directorate for Geosciences (GEO)); NSF-MRI(National Science Foundation (NSF)NSF - Office of the Director (OD)); Scripps Institution of Oceanography(University of California System); Directorate For Geosciences; Office of Polar Programs (OPP)(National Science Foundation (NSF)NSF - Directorate for Geosciences (GEO)); Division Of Earth Sciences; Directorate For Geosciences(National Science Foundation (NSF)NSF - Directorate for Geosciences (GEO))</t>
  </si>
  <si>
    <t>We thank the former Raytheon Polar services (now Lockheed Martin) shipboard team, the LARISSA science team, and the captain and crew of the R/V Nathaniel B. Palmer for their efforts during NBP1203. We thank A. Grunow, curator of the Polar Rock Repository (PRR), for her assistance and support in identifying and supplying bedrock samples. This research used samples and data provided by PRR and the Byrd Polar Research Institute, Ohio State University. The PRR is sponsored by the National Science Foundation Office of Polar Programs (NSF-OPP). This research was supported by a visit to the Institute of Rock Magnetism (IRM) by S. A. Brachfeld. The IRM is a US National Multi-user Facility supported through the Instrumentation and Facilities program of the National Science Foundation, Earth Sciences Division, and by funding from the University of Minnesota. This research was funded by NSF-OPP grant 0732917 to M. L. McCormick and NSF-OPP grant 0732605, NSF-MRI grant 0521069, and NSF-MRI grant 0619402 to S. A. Brachfeld. B. T. Reilly thanks the Scripps Institution of Oceanography for support. We thank Andrew Roberts and Myriam Kars for helpful and insightful reviews.</t>
  </si>
  <si>
    <t>1525-2027</t>
  </si>
  <si>
    <t>GEOCHEM GEOPHY GEOSY</t>
  </si>
  <si>
    <t>Geochem. Geophys. Geosyst.</t>
  </si>
  <si>
    <t>e2020GC009380</t>
  </si>
  <si>
    <t>10.1029/2020GC009380</t>
  </si>
  <si>
    <t>PA7DH</t>
  </si>
  <si>
    <t>Green Submitted, Bronze</t>
  </si>
  <si>
    <t>WOS:000595790900003</t>
  </si>
  <si>
    <t>Tooze, S; Halpin, JA; Noble, TL; Chase, Z; O'Brien, PE; Armand, L</t>
  </si>
  <si>
    <t>Tooze, Sian; Halpin, Jacqueline A.; Noble, Taryn L.; Chase, Zanna; O'Brien, Philip E.; Armand, Leanne</t>
  </si>
  <si>
    <t>Scratching the Surface: A Marine Sediment Provenance Record From the Continental Slope of Central Wilkes Land, East Antarctica</t>
  </si>
  <si>
    <t>Antarctic geology; East Antarctica; geochemistry; geochronology; sediment provenance; Wilkes Land</t>
  </si>
  <si>
    <t>ALBANY-FRASER OROGEN; U-PB ZIRCON; ICE-SHEET; SOUTHERN-OCEAN; TOTTEN GLACIER; EVOLUTION; SEA; AGE; GEOCHRONOLOGY; SYSTEMATICS</t>
  </si>
  <si>
    <t>The geology of Wilkes Land, East Antarctica, is masked by kilometers of ice and remains largely unexplored. Defining the sediment provenance adjacent to this hidden region is important for distinguishing the proximal subglacial basement terranes and refining the dynamic regional glaciological history. This study presents a detrital sediment provenance record spanning c. 23.5 ka from the continental slope of central Wilkes Land. Sediment provenance was characterized using U-Pb geochronology and trace element geochemistry from detrital zircon, titanite and apatite, and Pb isotopic signatures from detrital feldspar. These data were compared with new feldspar Pb-isotopic signatures and existing U-Pb zircon data sets from rare nearby coastal outcrop. A principally igneous source was revealed with dominant age populations between c. 1,360-1,100 Ma and c. 1,620-1,490 Ma, characteristic of rocks of the proximal Wilkes and Banzare provinces, respectively. Minor detritus was additionally sourced from the proximal Nuyina Province (c. 1,450-1,390 Ma). Temporal variation in the climate and ice sheet configuration are likely responsible for subtle downcore changes observed in detrital sediment provenance. High sedimentation rates during the glacial period suggest reworking of continental shelf sediments and downslope transport in debris flows during ice sheet advance. Glacial meltwater fluxes fed largely by the Totten Glacier were responsible for supplying detritus during deglaciation. During interglacials, detritus was derived from a broad coastal region and delivered to the slope via multiple glacial outlets. These results present the first substantial offshore evidence to support recent interpretations that the subglacial crust of central Wilkes Land has a dominantly Mesoproterozoic history.</t>
  </si>
  <si>
    <t>[Tooze, Sian; Halpin, Jacqueline A.; Noble, Taryn L.; Chase, Zanna] Univ Tasmania, Inst Marine &amp; Antarctic Studies, Hobart, Tas, Australia; [O'Brien, Philip E.] Macquarie Univ, Sydney, NSW, Australia; [Armand, Leanne] Australian Natl Univ, Res Sch Earth Sci, Canberra, ACT, Australia</t>
  </si>
  <si>
    <t>University of Tasmania; Macquarie University; Australian National University</t>
  </si>
  <si>
    <t>Tooze, S (corresponding author), Univ Tasmania, Inst Marine &amp; Antarctic Studies, Hobart, Tas, Australia.</t>
  </si>
  <si>
    <t>sian.tooze@utas.edu.au</t>
  </si>
  <si>
    <t>Armand, Leanne K/C-9004-2009; Halpin, Jacqueline/A-3776-2014; Chase, Zanna/E-9232-2013</t>
  </si>
  <si>
    <t>Noble, Taryn/0000-0002-5708-751X; O'Brien, Philip/0000-0003-3446-3292; Halpin, Jacqueline/0000-0002-4992-8681; Armand, Leanne/0000-0003-3995-308X; Chase, Zanna/0000-0001-5060-779X</t>
  </si>
  <si>
    <t>Australian Research Council's Special Research Initiative for the Antarctic Gateway Partnership [SR140300001]; Science and Industry Endowment Fund; Australian Antarctic Science Program [4419]; National Science Foundation Office of Polar Programs</t>
  </si>
  <si>
    <t>Australian Research Council's Special Research Initiative for the Antarctic Gateway Partnership(Australian Research Council); Science and Industry Endowment Fund; Australian Antarctic Science Program; National Science Foundation Office of Polar Programs(National Science Foundation (NSF)NSF - Directorate for Geosciences (GEO))</t>
  </si>
  <si>
    <t>We acknowledge the Marine National Facility, the IN2017-V01 scientific party led by the Chief Scientists L. K. Armand and P. O'Brien, MNF support staff and ASP crew members led by Capt. M. Watson for sample recovery, primary data collection and support and assistance onboard the RV Investigator. We thank S. Meffre and J. Thompson (Earth Sciences/CODES, University of Tasmania), S. Feig and K. Goemann (Central Science Laboratory, University of Tasmania) and Nils Jansen (Institute for Marine and Antarctic Studies, University of Tasmania) for their expertise and technical assistance and A. Maritati for Pb-Pb analysis of the basement rock feldspars used in this study. We also thank the reviewers and editors for their constructive comments and suggestions on previous versions of this article. Sian Tooze was supported by a PhD scholarship from the Australian Research Council's Special Research Initiative for the Antarctic Gateway Partnership (Project ID SR140300001). Taryn L. Noble acknowledges support from the Science and Industry Endowment Fund, and Australian Antarctic Science Program Grant 4419. This research used samples (from Balaena Islets) provided by the Polar Rock Repository (PRR). The PRR is sponsored by the National Science Foundation Office of Polar Programs. All data to support our conclusions can be found in this article, in the supporting information and archived with Pangaea database.</t>
  </si>
  <si>
    <t>e2020GC009156</t>
  </si>
  <si>
    <t>10.1029/2020GC009156</t>
  </si>
  <si>
    <t>WOS:000595790900005</t>
  </si>
  <si>
    <t>Wu, L; Wilson, DJ; Wang, RJ; Yin, XB; Chen, ZH; Xiao, WS; Huang, MX</t>
  </si>
  <si>
    <t>Wu, Li; Wilson, David J.; Wang, Rujian; Yin, Xuebo; Chen, Zhihua; Xiao, Wenshen; Huang, Mengxue</t>
  </si>
  <si>
    <t>Evaluating Zr/Rb Ratio From XRF Scanning as an Indicator of Grain-Size Variations of Glaciomarine Sediments in the Southern Ocean</t>
  </si>
  <si>
    <t>bottom currents; glaciomarine sediment; grain‐ size; iceberg rafted debris; Southern Ocean; XRF core scanning Zr; Rb</t>
  </si>
  <si>
    <t>ANTARCTIC ICE-SHEET; SORTABLE SILT; PALEOCURRENT SPEED; CONTINENTAL-SLOPE; LABRADOR CURRENT; EAST ANTARCTICA; ATMOSPHERIC CO2; ROSS SEA; CHINA; CORE</t>
  </si>
  <si>
    <t>The ln(Zr/Rb) count ratio derived from X-ray fluorescence (XRF) core scanning holds potential as a high-resolution tracer for grain-size variations of glaciomarine sediments, and hence current strength. To evaluate this approach, we conducted high-resolution grain-size measurements, together with Rb and Zr measurements by XRF core scanning and inductively coupled plasma-mass spectrometry (ICP-MS), on a series of sediment cores from different regions of the Southern Ocean. Downcore changes of the ln(Zr/Rb) count ratio from XRF core scanning are consistent with Zr/Rb concentration ratios derived from ICP-MS analyses, even though Rb and Zr counts deviate significantly from concentrations due to specimen and matrix effects. The ln(Zr/Rb) count ratio displays discrepancies with the bulk mean grain-size, but correlates well with the mean grain-size of the sediment fractions that do not include unsorted sand delivered by ice-rafting. These observations are supported by evidence from a grain-size separation experiment, which indicates that Zr and Rb are concentrated in different grain-size fractions. Consistent with its lack of sensitivity to coarse grain-size fractions derived from ice-rafting, the ln(Zr/Rb) ratio records similar trends to the sortable silt percent (SS%) and sortable silt mean (SS over bar ) grain-size. Universal gradients exist in plots of SS% versus ln(Zr/Rb), and SS over bar versus ln(Zr/Rb), such that the ln(Zr/Rb) ratio provides a convenient way to estimate the magnitude of changes in SS% and SS over bar . Overall, our results support the use of the ln(Zr/Rb) ratio as an indicator of bottom current strength in cases where the sediment is current-sorted.</t>
  </si>
  <si>
    <t>[Wu, Li; Wang, Rujian; Xiao, Wenshen; Huang, Mengxue] Tongji Univ, State Key Lab Marine Geol, Shanghai, Peoples R China; [Wilson, David J.] Univ London, Univ Coll London &amp; Birkheck, Inst Earth &amp; Planetary Sci, London, England; [Yin, Xuebo] Qingdao Sparta Anal &amp; Test Co Ltd, Qingdao, Peoples R China; [Yin, Xuebo] Chinese Acad Sci, Inst Oceanol, Qingdao, Peoples R China; [Chen, Zhihua] State Ocean Adm, Inst Oceanog 1, Qingdao, Peoples R China</t>
  </si>
  <si>
    <t>Tongji University; University of London; Chinese Academy of Sciences; Institute of Oceanology, CAS; First Institute of Oceanography, Ministry of Natural Resources</t>
  </si>
  <si>
    <t>Wang, RJ (corresponding author), Tongji Univ, State Key Lab Marine Geol, Shanghai, Peoples R China.</t>
  </si>
  <si>
    <t>rjwang@tongji.edu.cn</t>
  </si>
  <si>
    <t>Wilson, David/AAA-9939-2019; WU, Li/KHX-2389-2024</t>
  </si>
  <si>
    <t>Wilson, David/0000-0003-2786-4688; WU, Li/0000-0001-8560-8223</t>
  </si>
  <si>
    <t>National Natural Science Foundation of China; Postdoctoral Research Foundation of China [41806223, 2018M632158, 41776191, 41676191]; Ministry of Natural Resources of China; National Oceanic Administration's Polar Expedition Office [RFSOCC20202022, 16, 17]</t>
  </si>
  <si>
    <t>National Natural Science Foundation of China(National Natural Science Foundation of China (NSFC)); Postdoctoral Research Foundation of China(China Postdoctoral Science Foundation); Ministry of Natural Resources of China; National Oceanic Administration's Polar Expedition Office</t>
  </si>
  <si>
    <t>We thank the cruise members of the 29th, 30th, and 31st Chinese Antarctic Expedition for retrieving the sediments, and are grateful to the authors who have provided us with data on request or via online repositories. We also sincerely thank the reviewers for their constructive comments and suggestions that helped to improve the manuscript. This work was jointly supported by National Natural Science Foundation of China, Postdoctoral Research Foundation of China (Grants No. 41806223, 2018M632158, 41776191, and 41676191), the Ministry of Natural Resources of China and the RFSOCC20202022-No.16 &amp; 17 Project of the National Oceanic Administration's Polar Expedition Office.</t>
  </si>
  <si>
    <t>e2020GC009350</t>
  </si>
  <si>
    <t>10.1029/2020GC009350</t>
  </si>
  <si>
    <t>Green Published, Green Submitted</t>
  </si>
  <si>
    <t>WOS:000595790900027</t>
  </si>
  <si>
    <t>Person, R; Vancoppenolle, M; Aumont, O</t>
  </si>
  <si>
    <t>Person, R.; Vancoppenolle, M.; Aumont, O.</t>
  </si>
  <si>
    <t>Iron Incorporation From Seawater Into Antarctic Sea Ice: A Model Study</t>
  </si>
  <si>
    <t>GLOBAL BIOGEOCHEMICAL CYCLES</t>
  </si>
  <si>
    <t>sea ice; iron; Southern Ocean; biogeochemistry; fertilization; modeling</t>
  </si>
  <si>
    <t>OCEAN MIXED-LAYER; SOUTHERN-OCEAN; DISSOLVED IRON; THICKNESS DISTRIBUTION; ROSS SEA; PHYTOPLANKTON; BLOOMS; CARBON; FERTILIZATION; VARIABILITY</t>
  </si>
  <si>
    <t>Sea ice acts as an iron (Fe) reservoir in the Southern Ocean (SO) where primary productivity is largely Fe limited. The mechanisms leading to Fe enrichment in sea ice result from the combination of poorly understood and largely unexplored physical and biological processes. We analyze the biogeochemical impacts of three plausible idealized formulations of dissolved Fe (DFe) incorporation into sea ice corresponding to (i) constant Fe concentration in sea ice, (ii) constant ocean-ice Fe flux, and (iii) ocean-ice Fe flux linearly varying with seawater Fe concentration in a global ocean-sea-ice-biogeochemical model, focusing on the SO. The three formulations simulate different geographical distributions of DFe concentrations in sea ice. Iron in sea ice remains largely uncertain due to the limited number of spatial and seasonal observations, poorly constrained Fe sources and sinks, and significant uncertainties in simulated sea ice and hydrography. Despite these differences, the fertilization effect by sea ice on phytoplankton photosynthesis is qualitatively similar regardless of the formulation considered. Iron incorporation during sea-ice formation, transport, and melt release, common to all formulations, dominates over differences in sea-ice Fe concentrations. Formulating the Fe incorporation rate as proportional to seawater Fe concentrations gives the closest agreement to field observations. With this formulation, sediments work in synergy with Fe transport to fertilize the waters north of the continental shelf. Southern Ocean primary production and export production increase by 5-10% and 9-19%, respectively, when Fe incorporation into sea ice is considered, suggesting a moderate effect of Fe-bearing sea ice on marine productivity.</t>
  </si>
  <si>
    <t>[Person, R.] Sorbonne Univ, OSU Ecce Terra, UMS 3455, CNRS,IRD,MNIIN,INRAE,ENS, Paris, France; [Person, R.; Vancoppenolle, M.; Aumont, O.] Sorbonne Univ, LOCEAN IPSL UMR7159, MNHN, CNRS,IRD, Paris, France</t>
  </si>
  <si>
    <t>Universite PSL; Ecole Normale Superieure (ENS); Institut de Recherche pour le Developpement (IRD); Sorbonne Universite; Centre National de la Recherche Scientifique (CNRS); CNRS - National Institute for Earth Sciences &amp; Astronomy (INSU); INRAE; Sorbonne Universite; Centre National de la Recherche Scientifique (CNRS); CNRS - National Institute for Earth Sciences &amp; Astronomy (INSU); Institut de Recherche pour le Developpement (IRD); Museum National d'Histoire Naturelle (MNHN)</t>
  </si>
  <si>
    <t>Person, R (corresponding author), Sorbonne Univ, OSU Ecce Terra, UMS 3455, CNRS,IRD,MNIIN,INRAE,ENS, Paris, France.;Person, R (corresponding author), Sorbonne Univ, LOCEAN IPSL UMR7159, MNHN, CNRS,IRD, Paris, France.</t>
  </si>
  <si>
    <t>renaud.person@ird.fr</t>
  </si>
  <si>
    <t>Vancoppenolle, Martin/B-3750-2011; Vancoppenolle, Martin/AAA-7711-2022; Person, Renaud/C-1287-2017; aumont, olivier/G-5207-2016</t>
  </si>
  <si>
    <t>Vancoppenolle, Martin/0000-0002-7573-8582; Vancoppenolle, Martin/0000-0002-7573-8582; Person, Renaud/0000-0001-7559-2993; aumont, olivier/0000-0003-3954-506X</t>
  </si>
  <si>
    <t>ANR project SOBUMS [ANR-16-CE01-0014]; GENCI [2019-A0060107451]; Agence Nationale de la Recherche (ANR) [ANR-16-CE01-0014] Funding Source: Agence Nationale de la Recherche (ANR)</t>
  </si>
  <si>
    <t>ANR project SOBUMS(Agence Nationale de la Recherche (ANR)); GENCI; Agence Nationale de la Recherche (ANR)(Agence Nationale de la Recherche (ANR))</t>
  </si>
  <si>
    <t>This work is founded by the ANR project SOBUMS (ANR-16-CE01-0014) and was granted access to the HPC resources of IDRIS under the allocation 2019-A0060107451 made by GENCI. We thank two anonymous reviewers for their insightful and very detailed comments.</t>
  </si>
  <si>
    <t>0886-6236</t>
  </si>
  <si>
    <t>1944-9224</t>
  </si>
  <si>
    <t>GLOBAL BIOGEOCHEM CY</t>
  </si>
  <si>
    <t>Glob. Biogeochem. Cycle</t>
  </si>
  <si>
    <t>e2020GB006665</t>
  </si>
  <si>
    <t>10.1029/2020GB006665</t>
  </si>
  <si>
    <t>PA6MY</t>
  </si>
  <si>
    <t>WOS:000595748400006</t>
  </si>
  <si>
    <t>Roshan, S; DeVries, T; Wu, JF</t>
  </si>
  <si>
    <t>Roshan, Saeed; DeVries, Tim; Wu, Jingfeng</t>
  </si>
  <si>
    <t>Constraining the Global Ocean Cu Cycle With a Data-Assimilated Diagnostic Model</t>
  </si>
  <si>
    <t>dissolved copper; scavenging; diagnostic modeling; copper climatology; sedimentary source; GEOTRACES</t>
  </si>
  <si>
    <t>COPPER-COMPLEXING LIGANDS; NORTH-ATLANTIC; DISSOLVED COPPER; ANTARCTIC PENINSULA; SOUTHERN-OCEAN; TRACE-METALS; ROSS SEA; CADMIUM; ZINC; PHYTOPLANKTON</t>
  </si>
  <si>
    <t>Copper (Cu) is a biologically important trace metal for marine plankton, but it is also toxic at high concentrations. Understanding the global distribution of Cu and the processes controlling its cycling in the ocean is important for understanding how the distribution of this important element can respond to climate change. Here, we use available observations of dissolved copper, an artificial neural network, and an ocean circulation inverse model, to derive a global estimate of the three-dimensional distribution and cycling of dissolved Cu in the ocean. We find that there is net removal by bio-assimilation and/or scavenging of dissolved Cu in the surface ocean at a rate of similar to 1.7 Gmol yr(-1) and that both the concentration and export of dissolved Cu are highest in the Southern Ocean. In the subsurface above the near-sediment layer, dissolved Cu is removed at a net rate of similar to 2.4 Gmol yr(-1), consistent with scavenging onto sinking particles, contributing to an increase in the flux of particulate Cu with depth. This removal of Cu by scavenging in the interior ocean is balanced by a net near-sediment source of dissolved Cu, which sustains a gradual increase in the concentration of dissolved Cu with depth. Globally, this net near-sediment source is estimated at similar to 2.6 Gmol yr(-1) in the deep ocean and similar to 0.8 Gmol yr(-1) along continental shelves and slopes. Our results suggest an active oceanic dissolved Cu cycle with a mean internal ocean residence time of similar to 530 years, highlighting the potential for climate-driven changes in the marine Cu cycle.</t>
  </si>
  <si>
    <t>[Roshan, Saeed; DeVries, Tim] Univ Calif Santa Barbara, Dept Geog, Santa Barbara, CA 93106 USA; [Roshan, Saeed; DeVries, Tim] Univ Calif Santa Barbara, Earth Res Inst, Santa Barbara, CA 93106 USA; [Wu, Jingfeng] Univ Miami, Rosenstiel Sch Marine &amp; Atmospher Sci, 4600 Rickenbacker Causeway, Miami, FL 33149 USA</t>
  </si>
  <si>
    <t>University of California System; University of California Santa Barbara; University of California System; University of California Santa Barbara; University of Miami</t>
  </si>
  <si>
    <t>Roshan, S (corresponding author), Univ Calif Santa Barbara, Dept Geog, Santa Barbara, CA 93106 USA.;Roshan, S (corresponding author), Univ Calif Santa Barbara, Earth Res Inst, Santa Barbara, CA 93106 USA.</t>
  </si>
  <si>
    <t>saeed.roshan@geog.ucsb.edu</t>
  </si>
  <si>
    <t>DeVries, Tim/0000-0002-7771-9430; Roshan, Saeed/0000-0001-9977-7474</t>
  </si>
  <si>
    <t>U.S. National Science Foundation [OCE-1658392, OCE-0220978, OCE-1233155]</t>
  </si>
  <si>
    <t>U.S. National Science Foundation(National Science Foundation (NSF))</t>
  </si>
  <si>
    <t>This work was supported by the U.S. National Science Foundation with grants OCE-1658392 to T. D. and OCE-0220978 and OCE-1233155 to J. W. We thank Gedun Chen for help in laboratory analyses and the associate editor and two anonymous reviewers for comments that helped to improve the paper.</t>
  </si>
  <si>
    <t>e2020GB006741</t>
  </si>
  <si>
    <t>10.1029/2020GB006741</t>
  </si>
  <si>
    <t>WOS:000595748400004</t>
  </si>
  <si>
    <t>Eidam, EF; Sutherland, DA; Duncan, D; Kienholz, C; Amundson, JM; Motyka, RJ</t>
  </si>
  <si>
    <t>Eidam, E. F.; Sutherland, D. A.; Duncan, D.; Kienholz, C.; Amundson, J. M.; Motyka, R. J.</t>
  </si>
  <si>
    <t>Morainal Bank Evolution and Impact on Terminus Dynamics During a Tidewater Glacier Stillstand</t>
  </si>
  <si>
    <t>JOURNAL OF GEOPHYSICAL RESEARCH-EARTH SURFACE</t>
  </si>
  <si>
    <t>fjord; moraine; tidewater glacier; bathymetry; sediment; retreat</t>
  </si>
  <si>
    <t>HUBBARD GLACIER; LECONTE GLACIER; GLACIMARINE SEDIMENTATION; SUBGLACIAL DISCHARGE; MELTWATER DISCHARGE; ANTARCTIC PENINSULA; DISENCHANTMENT BAY; SOUTHEAST ALASKA; OUTLET GLACIERS; OUTBURST FLOOD</t>
  </si>
  <si>
    <t>Sedimentary processes are known to help facilitate tidewater glacier advance, but their role in modulating retreat is uncertain and poorly quantified. In this study we use repeated seafloor bathymetric surveys and satellite-derived terminus positions from LeConte Glacier, Alaska, to evaluate the evolution of a morainal bank and related changes in terminus dynamics over a 17-year period. The glacier experienced a rapid retreat between 1994 and 1999, before stabilizing at a constriction in the fjord. Since then, the glacier terminus has remained stabilized while constructing a morainal bank up to 140 m high in water depths of 240-260 m, with rates of sediment delivery of 3.3 x 10(5) to 3.8 x 10(5) m(3) a(-1). Based on repeated interannual surveys between 2016 and 2018, the moraine is a dynamic feature characterized by push ridges, evidence of active gravity flows, and bulldozing by the glacier at rates of up to meters per day. Beginning in 2016, the summertime terminus has become increasingly retracted, revealing a newly emerging basin potentially signaling the onset of renewed retreat. Between 2000 and 2016, the growing moraine reduced the exposed submarine area of the terminus by up to 22%, altered the geometry of the terminus during seasonal advances, and altered the terminus stress balance. These feedbacks for calving, melting, and ice flow likely represent mechanisms whereby moraine growth may delay glacier retreat, in a system where readvance is unlikely.</t>
  </si>
  <si>
    <t>[Eidam, E. F.] Univ N Carolina, Dept Marine Sci, Chapel Hill, NC 27515 USA; [Sutherland, D. A.] Univ Oregon, Dept Earth Sci, Eugene, OR USA; [Duncan, D.] Univ Texas Austin, Inst Geophys, Austin, TX USA; [Kienholz, C.; Amundson, J. M.; Motyka, R. J.] Univ Alaska Southeast, Dept Nat Sci, Juneau, AK USA; [Motyka, R. J.] Univ Alaska Fairbanks, Geophys Inst, Fairbanks, AK USA</t>
  </si>
  <si>
    <t>University of North Carolina; University of North Carolina Chapel Hill; University of Oregon; University of Texas System; University of Texas Austin; University of Alaska System; University of Alaska Southeastern; University of Alaska System; University of Alaska Fairbanks</t>
  </si>
  <si>
    <t>Eidam, EF (corresponding author), Univ N Carolina, Dept Marine Sci, Chapel Hill, NC 27515 USA.</t>
  </si>
  <si>
    <t>efe@unc.edu</t>
  </si>
  <si>
    <t>Kienholz, Christian/0000-0001-7962-4446; Duncan, Daniel/0000-0003-4782-7104; Amundson, Jason/0000-0002-2801-3124; Eidam, Emily/0000-0002-1906-8692</t>
  </si>
  <si>
    <t>NSF Arctic Natural Sciences Grants [OPP-1503910, 1504191, 1504288, 1504521]; National Geographic [CP4-171R-17]</t>
  </si>
  <si>
    <t>NSF Arctic Natural Sciences Grants; National Geographic(National Geographic Society)</t>
  </si>
  <si>
    <t>This work was supported by NSF Arctic Natural Sciences Grants OPP-1503910, 1504191, 1504288, and 1504521. National Geographic CP4-171R-17 to E. Pettit and J. Nash helped support 2018 cruise logistics. We thank Jonathan Nash, Rebecca Jackson, Pat Dryer, June Marion, John Mickett, Dylan Winters, Jasmine Nahorniak, Erin Pettit, Anna Simpson, Akua McLeod, and the crew of the M/V Steller, M/V Amber Anne, and R/V Pelican for their field assistance. We thank Petersburg High School and the U.S. Forest Service for accommodating this project. We also wish to thank the Shtax'heen Kwaan Tlingits, whose ancestral lands lie in this region. We also thank Charles Nittrouer (UW), Michele Koppes (UBC), and Tony Rodriguez (UNC IMS) for providing sediment sampling equipment, CHIRP equipment, and sonar processing assistance, as well as OSU CEOAS for providing grain-size analysis facilities. We also thank John Jaeger, two anonymous reviewers, and the Associate Editor who provided feedback on the manuscript.</t>
  </si>
  <si>
    <t>2169-9003</t>
  </si>
  <si>
    <t>2169-9011</t>
  </si>
  <si>
    <t>J GEOPHYS RES-EARTH</t>
  </si>
  <si>
    <t>J. Geophys. Res.-Earth Surf.</t>
  </si>
  <si>
    <t>e2019JF005359</t>
  </si>
  <si>
    <t>10.1029/2019JF005359</t>
  </si>
  <si>
    <t>PA7YW</t>
  </si>
  <si>
    <t>WOS:000595847000004</t>
  </si>
  <si>
    <t>Dias, FB; Fiedler, R; Marsland, SJ; Domingues, CM; Clément, L; Rintoul, SR; Mcdonagh, EL; Mata, MM; Savita, A</t>
  </si>
  <si>
    <t>Dias, Fabio Boeira; Fiedler, R.; Marsland, S. J.; Domingues, C. M.; Clement, L.; Rintoul, S. R.; Mcdonagh, E. L.; Mata, M. M.; Savita, A.</t>
  </si>
  <si>
    <t>Ocean Heat Storage in Response to Changing Ocean Circulation Processes</t>
  </si>
  <si>
    <t>JOURNAL OF CLIMATE</t>
  </si>
  <si>
    <t>Ocean circulation; Ocean dynamics; Climate change; Climate sensitivity; Global transport modeling; Ocean models</t>
  </si>
  <si>
    <t>ANTARCTIC CIRCUMPOLAR CURRENT; SEA-LEVEL; CLIMATE-CHANGE; OVERTURNING CIRCULATION; BOUNDARY CURRENTS; MESOSCALE EDDIES; WATER MASSES; MODEL; ICE; INTENSIFICATION</t>
  </si>
  <si>
    <t>Ocean heat storage due to local addition of heat (added'') and due to changes in heat transport (redistributed'') were quantified in ocean-only 2xCO2 simulations. While added heat storage dominates globally, redistributionmakes important regional contributions, especially in the tropics. Heat redistribution is dominated by circulation changes, summarized by the super-residual transport, with only minor effects from changes in vertical mixing. While previous studies emphasized the contribution of redistribution feedback at high latitudes, this study shows that redistribution of heat also accounts for 65% of heat storage at low latitudes and 25% in the midlatitude (35 degrees-50 degrees S) Southern Ocean. Tropical warming results from the interplay between increased stratification and equatorward heat transport by the subtropical gyres, which redistributes heat from the subtropics to lower latitudes. The Atlantic pattern is remarkably distinct from other basins, resulting in larger basin-average heat storage. Added heat storage is evenly distributed throughout midlatitude Southern Ocean and dominates the total storage. However, redistribution stores heat north of the Antarctic Circumpolar Current in the Atlantic and Indian sectors, having an important contribution to the peak of heat storage at 45 degrees S. Southern Ocean redistribution results from intensified heat convergence in the subtropical front and reduced stratification in response to surface heat, freshwater, and momentum flux perturbations. These results highlight that the distribution of ocean heat storage reflects both passive uptake of heat and active redistribution of heat by changes in ocean circulation processes. The redistributed heat transportmust therefore be better understood for accurate projection of changes in ocean heat uptake efficiency, ocean heat storage, and thermosteric sea level.</t>
  </si>
  <si>
    <t>[Dias, Fabio Boeira; Marsland, S. J.; Domingues, C. M.; Savita, A.] Univ Tasmania, Inst Marine &amp; Antarctic Studies, Hobart, Tas, Australia; [Dias, Fabio Boeira; Marsland, S. J.; Savita, A.] CSIRO Oceans &amp; Atmosphere, Aspendale, Vic, Australia; [Dias, Fabio Boeira; Marsland, S. J.; Domingues, C. M.; Savita, A.] Univ Tasmania, ARC Ctr Excellence Climate Extremes, Hobart, Tas, Australia; [Dias, Fabio Boeira] Univ Helsinki, Inst Atmospher &amp; Earth Sci Res, Helsinki, Finland; [Fiedler, R.; Rintoul, S. R.] CSIRO Oceans &amp; Atmosphere, Hobart, Tas, Australia; [Domingues, C. M.; Clement, L.; Mcdonagh, E. L.] Natl Oceanog Ctr, Southampton, Hants, England; [Rintoul, S. R.] Ctr Southern Hemisphere Oceans Res, Hobart, Tas, Australia; [Rintoul, S. R.] Australian Antarctic Program Partnership, Hobart, Tas, Australia; [Mcdonagh, E. L.] Bjerknes Ctr Climate Res, Norwegian Res Ctr, NORCE, Bergen, Norway; [Mata, M. M.] Univ Fed Rio Grande FURG, Inst Oceanog, Rio Grande, Brazil</t>
  </si>
  <si>
    <t>University of Tasmania; Commonwealth Scientific &amp; Industrial Research Organisation (CSIRO); University of Tasmania; University of Helsinki; Commonwealth Scientific &amp; Industrial Research Organisation (CSIRO); NERC National Oceanography Centre; Norwegian Research Centre (NORCE); Bjerknes Centre for Climate Research; Universidade Federal do Rio Grande</t>
  </si>
  <si>
    <t>Dias, FB (corresponding author), Univ Tasmania, Inst Marine &amp; Antarctic Studies, Hobart, Tas, Australia.;Dias, FB (corresponding author), CSIRO Oceans &amp; Atmosphere, Aspendale, Vic, Australia.;Dias, FB (corresponding author), Univ Tasmania, ARC Ctr Excellence Climate Extremes, Hobart, Tas, Australia.;Dias, FB (corresponding author), Univ Helsinki, Inst Atmospher &amp; Earth Sci Res, Helsinki, Finland.</t>
  </si>
  <si>
    <t>fabio.boeiradias@helsinki.fi</t>
  </si>
  <si>
    <t>Marsland, Simon J/A-1453-2012; Mata, Mauricio/H-4605-2011; Domingues, Catia M./A-2901-2015</t>
  </si>
  <si>
    <t>Marsland, Simon J/0000-0002-5664-5276; Mata, Mauricio/0000-0002-9028-8284; Boeira Dias, Fabio/0000-0002-2965-2120; Savita, Abhishek/0000-0003-2800-3636; Domingues, Catia M./0000-0001-5100-4595; Vance, Tessa/0000-0001-6970-8646</t>
  </si>
  <si>
    <t>Australian Research Council (ARC) [DP160103130]; ARC Centre of Excellence for Climate Extremes [CE170100023]; National Computational Infrastructure through the National Computational Merit Allocation Scheme; Tasmanian Graduate Research Scholarship; CSIRO-UTAS Quantitative Marine Science top-up; Academy of Finland [322432]; Earth Systems and Climate ChangeHub of theAustralian Government's National Environmental Science Program; Australian Antarctic Program Partnership; CSIRO; Qingdao National Laboratory for Marine Science and Technology (QNLM); ARC Future Fellowship [FT130101532]; Natural Environment Research Council [NE/P019293/1]; Brazilian Research Council CNPq [306896/2015-0]; Consortium for Ocean-Sea Ice Modelling in Australia (COSIMA); NERC [NE/P019293/2, NE/K004387/1, NE/P019293/1] Funding Source: UKRI; Academy of Finland (AKA) [322432] Funding Source: Academy of Finland (AKA)</t>
  </si>
  <si>
    <t>Australian Research Council (ARC)(Australian Research Council); ARC Centre of Excellence for Climate Extremes; National Computational Infrastructure through the National Computational Merit Allocation Scheme; Tasmanian Graduate Research Scholarship; CSIRO-UTAS Quantitative Marine Science top-up; Academy of Finland(Research Council of Finland); Earth Systems and Climate ChangeHub of theAustralian Government's National Environmental Science Program; Australian Antarctic Program Partnership; CSIRO(Commonwealth Scientific &amp; Industrial Research Organisation (CSIRO)); Qingdao National Laboratory for Marine Science and Technology (QNLM); ARC Future Fellowship(Australian Research Council); Natural Environment Research Council(UK Research &amp; Innovation (UKRI)Natural Environment Research Council (NERC)); Brazilian Research Council CNPq(Conselho Nacional de Desenvolvimento Cientifico e Tecnologico (CNPQ)); Consortium for Ocean-Sea Ice Modelling in Australia (COSIMA); NERC(UK Research &amp; Innovation (UKRI)Natural Environment Research Council (NERC)); Academy of Finland (AKA)(Research Council of Finland)</t>
  </si>
  <si>
    <t>This work was supported by the Australian Research Council (ARC) Discovery Grant DP160103130, ARC Centre of Excellence for Climate Extremes (CE170100023), and the National Computational Infrastructure through the National Computational Merit Allocation Scheme. FBD and AS were supported by a Tasmanian Graduate Research Scholarship and CSIRO-UTAS Quantitative Marine Science top-up. FBD was supported by the Academy of Finland (Project 322432). RF, SJM, and SRR were supported by the Earth Systems and Climate ChangeHub of theAustralian Government's National Environmental Science Program. SRR was jointly supported by the Australian Antarctic Program Partnership and by the Centre for Southern Hemisphere Ocean Research, a partnership between CSIRO and the Qingdao National Laboratory for Marine Science and Technology (QNLM). CMD was supported by an ARC Future Fellowship FT130101532. CMD, LCandELMDwere supported by the Natural Environment Research Council NE/P019293/1. MMM was supported by the Brazilian Research Council CNPq research Grant 306896/2015-0. We are thankful for the support from the Consortium for Ocean-Sea Ice Modelling in Australia (COSIMA), and for the reviewers' comments that greatly helped to improve the quality of the manuscript.</t>
  </si>
  <si>
    <t>0894-8755</t>
  </si>
  <si>
    <t>1520-0442</t>
  </si>
  <si>
    <t>J CLIMATE</t>
  </si>
  <si>
    <t>J. Clim.</t>
  </si>
  <si>
    <t>NOV 1</t>
  </si>
  <si>
    <t>10.1175/JCLI-D-19-1016.1</t>
  </si>
  <si>
    <t>OR9UT</t>
  </si>
  <si>
    <t>Green Submitted, Green Accepted, Bronze</t>
  </si>
  <si>
    <t>WOS:000589811900001</t>
  </si>
  <si>
    <t>Bird, CN; Dawn, AH; Dale, J; Johnston, DW</t>
  </si>
  <si>
    <t>Bird, Clara N.; Dawn, Allison H.; Dale, Julian; Johnston, David W.</t>
  </si>
  <si>
    <t>A Semi-Automated Method for Estimating Adelie Penguin Colony Abundance from a Fusion of Multispectral and Thermal Imagery Collected with Unoccupied Aircraft Systems</t>
  </si>
  <si>
    <t>REMOTE SENSING</t>
  </si>
  <si>
    <t>penguins; guano; unoccupied aircraft systems; thermal imagery; multispectral imagery; image segmentation; ArcGIS; semi-automated workflow; remote sensing</t>
  </si>
  <si>
    <t>UNMANNED AERIAL VEHICLES; COUNTS; PHOTOGRAPHY</t>
  </si>
  <si>
    <t>Monitoring Adelie penguin (Pygoscelis adeliae) populations on the Western Antarctic Peninsula (WAP) provides information about the health of the species and the WAP marine ecosystem itself. In January 2017, surveys of Adelie penguin colonies at Avian Island and Torgersen Island off the WAP were conducted via unoccupied aircraft systems (UAS) collecting optical Red Green Blue (RGB), thermal, and multispectral imagery. A semi-automated workflow to count individual penguins using a fusion of multispectral and thermal imagery was developed and combined into an ArcGIS workflow. This workflow isolates colonies using multispectral imagery and detects and counts individuals by thermal signatures. Two analysts conducted manual counts from synoptic RGB UAS imagery. The automated system deviated from analyst counts by -3.96% on Avian Island and by 17.83% on Torgersen Island. However, colony-by-colony comparisons revealed that the greatest deviations occurred at larger colonies. Matched pairs analysis revealed no significant differences between automated and manual counts at both locations (p &gt; 0.31) and linear regressions of colony sizes from both methods revealed significant positive relationships approaching unity (p &lt; 0.0002. R-2 = 0.91). These results indicate that combining UAS surveys with sensor fusion techniques and semi-automated workflows provide efficient and accurate methods for monitoring seabird colonies in remote environments.</t>
  </si>
  <si>
    <t>[Bird, Clara N.] Oregon State Univ, Geospatial Ecol Marine Megafauna Lab, Mammal Inst, Dept Fisheries &amp; Wildlife,Hatfield Marine Sci Ctr, Newport, OR 97365 USA; [Dawn, Allison H.] Univ N Carolina, Environm Ecol &amp; Energy Program, Chapel Hill, NC 27599 USA; [Dale, Julian; Johnston, David W.] Duke Univ, Marine Lab, Nicholas Sch Environm, Div Marine Sci &amp; Conservat, Beaufort, NC 28516 USA</t>
  </si>
  <si>
    <t>Oregon State University; University of North Carolina; University of North Carolina Chapel Hill; Duke University</t>
  </si>
  <si>
    <t>Bird, CN (corresponding author), Oregon State Univ, Geospatial Ecol Marine Megafauna Lab, Mammal Inst, Dept Fisheries &amp; Wildlife,Hatfield Marine Sci Ctr, Newport, OR 97365 USA.</t>
  </si>
  <si>
    <t>clara.bird@oregonstate.edu; allisonhdawn@unc.edu; julian.dale@duke.edu; david.johnston@duke.edu</t>
  </si>
  <si>
    <t>Bird, Clara/0000-0001-7763-7761; Johnston, David/0000-0003-2424-036X</t>
  </si>
  <si>
    <t>Palmer Station LTER Program; Duke University Marine Robotics and Remote Sensing Lab; Oregon State University Geospatial Ecology of Marine Megafauna Lab</t>
  </si>
  <si>
    <t>We would like to acknowledge the support of the Palmer Station LTER Program, the Duke University Marine Robotics and Remote Sensing Lab and the Oregon State University Geospatial Ecology of Marine Megafauna Lab. We would like to thank John Fay for providing feedback on the development of the user inputs for the toolset. Data were collected under ACA Permit No. 2017-034.</t>
  </si>
  <si>
    <t>MDPI</t>
  </si>
  <si>
    <t>BASEL</t>
  </si>
  <si>
    <t>ST ALBAN-ANLAGE 66, CH-4052 BASEL, SWITZERLAND</t>
  </si>
  <si>
    <t>2072-4292</t>
  </si>
  <si>
    <t>REMOTE SENS-BASEL</t>
  </si>
  <si>
    <t>Remote Sens.</t>
  </si>
  <si>
    <t>10.3390/rs12223692</t>
  </si>
  <si>
    <t>Environmental Sciences; Geosciences, Multidisciplinary; Remote Sensing; Imaging Science &amp; Photographic Technology</t>
  </si>
  <si>
    <t>Environmental Sciences &amp; Ecology; Geology; Remote Sensing; Imaging Science &amp; Photographic Technology</t>
  </si>
  <si>
    <t>OY9IC</t>
  </si>
  <si>
    <t>WOS:000594551400001</t>
  </si>
  <si>
    <t>González, R; Toledano, C; Román, R; Mateos, D; Asmi, E; Rodríguez, E; Lau, IC; Ferrara, J; D'Elia, R; Antuña-Sánchez, JC; Cachorro, VE; Calle, A; de Frutos, AM</t>
  </si>
  <si>
    <t>Gonzalez, Ramiro; Toledano, Carlos; Roman, Roberto; Mateos, David; Asmi, Eija; Rodriguez, Edith; Lau, Ian C.; Ferrara, Jonathan; D'Elia, Raul; Antuna-Sanchez, Juan Carlos; Cachorro, Victoria E.; Calle, Abel; de Frutos, Angel M.</t>
  </si>
  <si>
    <t>Characterization of Stratospheric Smoke Particles over the Antarctica by Remote Sensing Instruments</t>
  </si>
  <si>
    <t>Antarctica; aerosol; optical properties; biomass burning; Australian fires; smoke ageing</t>
  </si>
  <si>
    <t>AEROSOL OPTICAL DEPTH; RADIATIVE IMPACT; SUN; PHOTOMETER; ALGORITHM; AERONET; CLIMATOLOGY; RETRIEVAL; NETWORK; EVENT</t>
  </si>
  <si>
    <t>Australian smoke from the extraordinary biomass burning in December 2019 was observed over Marambio, Antarctica from the 7th to the 10th January, 2020. The smoke plume was transported thousands of kilometers over the Pacific Ocean, and reached the Antarctic Peninsula at a hight of 13 km, as determined by satellite lidar observations. The proposed origin and trajectory of the aerosol are supported by back-trajectory model analyses. Ground-based Sun-Sky-Moon photometer belonging to the Aerosol Robotic Network (AERONET) measured aerosol optical depth (500 nm wavelength) above 0.3, which is unprecedented for the site. Inversion of sky radiances provide the optical and microphysical properties of the smoke over Marambio. The AERONET data near the fire origin in Tumbarumba, Australia, was used to investigate the changes in the measured aerosol properties after transport and ageing. The analysis shows an increase in the fine mode particle radius and a reduction in absorption (increase in the single scattering albedo). The available long-term AOD data series at Marambio suggests that smoke particles could have remained over Antarctica for several weeks after the analyzed event.</t>
  </si>
  <si>
    <t>[Gonzalez, Ramiro; Toledano, Carlos; Roman, Roberto; Mateos, David; Antuna-Sanchez, Juan Carlos; Cachorro, Victoria E.; Calle, Abel; de Frutos, Angel M.] Univ Valladolid GOA UVa, Grp Atmospher Opt, Valladolid 47011, Spain; [Asmi, Eija; Rodriguez, Edith] Finnish Meteorol Inst, FI-00101 Helsinki, Finland; [Asmi, Eija; Ferrara, Jonathan] Natl Meteorol Serv, C1425GBE, Buenos Aires, DF, Argentina; [Lau, Ian C.] Commonwealth Sci &amp; Ind Res Org CSIRO Mineral Reso, Kensington, NSW 6151, Australia; [D'Elia, Raul] CEILAP UNIDEF CITEDEF CONICET, B1603ALO, Buenos Aires, DF, Argentina</t>
  </si>
  <si>
    <t>Universidad de Valladolid; Finnish Meteorological Institute; Commonwealth Scientific &amp; Industrial Research Organisation (CSIRO)</t>
  </si>
  <si>
    <t>González, R (corresponding author), Univ Valladolid GOA UVa, Grp Atmospher Opt, Valladolid 47011, Spain.</t>
  </si>
  <si>
    <t>ramiro@goa.uva.es; toledano@goa.uva.es; robertor@goa.uva.es; mateos@goa.uva.es; Eija.Asmi@fmi.fi; Edith.Rodriguez@fmi.fi; ian.lau@csiro.au; jferrara@smn.gov.ar; rdelia@citefa.gov.ar; jcantuna@goa.uva.es; chiqui@goa.uva.es; abel@goa.uva.es; angel@goa.uva.es</t>
  </si>
  <si>
    <t>Calle, Abel/ABI-5755-2020; Gonzalez Catón, Ramiro/M-3417-2017; Toledano, Carlos/J-3672-2012; Mateos, David/HKV-6729-2023; Cachorro, Victoria E/M-3708-2017; Roman, Roberto/K-2104-2014; Lau, Ian/L-1338-2015</t>
  </si>
  <si>
    <t>Calle, Abel/0000-0003-4161-7798; Gonzalez Catón, Ramiro/0000-0003-0017-5591; Toledano, Carlos/0000-0002-6890-6648; Mateos, David/0000-0001-5540-4721; Asmi, Eija/0000-0002-9226-2360; , Raul/0000-0002-8154-6114; Antuna-Sanchez, Juan Carlos/0000-0002-6786-671X; Roman, Roberto/0000-0003-4889-1781; Lau, Ian/0000-0002-5026-3189</t>
  </si>
  <si>
    <t>Spanish Ministry of Science, Innovation and Universities [RTI2018-097864-B-I00]; Academy of Finland project Atmospheric Composition and Processes relevant to climate change in ANTarctica (ACPANT) [264390]; Centre on Excellence in Atmospheric Science - Finnish Academy of Sciences Excellence [307331]; European Union Horizon 2020 research and innovation programme [654109]; Academy of Finland (AKA) [264390] Funding Source: Academy of Finland (AKA)</t>
  </si>
  <si>
    <t>Spanish Ministry of Science, Innovation and Universities(Spanish Government); Academy of Finland project Atmospheric Composition and Processes relevant to climate change in ANTarctica (ACPANT); Centre on Excellence in Atmospheric Science - Finnish Academy of Sciences Excellence; European Union Horizon 2020 research and innovation programme(Horizon 2020); Academy of Finland (AKA)(Research Council of Finland)</t>
  </si>
  <si>
    <t>The authors thank the Spanish Ministry of Science, Innovation and Universities for the support through the ePOLAAR project (RTI2018-097864-B-I00). The work was also supported by the Academy of Finland project Atmospheric Composition and Processes relevant to climate change in ANTarctica (ACPANT) [project number 264390]; the Centre on Excellence in Atmospheric Science funded by the Finnish Academy of Sciences Excellence [project number 307331]. We also received funding from the European Union's Horizon 2020 research and innovation programme [grant agreement number 654109]. The NOAA Air Resources Laboratory (ARL) is acknowledged for the provision of the HYSPLIT transport and dispersion model and READY website (https://www.ready.noaa.gov) used in this publication. NASA AERONET program and PI's are acknowledged for their effort in establishing and maintaining Tumbarumba and Marambio sites. The authors also thank NASA CALIPSO team for the data products used in this publication. These data were obtained from the NASA Langley Research Center Atmospheric Science Data Center. We are grateful for the logistic support received from the Finnish Antarctic Research Program (FINNARP) and from the Argentinean Air Force, which were highly valuable for the project. We warmly thank the technical personnel at Marambio for their support in logistics and measurements at the station.</t>
  </si>
  <si>
    <t>10.3390/rs12223769</t>
  </si>
  <si>
    <t>OY9QG</t>
  </si>
  <si>
    <t>gold, Green Published</t>
  </si>
  <si>
    <t>WOS:000594572600001</t>
  </si>
  <si>
    <t>Zhang, BJ; Wang, ZM; Yang, QM; Liu, JB; An, JC; Li, F; Liu, TT; Geng, H</t>
  </si>
  <si>
    <t>Zhang, Baojun; Wang, Zemin; Yang, Quanming; Liu, Jingbin; An, Jiachun; Li, Fei; Liu, Tingting; Geng, Hong</t>
  </si>
  <si>
    <t>Elevation Changes of the Antarctic Ice Sheet from Joint Envisat and CryoSat-2 Radar Altimetry</t>
  </si>
  <si>
    <t>Antarctic ice sheet; satellite radar altimetry; long-term time series; elevation changes</t>
  </si>
  <si>
    <t>GLACIAL ISOSTATIC-ADJUSTMENT; MASS-LOSS; EAST ANTARCTICA; VOLUME-CHANGE; GREENLAND; MODEL; LAND; ERS; ACCELERATION; TOPOGRAPHY</t>
  </si>
  <si>
    <t>The elevation changes of ice sheets have been recognized as an essential climate variable. Long-term time series of these changes are an important parameter to understand climate change, and the longest time-series of ice sheet elevation changes can be derived from combining multiple Ku-band satellite altimetry missions. However, unresolved intermission biases obscure the record. Here, we revise the mathematical model commonly used in the literature to simultaneously correct for intermission bias and ascending-descending bias to ensure the self-consistency and cohesion of the elevation time series across missions. This updated approach is applied to combine Envisat and CryoSat-2 radar altimetry in the period of 2002-2019. We tested this approach by validating it against airborne and satellite laser altimetry. Combining the detailed temporal and spatial evolution of elevation changes with firn densification-modeled volume changes due to surface processes, we found that the Amundsen Sea sector accounts for most of the total volume loss of the Antarctic Ice Sheet (AIS), mainly from ice dynamics. However, surface processes dominate the volume changes in the key regions, such as the Totten Glacier sector, Dronning Maud Land, Princess Elizabeth Land, and the Bellingshausen Sea sector. Overall, accelerated volume loss in the West Antarctic continues to outpace the gains observed in the East Antarctic. The total volume change during 2002-2019 for the AIS was -68.7 +/- 8.1 km(3)/y, with an acceleration of -5.5 +/- 0.9 km(3)/y(2).</t>
  </si>
  <si>
    <t>[Zhang, Baojun; Liu, Jingbin] Wuhan Univ, State Key Lab Informat Engn Surveying Mapping &amp; R, Wuhan 430079, Peoples R China; [Zhang, Baojun; Wang, Zemin; Yang, Quanming; An, Jiachun; Li, Fei; Liu, Tingting] Wuhan Univ, Chinese Antarctic Ctr Surveying &amp; Mapping, 129 Luoyu Rd, Wuhan 430079, Peoples R China; [Yang, Quanming] PowerChina Zhongnan Engn Corp Ltd, Changsha 410014, Peoples R China; [Geng, Hong] Wuhan Univ, Sch Resource &amp; Environm Sci, Wuhan 430079, Peoples R China</t>
  </si>
  <si>
    <t>Wuhan University; Wuhan University; Wuhan University</t>
  </si>
  <si>
    <t>An, JC (corresponding author), Wuhan Univ, Chinese Antarctic Ctr Surveying &amp; Mapping, 129 Luoyu Rd, Wuhan 430079, Peoples R China.</t>
  </si>
  <si>
    <t>bjzhang@whu.edu.cn; zmwang@whu.edu.cn; yangquanming@whu.edu.cn; jingbin.liu@whu.edu.cn; jcan@whu.edu.cn; fli@whu.edu.cn; ttliu23@whu.edu.cn; genghong@whu.edu.cn</t>
  </si>
  <si>
    <t>Liu, Jingbin/AAE-8803-2020; Liu, Tingting/HCH-2239-2022</t>
  </si>
  <si>
    <t>Zhang, Baojun/0000-0001-5438-8723; An, Jiachun/0000-0002-3106-0714; Liu, Jingbin/0000-0001-6216-0956</t>
  </si>
  <si>
    <t>National Natural Science Foundation of China [41941010]; National Key Research and Development Project of China [2018YFC1406102]; China Scholarship Council [201906275017]</t>
  </si>
  <si>
    <t>National Natural Science Foundation of China(National Natural Science Foundation of China (NSFC)); National Key Research and Development Project of China; China Scholarship Council(China Scholarship Council)</t>
  </si>
  <si>
    <t>This research was funded by the National Natural Science Foundation of China (grant no.41941010), the National Key Research and Development Project of China (grant no. 2018YFC1406102), and the China Scholarship Council (grant no. 201906275017).</t>
  </si>
  <si>
    <t>10.3390/rs12223746</t>
  </si>
  <si>
    <t>OY9HQ</t>
  </si>
  <si>
    <t>WOS:000594550200001</t>
  </si>
  <si>
    <t>Zhu, YC; Tao, TY; Yu, KG; Qu, XC; Li, SP; Wickert, J; Semmling, M</t>
  </si>
  <si>
    <t>Zhu, Yongchao; Tao, Tingye; Yu, Kegen; Qu, Xiaochuan; Li, Shuiping; Wickert, Jens; Semmling, Maximilian</t>
  </si>
  <si>
    <t>Machine Learning-Aided Sea Ice Monitoring Using Feature Sequences Extracted from Spaceborne GNSS-Reflectometry Data</t>
  </si>
  <si>
    <t>Delay-Doppler Map (DDM); Global Navigation Satellite System-Reflectometry (GNSS-R); decision tree; random forest; sea ice monitoring</t>
  </si>
  <si>
    <t>RANDOM FOREST; CLASSIFICATION; ALTIMETRY; OCEAN; SENSITIVITY; MODEL</t>
  </si>
  <si>
    <t>Two effective machine learning-aided sea ice monitoring methods are investigated using 42 months of spaceborne Global Navigation Satellite System-Reflectometry (GNSS-R) data collected by the TechDemoSat-1 (TDS-1). The two-dimensional delay waveforms with different Doppler spread characteristics are applied to extract six features, which are combined to monitor sea ice using the decision tree (DT) and random forest (RF) algorithms. Firstly, the feature sequences are used as input variables and sea ice concentration (SIC) data from the Advanced Microwave Space Radiometer-2 (AMSR-2) are applied as targeted output to train the sea ice monitoring model. Hereafter, the performance of the proposed method is evaluated through comparing with the sea ice edge (SIE) data from the Special Sensor Microwave Imager Sounder (SSMIS) data. The DT- and RF-based methods achieve an overall accuracy of 97.51% and 98.03%, respectively, in the Arctic region and 95.46% and 95.96%, respectively, in the Antarctic region. The DT- and RF-based methods achieve similar accuracies, while the Kappa coefficient of RF-based approach is slightly larger than that of the DT-based approach, which indicates that the RF-based method outperforms the DT-based method. The results show the potential of monitoring sea ice using machine learning-aided GNSS-R approaches.</t>
  </si>
  <si>
    <t>[Zhu, Yongchao; Tao, Tingye; Qu, Xiaochuan; Li, Shuiping] Hefei Univ Technol, Coll Civil Engn, Hefei 230009, Peoples R China; [Zhu, Yongchao; Tao, Tingye; Qu, Xiaochuan; Li, Shuiping] Anhui Key Lab Civil Engn Struct &amp; Mat, Hefei 230009, Peoples R China; [Zhu, Yongchao] East China Univ Technol, Key Lab Digital Land &amp; Resources Jiangxi Prov, Nanchang 330013, Jiangxi, Peoples R China; [Yu, Kegen] China Univ Min &amp; Technol, Sch Environm Sci &amp; Spatial Informat, Xuzhou 221116, Jiangsu, Peoples R China; [Wickert, Jens] German Res Ctr Geosci GFZ, D-14473 Potsdam, Germany; [Wickert, Jens] Tech Univ Berlin, Inst Geodesy &amp; Geoinformat Sci, D-10623 Berlin, Germany; [Semmling, Maximilian] Inst Solar Terr Phys, German Aerosp Ctr DLR, D-17235 Neustrelitz, Germany</t>
  </si>
  <si>
    <t>Hefei University of Technology; East China University of Technology; China University of Mining &amp; Technology; Helmholtz Association; Helmholtz-Center Potsdam GFZ German Research Center for Geosciences; Technical University of Berlin; Helmholtz Association; German Aerospace Centre (DLR)</t>
  </si>
  <si>
    <t>Tao, TY (corresponding author), Hefei Univ Technol, Coll Civil Engn, Hefei 230009, Peoples R China.;Tao, TY (corresponding author), Anhui Key Lab Civil Engn Struct &amp; Mat, Hefei 230009, Peoples R China.</t>
  </si>
  <si>
    <t>yczhu@hfut.edu.cn; taotingye@hfut.edu.cn; kegen.yu@cumt.edu.cn; qqxxcc@hfut.edu.cn; lishuiping@hfut.edu.cn; wickert@gfz-potsdam.de; Maximilian.semmling@dlr.de</t>
  </si>
  <si>
    <t>Qu, Xiaochuan/GSI-9801-2022; Yu, Kegen/L-7447-2019</t>
  </si>
  <si>
    <t>Shuiping, Li/0000-0002-1782-5792; Zhu, Yongchao/0000-0002-7176-218X; Yu, Kegen/0000-0001-7710-3073</t>
  </si>
  <si>
    <t>Fundamental Research Funds for the Central Universities of China [JZ2020HGTA0087]; Key Laboratory for Digital Land and Resources of Jiangxi Province, East China University of Technology [DLLJ202001]; Key Laboratory of Geospace Environment and Geodesy, Ministry of Education, Wuhan University [19-01-03]; Natural Science Foundation of Anhui Province, China [1808085MD105]; National Natural Science Foundation of China [41871313]</t>
  </si>
  <si>
    <t>Fundamental Research Funds for the Central Universities of China(Fundamental Research Funds for the Central Universities); Key Laboratory for Digital Land and Resources of Jiangxi Province, East China University of Technology; Key Laboratory of Geospace Environment and Geodesy, Ministry of Education, Wuhan University; Natural Science Foundation of Anhui Province, China(Natural Science Foundation of Anhui Province); National Natural Science Foundation of China(National Natural Science Foundation of China (NSFC))</t>
  </si>
  <si>
    <t>This work was supported in part by the Fundamental Research Funds for the Central Universities of China under Grant JZ2020HGTA0087, bythe Key Laboratory for Digital Land and Resources of Jiangxi Province, East China University of Technology under Grant DLLJ202001, by the Key Laboratory of Geospace Environment and Geodesy, Ministry of Education, Wuhan University under Grant 19-01-03, by the Natural Science Foundation of Anhui Province, China under Grant 1808085MD105 and by the National Natural Science Foundation of China under Grant 41871313.</t>
  </si>
  <si>
    <t>10.3390/rs12223751</t>
  </si>
  <si>
    <t>OZ8OW</t>
  </si>
  <si>
    <t>WOS:000595179700001</t>
  </si>
  <si>
    <t>Lee, M; Kim, D; Park, SJ; Yun, JM; Oh, DH; Lee, J</t>
  </si>
  <si>
    <t>Lee, Minhee; Kim, Dakyung; Park, Soo-Jeung; Yun, Jeong Moon; Oh, Dong Hwan; Lee, Jeongmin</t>
  </si>
  <si>
    <t>Antarctic Krill Oil Ameliorates Monosodium Iodoacetate-Induced Irregularities in Articular Cartilage and Inflammatory Response in the Rat Models of Osteoarthritis</t>
  </si>
  <si>
    <t>NUTRIENTS</t>
  </si>
  <si>
    <t>Antarctic krill oil; monoiodoacetate; osteoarthritis</t>
  </si>
  <si>
    <t>MATRIX METALLOPROTEINASES; GENE-EXPRESSION; FATTY-ACIDS</t>
  </si>
  <si>
    <t>The aim of this study was to examine the effects of Antarctic krill oil (FJH-KO) in a rat model of monosodium iodoacetate (MIA) induced osteoarthritis. The effect of FJH-KO on the development and severity of MIA-induced osteoarthritis was assessed using hematoxylin and eosin (H&amp;E) staining and micro-CT. The expression of PGE(2), pro-inflammatory cytokines (IL-1 beta, TNF-alpha), and arthritics related genes in osteoarthritic rats in response to FJH-KO supplementation was investigated using real time PCR. FJH-KO supplementation in the arthritic rat model reduced tissue damage, cartilage degeneration, and reduced the MIA-induced irregularities in articular cartilage surface. Serum PGE(2), IL-1 beta, IL-6, and TNF-alpha levels were higher in MIA treated animals, but these levels decreased upon FJH-KO supplementation. When FJH-KO was provided at a dose of 150 mg/kg b.w to MIA-treated animals, it significantly increased the mRNA expression of anabolic factors. The mRNA expression of catabolic factors was significantly decreased MIA-treated animals that were provided FJH-KO at a dose of 100 and 150 mg/kg b.w. Moreover, the mRNA expression of inflammatory mediators was significantly decreased MIA-treated animals supplemented with FJH-KO. These results suggest supplementation with FJH-KO ameliorates the irregularities in articular cartilage surface and improves the inflammatory response in the osteoarthritis. Thus, FJH-KO could serve as a potential therapeutic agent for osteoarthritis treatment.</t>
  </si>
  <si>
    <t>[Lee, Minhee; Kim, Dakyung; Park, Soo-Jeung; Yun, Jeong Moon; Oh, Dong Hwan; Lee, Jeongmin] Kyung Hee Univ, Dept Med Nutr, Yongin 17104, South Korea; [Lee, Jeongmin] Kyung Hee Univ, Res Inst Clin Nutr, Seoul 02247, South Korea</t>
  </si>
  <si>
    <t>Kyung Hee University; Kyung Hee University</t>
  </si>
  <si>
    <t>Lee, J (corresponding author), Kyung Hee Univ, Dept Med Nutr, Yongin 17104, South Korea.;Lee, J (corresponding author), Kyung Hee Univ, Res Inst Clin Nutr, Seoul 02247, South Korea.</t>
  </si>
  <si>
    <t>miniclsrn@khu.ac.kr; k4kyung@naver.com; sujeungp@khu.ac.kr; moon1894@hanmail.net; treeodong96@naver.com; jlee2007@khu.ac.kr</t>
  </si>
  <si>
    <t>Ministry of Oceans and Fisheries, Korea</t>
  </si>
  <si>
    <t>This research was a part of the project titled 'Development and commercialization of functional materials on improving joint health using krill oil', funded by the Ministry of Oceans and Fisheries, Korea.</t>
  </si>
  <si>
    <t>2072-6643</t>
  </si>
  <si>
    <t>Nutrients</t>
  </si>
  <si>
    <t>10.3390/nu12113550</t>
  </si>
  <si>
    <t>Nutrition &amp; Dietetics</t>
  </si>
  <si>
    <t>OX8EE</t>
  </si>
  <si>
    <t>WOS:000593790400001</t>
  </si>
  <si>
    <t>Jo, SW; Do, JM; Kang, NS; Park, JM; Lee, JH; Kim, HS; Hong, JW; Yoon, HS</t>
  </si>
  <si>
    <t>Jo, Seung-Woo; Do, Jeong-Mi; Kang, Nam Seon; Park, Jong Myong; Lee, Jae Hak; Kim, Han Soon; Hong, Ji Won; Yoon, Ho-Sung</t>
  </si>
  <si>
    <t>Isolation, Identification, and Biochemical Characteristics of a Cold-Tolerant Chlorella vulgaris KNUA007 Isolated from King George Island, Antarctica</t>
  </si>
  <si>
    <t>JOURNAL OF MARINE SCIENCE AND ENGINEERING</t>
  </si>
  <si>
    <t>Chlorella vulgaris; cold-tolerant; PUFAs (polyunsaturated fatty acids); calorific value</t>
  </si>
  <si>
    <t>POLYUNSATURATED FATTY-ACIDS; MICRACTINIUM CHLOROPHYTA; GENOME REVEALS; GREEN-ALGAE; TEMPERATURE; DIVERSITY; GENES; TREBOUXIOPHYCEAE; PHYLODIVERSITY; CYANOBACTERIA</t>
  </si>
  <si>
    <t>A cold-tolerant unicellular green alga was isolated from a meltwater stream on King George Island, Antarctica. Morphological, molecular, and biochemical analyses revealed that the isolate belonged to the species Chlorella vulgaris. We tentatively named this algal strain C. vulgaris KNUA007 and investigated its growth and lipid composition. We found that the strain was able to thrive in a wide range of temperatures, from 5 to 30 degrees C; however, it did not survive at 35 degrees C. Ultimate analysis confirmed high gross calorific values only at low temperatures (10 degrees C), with comparable values to land plants for biomass fuel. Gas chromatography/mass spectrometry analysis revealed that the isolate was rich in nutritionally important polyunsaturated fatty acids (PUFAs). The major fatty acid components were hexadecatrienoic acid (C16:3 omega 3, 17.31%), linoleic acid (C18:2 omega 6, 8.52%), and alpha-linolenic acid (C18:3 omega 3, 43.35%) at 10 degrees C. The microalga was tolerant to low temperatures, making it an attractive candidate for the production of biochemicals under cold weather conditions. Therefore, this Antarctic microalga may have potential as an alternative to fish and/or plant oils as a source of omega-3 PUFA. The temperature tolerance and composition of C. vulgaris KNUA007 also make the isolate desirable for commercial applications in the pharmaceutical industry.</t>
  </si>
  <si>
    <t>[Jo, Seung-Woo; Yoon, Ho-Sung] Kyungpook Natl Univ, Adv Bioresource Res Ctr, Daegu 41566, South Korea; [Jo, Seung-Woo; Do, Jeong-Mi; Yoon, Ho-Sung] Kyungpook Natl Univ, Sch Life Sci, Plus KNU Creat BioRes Grp BK21, Daegu 41566, South Korea; [Do, Jeong-Mi; Lee, Jae Hak; Kim, Han Soon; Yoon, Ho-Sung] Kyungpook Natl Univ, Coll Nat Sci, Dept Biol, Daegu 41566, South Korea; [Kang, Nam Seon] Natl Marine Biodivers Inst Korea, Dept Taxon &amp; Systemat, Seocheon 33662, South Korea; [Park, Jong Myong] Waterworks Headquarters Incheon Metropolitan City, Water Qual Res Inst, Incheon 22101, South Korea; [Hong, Ji Won] Kyungpook Natl Univ, Dept Hydrogen &amp; Renewable Energy, Daegu 41566, South Korea</t>
  </si>
  <si>
    <t>Kyungpook National University; Kyungpook National University; Kyungpook National University; Marine Biodiversity Institute of Korea (MABIK); Kyungpook National University</t>
  </si>
  <si>
    <t>Yoon, HS (corresponding author), Kyungpook Natl Univ, Adv Bioresource Res Ctr, Daegu 41566, South Korea.;Yoon, HS (corresponding author), Kyungpook Natl Univ, Sch Life Sci, Plus KNU Creat BioRes Grp BK21, Daegu 41566, South Korea.;Yoon, HS (corresponding author), Kyungpook Natl Univ, Coll Nat Sci, Dept Biol, Daegu 41566, South Korea.;Hong, JW (corresponding author), Kyungpook Natl Univ, Dept Hydrogen &amp; Renewable Energy, Daegu 41566, South Korea.</t>
  </si>
  <si>
    <t>jsw8796@gmail.com; leciel631@naver.com; kang3610@mabik.re.kr; eveningwater@hanmail.net; hakis@knu.ac.kr; kimhsu@knu.ac.kr; jwhong@knu.ac.kr; hsy@knu.ac.kr</t>
  </si>
  <si>
    <t>Park, Jong Myong/D-5535-2014</t>
  </si>
  <si>
    <t>Park, Jong Myong/0000-0003-3363-3325; Do, Jeong-Mi/0000-0002-2945-1492; Hong, Ji Won/0000-0002-1460-5217; Lee, JaeHak/0000-0001-5016-6496</t>
  </si>
  <si>
    <t>Kyungpook National University Development Project Research Fund, 2018</t>
  </si>
  <si>
    <t>This research was supported by Kyungpook National University Development Project Research Fund, 2018.</t>
  </si>
  <si>
    <t>2077-1312</t>
  </si>
  <si>
    <t>J MAR SCI ENG</t>
  </si>
  <si>
    <t>J. Mar. Sci. Eng.</t>
  </si>
  <si>
    <t>10.3390/jmse8110935</t>
  </si>
  <si>
    <t>Engineering, Marine; Engineering, Ocean; Oceanography</t>
  </si>
  <si>
    <t>Engineering; Oceanography</t>
  </si>
  <si>
    <t>OX0QQ</t>
  </si>
  <si>
    <t>WOS:000593281000001</t>
  </si>
  <si>
    <t>Fassio, G; Russini, V; Buge, B; Schiaparelli, S; Modica, MV; Bouchet, P; Oliverio, M</t>
  </si>
  <si>
    <t>Fassio, Giulia; Russini, Valeria; Buge, Barbara; Schiaparelli, Stefano; Modica, Maria Vittoria; Bouchet, Philippe; Oliverio, Marco</t>
  </si>
  <si>
    <t>High cryptic diversity in the kleptoparasitic genus Hyalorisia Dall, 1889 (Littorinimorpha: Capulidae) with the description of nine new species from the Indo-West Pacific</t>
  </si>
  <si>
    <t>JOURNAL OF MOLLUSCAN STUDIES</t>
  </si>
  <si>
    <t>NICHE CONSERVATISM; BOUNDARIES; PHYLOGENY</t>
  </si>
  <si>
    <t>Species in the family Capulidae (Littorinimorpha: Capuloidea) display a wide range of shell morphologies. Several species are known to live in association with other benthic invertebrates-mostly bivalves and sabellid worms, but also other gastropods-and are believed to be kleptoparasitic filter feeders that take advantage of the water current produced by the host. This peculiar trophic ecology, implying a sedentary lifestyle, has resulted in highly convergent shell forms. This is particularly true for the genus Hyalorisia Dall, 1889, which occurs in deep water in the Caribbean and Indo-West Pacific provinces, with two nominal species recognized so far. Combining morphological, ecological and molecular data, we assessed the diversity of the genus, its phylogenetic position inside the family and its association with its bivalve host, the genus Propeamussium de Gregorio, 1884 (Pectinoidea), resulting in the description of nine new cryptic species. When sympatric, species of Hyalorisia are associated with different host species, but the same species of Propeamussium may be the host of several allopatric species of Hyalorisia.</t>
  </si>
  <si>
    <t>[Fassio, Giulia; Russini, Valeria; Oliverio, Marco] Sapienza Univ Rome, Dept Biol &amp; Biotechnol Charles Darwin, Zool, Viale Univ 32, I-00185 Rome, Italy; [Buge, Barbara] Museum Natl Hist Nat, Direct Collect, 55 Rue Buffon, F-75005 Paris, France; [Schiaparelli, Stefano] Univ Genoa, DiSTAV, Cso Europa 26, I-16132 Genoa, Italy; [Schiaparelli, Stefano] Italian Natl Antarctic Museum MNA, Sect Genoa, Viale Benedetto XV 5, I-16132 Genoa, Italy; [Modica, Maria Vittoria] Stn Zool Anton Dohrn, Dept Biol &amp; Evolut Marine Organisms, I-80121 Naples, Italy; [Bouchet, Philippe] Sorbonne Univ, MNHN, Museum Natl Hist Nat,EPHE, UPMC,UMR 7205 CNRS,Inst Syst Evolut Biodiversite, 43 Rue Cuvier, F-75231 Paris 05, France</t>
  </si>
  <si>
    <t>Sapienza University Rome; Museum National d'Histoire Naturelle (MNHN); University of Genoa; Stazione Zoologica Anton Dohrn di Napoli; Sorbonne Universite; Museum National d'Histoire Naturelle (MNHN); Universite PSL; Ecole Pratique des Hautes Etudes (EPHE)</t>
  </si>
  <si>
    <t>Fassio, G (corresponding author), Sapienza Univ Rome, Dept Biol &amp; Biotechnol Charles Darwin, Zool, Viale Univ 32, I-00185 Rome, Italy.</t>
  </si>
  <si>
    <t>giuliafassio@gmail.com</t>
  </si>
  <si>
    <t>Russini, Valeria/AAE-4119-2019; OLIVERIO, MARCO/F-2229-2010; Modica, Maria Vittoria/P-8407-2018; Fassio, Giulia/H-2132-2018; Bouchet, Philippe/ABA-9950-2020</t>
  </si>
  <si>
    <t>Russini, Valeria/0000-0001-5127-5686; Modica, Maria Vittoria/0000-0003-2532-6763; Bouchet, Philippe/0000-0001-5864-8676; Fassio, Giulia/0000-0003-1767-1452</t>
  </si>
  <si>
    <t>Total Foundation; Prince Albert II of Monaco Foundation; Stavros Niarchos Foundation; Fonds Europeen de Developpement Regional; Port Autonome de la Guadeloupe; ANR [ANR 12-ISV7-0005-01]; NSC [ANR 12-ISV7-0005-01]</t>
  </si>
  <si>
    <t>Total Foundation(Total SA); Prince Albert II of Monaco Foundation; Stavros Niarchos Foundation; Fonds Europeen de Developpement Regional; Port Autonome de la Guadeloupe; ANR(Agence Nationale de la Recherche (ANR)); NSC(Ministry of Science and Technology, Taiwan)</t>
  </si>
  <si>
    <t>The material in this paper originates from deep water cruises and coastal expeditions conducted over the last 20 years by MNHN and Institut de Recherche pour le Developpement (IRD) as part of the Tropical Deep-Sea Benthos programme and/or by the MNHN and Pro-Natura International (PNI) as part of the Our Planet Reviewed programme. The expeditions (PIs: Philippe Bouchet, TinYam Chan, Wei-Jen Chen, Nicolas Puillandre and Sarah Samadi) were carried out in the Philippines (PANGLAO 2004 and 2005, AURORA 2007), Taiwan and the South China Sea (NANHAI 2014, ZHONGSHA 2015), the Solomon Islands (SALOMON 2), Papua New Guinea (KAVIENG, MADEEP), New Caledonia (CONCALIS, EBISCO, KANACONO, KANADEEP 1, KOUMAC 2.3), Madagascar andMozambique (MIRIKY, MAINBAZA), Guadeloupe (KARUBENTHOS 2) and theMediterranean (CORSICABENTHOS 1). Scientific partners included the University of Papua New Guinea, University of San Carlos (Cebu City) and the Bureau of Fisheries and Aquatic Resources (Manila), Institut d'Halieutique et des SciencesMarines, University of Toliara and the Madagascar Bureau of the Wildlife Conservation Society, Instituto Espanol de Oceanografia, the National Park of Guadeloupe and Universite des Antilles et de la Guyane. Access to ship time was made possible through the Flotte Oceanographique Francaise. Funding was provided by the Total Foundation, Prince Albert II of Monaco Foundation, Stavros Niarchos Foundation, Fonds Europeen de Developpement Regional and Port Autonome de la Guadeloupe. Material from Taiwan and the South China Sea was collected as part of the French-Taiwanese deep-sea project TFDeepEvo funded by ANR and NSC (ANR 12-ISV7-0005-01; PIs: Sarah Samadi and Wei-Jen Chen). All expeditions operated under the regulations then in force in the countries in question. For station lists and contexts of the expeditions, see https://expeditions.mnhn.fr.Southern Ocean material was collected in the framework of several Italian PNRA (Programma Nazionale di Ricerca in Antartide) and Alfred Wegener Institute expeditions and was curated by the Italian National Antarctic Museum (MNA, Section of Genoa). We thank Nicolas Puillandre (MNHN), Yasunori Kano (University of Tokyo) and Tsuyoshi Takano (Meguro Parasitological Museum) for kindly providing some of the DNA sequences. We are thankful to H.H. Dijkstra (Naturalis Biodiversity Center, The Netherlands) for the identification of the Propeamussium species and to Philippe Maestrati (MNHN) for the precious help with bivalve vouchers and photos. We thank Harry Taylor (formerly NHMUK Photographic Unit), Andreia Salvador (NHMUK), Leslie L. Skibinski (Paleontological Research Institution) and Ryutaro Goto (Kyoto University) for providing photos of type material. We thank Bernard M. Landau (Naturalis Biodiversity Center, The Netherlands) for helpful information on fossils. We are grateful to Matteo Garzia (Roma Tre University) for the help during the laboratory work. Andrea Di Giulio and Giulia Scarpato (Roma Tre University) are acknowledged for help with preparations of SEM samples; SEM photos were taken at the Laboratory of Technological and Functional Analyses of Prehistoric Artefacts of Sapienza University of Rome, with the kind help of Cristina Lemorini (Department of Classics). We thank Laura Sadori and Claudia Moricca (Sapienza University of Rome) for assistance with the use of the stereomicroscope at the Laboratory of Archaeobotany and Palynology (Department of Environmental Biology), where the shells were imaged. We thank Virginie Heros (MNHN) for commenting on the draft of the manuscript.; We thank three anonymous reviewers and the managing editor for the helpful comments that allowed us to improve the original manuscript.</t>
  </si>
  <si>
    <t>0260-1230</t>
  </si>
  <si>
    <t>1464-3766</t>
  </si>
  <si>
    <t>J MOLLUS STUD</t>
  </si>
  <si>
    <t>J. Molluscan Stud.</t>
  </si>
  <si>
    <t>10.1093/mollus/eyaa028</t>
  </si>
  <si>
    <t>OW7VP</t>
  </si>
  <si>
    <t>WOS:000593089700012</t>
  </si>
  <si>
    <t>Orlando, M; Pucciarelli, S; Lotti, M</t>
  </si>
  <si>
    <t>Orlando, Marco; Pucciarelli, Sandra; Lotti, Marina</t>
  </si>
  <si>
    <t>Endolysins from Antarctic Pseudomonas Display Lysozyme Activity at Low Temperature</t>
  </si>
  <si>
    <t>MARINE DRUGS</t>
  </si>
  <si>
    <t>cold adaptation; cold-active enzyme; endolysin; glycoside hydrolase 19</t>
  </si>
  <si>
    <t>BACTERIOPHAGE; VERSION; CHALLENGES; CHITINASE; STABILITY; EVOLUTION; ALIGNMENT; ENZYMES</t>
  </si>
  <si>
    <t>Organisms specialized to thrive in cold environments (so-called psychrophiles) produce enzymes with the remarkable ability to catalyze chemical reactions at low temperature. Cold activity relies on adaptive changes in the proteins' sequence and structural organization that result in high conformational flexibility. As a consequence of flexibility, several such enzymes are inherently heat sensitive. Cold-active enzymes are of interest for application in a number of bioprocesses, where cold activity coupled with easy thermal inactivation can be of advantage. We describe the biochemical and functional properties of two glycosyl hydrolases (named LYS177 and LYS188) of family 19 (GH19), identified in the genome of an Antarctic marine Pseudomonas. Molecular evolutionary analysis placed them in a group of characterized GH19 endolysins active on lysozyme substrates, such as peptidoglycan. Enzyme activity peaks at about 25-35 degrees C and 40% residual activity is retained at 5 degrees C. LYS177 and LYS188 are thermolabile, with Tm of 52 and 45 degrees C and half-lives of 48 and 12 h at 37 degrees C, respectively. Bioinformatics analyses suggest that low heat stability may be associated to temperature-driven increases in local flexibility occurring mainly in a specific region of the polypeptide that is predicted to contain hot spots for aggregation.</t>
  </si>
  <si>
    <t>[Orlando, Marco; Lotti, Marina] State Univ Milano Bicocca, Dept Biotechnol &amp; Biosci, I-20126 Milan, Italy; [Pucciarelli, Sandra] Univ Camerino, Sch Biosci &amp; Vet Med, I-62032 Camerino, Italy</t>
  </si>
  <si>
    <t>University of Milano-Bicocca; University of Camerino</t>
  </si>
  <si>
    <t>Lotti, M (corresponding author), State Univ Milano Bicocca, Dept Biotechnol &amp; Biosci, I-20126 Milan, Italy.</t>
  </si>
  <si>
    <t>m.orlando14@campus.unimib.it; sandra.pucciarelli@unicam.it; marina.lotti@unimib.it</t>
  </si>
  <si>
    <t>Orlando, Marco/GXG-1979-2022</t>
  </si>
  <si>
    <t>Orlando, Marco/0000-0002-5914-3052; LOTTI, MARINA/0000-0001-5419-7572</t>
  </si>
  <si>
    <t>University of Milano-Bicocca</t>
  </si>
  <si>
    <t>M.O. acknowledges a PhD fellowship by the University of Milano-Bicocca.</t>
  </si>
  <si>
    <t>1660-3397</t>
  </si>
  <si>
    <t>MAR DRUGS</t>
  </si>
  <si>
    <t>Mar. Drugs</t>
  </si>
  <si>
    <t>10.3390/md18110579</t>
  </si>
  <si>
    <t>Chemistry, Medicinal; Pharmacology &amp; Pharmacy</t>
  </si>
  <si>
    <t>Pharmacology &amp; Pharmacy</t>
  </si>
  <si>
    <t>OX2US</t>
  </si>
  <si>
    <t>WOS:000593426800001</t>
  </si>
  <si>
    <t>Paredes, P; Larama, G; Flores, L; Leyton, A; Ili, CG; Asenjo, JA; Chisti, Y; Shene, C</t>
  </si>
  <si>
    <t>Paredes, Paris; Larama, Giovanni; Flores, Liset; Leyton, Allison; Ili, Carmen Gloria; Asenjo, Juan A.; Chisti, Yusuf; Shene, Carolina</t>
  </si>
  <si>
    <t>Temperature Differentially Affects Gene Expression in Antarctic Thraustochytrid Oblongichytrium sp. RT2316-13</t>
  </si>
  <si>
    <t>gene expression analysis; lipid metabolism; Oblongichytrium sp; polyunsaturated fatty acid synthesis; thraustochytrids</t>
  </si>
  <si>
    <t>POLYUNSATURATED FATTY-ACIDS; DOCOSAHEXAENOIC ACID; EICOSAPENTAENOIC ACID; LIPIDS; ACTIVATION; GROWTH; YEAST; DHA</t>
  </si>
  <si>
    <t>Oblongichytrium RT2316-13 synthesizes lipids rich in eicosapentaenoic acid (EPA) and docosahexaenoic acid (DHA). The content of these fatty acids in the total lipids depended on growth temperature. Sequencing technology was used in this work to examine the thraustochytrid's response to a decrease in growth temperature from 15 degrees C to 5 degrees C. Around 4% (2944) of the genes were differentially expressed (DE) and only a few of the DE genes (533 upregulated; 206 downregulated) had significant matches to those in the SwissProt database. Most of the annotated DE genes were related to cell membrane composition (fatty acids, sterols, phosphatidylinositol), the membrane enzymes linked to cell energetics, and membrane structure (cytoskeletal proteins and enzymes). In RT2316-13, the synthesis of long-chain polyunsaturated fatty acids occurred through omega 3- and omega 6-pathways. Enzymes of the alternative pathways (Delta 8-desaturase and Delta 9-elongase) were also expressed. The upregulation of the genes coding for a Delta 5-desaturase and a Delta 5-elongase involved in the synthesis of EPA and DHA, explained the enrichment of total lipid with these two long-chain fatty acids at the low temperature. This molecular response has the potential to be used for producing microbial lipids with a fatty acids profile similar to that of fish oils.</t>
  </si>
  <si>
    <t>[Paredes, Paris; Flores, Liset; Leyton, Allison; Shene, Carolina] Univ La Frontera, Dept Chem Engn, Ctr Food Biotechnol &amp; Bioseparat, BIOREN, Ave Francisco Salazar 01145, Temuco 4780000, Chile; [Paredes, Paris; Flores, Liset; Leyton, Allison; Shene, Carolina] Univ La Frontera, Ctr Biotechnol &amp; Bioengn CeBiB, Ave Francisco Salazar 01145, Temuco 4780000, Chile; [Larama, Giovanni] Univ La Frontera, Ctr Modelac &amp; Computac Cient, Ave Francisco Salazar 01145, Temuco 4780000, Chile; [Ili, Carmen Gloria] Univ La Frontera, Ctr Excelencia Med Traslac Sci &amp; Technol Bioresou, Ave Alemania 0478, Temuco 4810296, Chile; [Asenjo, Juan A.] Univ Chile, Dept Chem Engn &amp; Biotechnol, Ctr Biotechnol &amp; Bioengn CeBiB, Beauchef 851, Santiago 8370459, Chile; [Chisti, Yusuf] Massey Univ, Sch Engn, Private Bag 11 222, Palmerston North 4442, New Zealand</t>
  </si>
  <si>
    <t>Universidad de La Frontera; Universidad de La Frontera; Universidad de La Frontera; Universidad de La Frontera; Universidad de Chile; Massey University</t>
  </si>
  <si>
    <t>Shene, C (corresponding author), Univ La Frontera, Dept Chem Engn, Ctr Food Biotechnol &amp; Bioseparat, BIOREN, Ave Francisco Salazar 01145, Temuco 4780000, Chile.;Shene, C (corresponding author), Univ La Frontera, Ctr Biotechnol &amp; Bioengn CeBiB, Ave Francisco Salazar 01145, Temuco 4780000, Chile.</t>
  </si>
  <si>
    <t>p.paredes03@ufromail.cl; giovanni.larama@ufrontera.cl; liset.flores@ufrontera.cl; allison.leyton@ufrontera.cl; carmen.ili@ufrontera.cl; juasenjo@ing.uchile.cl; Y.Chisti@massey.ac.nz; Carolina.shene@ufrontera.cl</t>
  </si>
  <si>
    <t>Larama, Giovanni/O-2745-2019; Asenjo, Juan JAA/L-8336-2013; Larama, Giovanni/IAN-1822-2023; Chisti, Mohammad Muhsin/T-7760-2017</t>
  </si>
  <si>
    <t>Chisti, Mohammad Muhsin/0000-0002-2676-9577; Larama, Giovanni/0000-0002-9658-7752; Chisti, Yusuf/0000-0002-0826-7012; Ili, Carmen/0000-0002-4009-4406; Paredes, Paris/0000-0002-4467-6913</t>
  </si>
  <si>
    <t>Instituto Antartico Chileno (INACH), project Inach [RT 23-16]; Conicyt, project Centre for Biotechnology and Bioengineering (CeBiB) [FB-0001]</t>
  </si>
  <si>
    <t>Instituto Antartico Chileno (INACH), project Inach; Conicyt, project Centre for Biotechnology and Bioengineering (CeBiB)</t>
  </si>
  <si>
    <t>This research was funded by Instituto Antartico Chileno (INACH), project Inach RT 23-16, and Conicyt, project Centre for Biotechnology and Bioengineering (CeBiB) FB-0001.</t>
  </si>
  <si>
    <t>10.3390/md18110563</t>
  </si>
  <si>
    <t>OX6OP</t>
  </si>
  <si>
    <t>WOS:000593681700001</t>
  </si>
  <si>
    <t>Araya, MA; Valenzuela, T; Inostroza, NG; Maruyama, F; Jorquera, MA; Acuña, JJ</t>
  </si>
  <si>
    <t>Araya, Macarena A.; Valenzuela, Tamara; Inostroza, Nitza G.; Maruyama, Fumito; Jorquera, Milko A.; Acuna, Jacquelinne J.</t>
  </si>
  <si>
    <t>Isolation and Characterization of Cold-Tolerant Hyper-ACC-Degrading Bacteria from the Rhizosphere, Endosphere, and Phyllosphere of Antarctic Vascular Plants</t>
  </si>
  <si>
    <t>MICROORGANISMS</t>
  </si>
  <si>
    <t>Antarctic vascular plants; ACC-degrading bacteria; Colobanthus quitensis; Deschampsia Antarctica; plant microbiome; plant growth-promoting bacteria</t>
  </si>
  <si>
    <t>DESCHAMPSIA-ANTARCTICA; EPIPHYTIC BACTERIA; GROWTH; DIVERSITY; RHIZOBACTERIA; AGROECOSYSTEMS; CONSORTIA; MOSS; SOIL</t>
  </si>
  <si>
    <t>1-Aminociclopropane-1-carboxylate (ACC)-degrading bacteria having been widely studied for their use in alleviating abiotic stresses in plants. In the present study, we isolated and characterized ACC-degrading bacteria from the rhizosphere, phyllosphere, and endosphere of the Antarctic vascular plants Deschampsia antarctica and Colobanthus quitensis. One hundred and eighty of the 578 isolates (31%) were able to grow on minimal medium containing ACC, with 101 isolates (23, 37, and 41 endosphere-, phyllosphere- and rhizosphere-associated isolates, respectively) identified as being genetically unique by enterobacterial repetitive intergenic consensus (ERIC)-PCR. Subsequently, freeze/thaw treatments and ice-recrystallization-inhibition (IRI) activity assays were performed, the results of which revealed that 77 (13%) of cold-tolerant isolates exhibited putative ACC deaminase activity. Significant (p &lt;= 0.05) differences in IRI activity were also observed between the studied plant niches. Surprisingly, all the cold-tolerant isolates showed ACC deaminase activity, independent of the plant niches, with 12 isolates showing the highest ACC deaminase activities of 13.21-39.56 mmol alpha KB mg protein(-1) h(-1). These isolates were categorized as 'cold-tolerant hyper-ACC-degrading bacteria', and identified as members of Pseudomonas, Serratia, and Staphylococcus genera. The results revealed the occurrence of cold-tolerant hyper-ACC-degrading bacteria in diverse plant niches of Antarctic vascular plants, that could be investigated as novel microbial inoculants to alleviate abiotic stresses in plants.</t>
  </si>
  <si>
    <t>[Araya, Macarena A.; Valenzuela, Tamara; Inostroza, Nitza G.; Maruyama, Fumito; Jorquera, Milko A.; Acuna, Jacquelinne J.] Univ La Frontera, Dept Ciencias Quim &amp; Recursos Nat, Lab Ecol Microbiana Aplicada EMALAB, Ave Francisco Salazar, Temuco 01145, Chile; [Inostroza, Nitza G.; Jorquera, Milko A.; Acuna, Jacquelinne J.] Univ La Frontera, Sci &amp; Technol Bioresource Nucleus BIOREN, Network Extreme Environm Res NEXER, Ave Francisco Salazar, Temuco 01145, Chile; [Inostroza, Nitza G.; Maruyama, Fumito; Jorquera, Milko A.; Acuna, Jacquelinne J.] Univ La Frontera, Sci &amp; Technol Bioresource Nucleus BIOREN, Ctr Plant Soil Interact &amp; Nat Resources Biotechno, Ave Francisco Salazar, Temuco 01145, Chile; [Maruyama, Fumito] Hiroshima Univ, Off Ind Acad Govt &amp; Community Collaborat, Microbial Genom &amp; Ecol, Hiroshima 7398529, Japan; [Maruyama, Fumito; Jorquera, Milko A.; Acuna, Jacquelinne J.] Hiroshima Univ, Ctr Holobiome &amp; Built Environm CHOBE, Hiroshima 7398529, Japan</t>
  </si>
  <si>
    <t>Universidad de La Frontera; Universidad de La Frontera; Universidad de La Frontera; Hiroshima University; Hiroshima University</t>
  </si>
  <si>
    <t>Acuña, JJ (corresponding author), Univ La Frontera, Dept Ciencias Quim &amp; Recursos Nat, Lab Ecol Microbiana Aplicada EMALAB, Ave Francisco Salazar, Temuco 01145, Chile.;Acuña, JJ (corresponding author), Univ La Frontera, Sci &amp; Technol Bioresource Nucleus BIOREN, Network Extreme Environm Res NEXER, Ave Francisco Salazar, Temuco 01145, Chile.;Acuña, JJ (corresponding author), Univ La Frontera, Sci &amp; Technol Bioresource Nucleus BIOREN, Ctr Plant Soil Interact &amp; Nat Resources Biotechno, Ave Francisco Salazar, Temuco 01145, Chile.;Acuña, JJ (corresponding author), Hiroshima Univ, Ctr Holobiome &amp; Built Environm CHOBE, Hiroshima 7398529, Japan.</t>
  </si>
  <si>
    <t>m.araya04@ufromail.cl; t.valenzuela03@ufromail.cl; nitza.inostroza@ufrontera.cl; fumito@hiroshima-u.ac.jp; milko.jorquera@ufrontera.cl; jacquelinne.acuna@ufrontera.cl</t>
  </si>
  <si>
    <t>Valenzuela, Tamara/AAT-7038-2021; Jorquera, Milko Alberto/B-7378-2011; Maruyama, Fumito/AAK-5928-2020</t>
  </si>
  <si>
    <t>Maruyama, Fumito/0000-0003-2347-616X; JORQUERA, MILKO/0000-0003-4760-6379; Acuna, Jacquelinne/0000-0002-7752-166X</t>
  </si>
  <si>
    <t>Chilean Antarctic Institute (INACH) [RT_02_16]; National Fund for Scientific and Technological Development (FONDECYT) [1201386]; SATREPS-MACH JST/JICA Japan [JPMJSA1705]; FONDEQUIP [EQM170171]; Vicerrectoria de Investigacion y Postgrado, Universidad de La Frontera; Program 'Apoyo a Profesores Patrocinantes de Alumnos de Pre y Postgrado', Vicerrectoria de Investigacion y Postgrado, Universidad de La Frontera [DI19-2016]</t>
  </si>
  <si>
    <t>Chilean Antarctic Institute (INACH); National Fund for Scientific and Technological Development (FONDECYT)(Comision Nacional de Investigacion Cientifica y Tecnologica (CONICYT)CONICYT FONDECYT); SATREPS-MACH JST/JICA Japan; FONDEQUIP; Vicerrectoria de Investigacion y Postgrado, Universidad de La Frontera; Program 'Apoyo a Profesores Patrocinantes de Alumnos de Pre y Postgrado', Vicerrectoria de Investigacion y Postgrado, Universidad de La Frontera</t>
  </si>
  <si>
    <t>This study was funded by the Chilean Antarctic Institute (INACH) project code RT_02_16. The authors also thank The National Fund for Scientific and Technological Development (FONDECYT) project no. 1201386 (to J.J.A. and M.A.J.), SATREPS-MACH JST/JICA Japan code JPMJSA1705 (to J.J.A., F.M. and M.A.J.), FONDEQUIP code EQM170171 (to M.A.J.), Vicerrectoria de Investigacion y Postgrado, Universidad de La Frontera (to T.V), and Program `Apoyo a Profesores Patrocinantes de Alumnos de Pre y Postgrado' code DI19-2016, Vicerrectoria de Investigacion y Postgrado, Universidad de La Frontera (to T.V.).</t>
  </si>
  <si>
    <t>2076-2607</t>
  </si>
  <si>
    <t>Microorganisms</t>
  </si>
  <si>
    <t>10.3390/microorganisms8111788</t>
  </si>
  <si>
    <t>OW9GQ</t>
  </si>
  <si>
    <t>WOS:000593186800001</t>
  </si>
  <si>
    <t>Sommers, P; Porazinska, DL; Darcy, JL; Gendron, EMS; Vimercati, L; Solon, AJ; Schmidt, SK</t>
  </si>
  <si>
    <t>Sommers, Pacifica; Porazinska, Dorota L.; Darcy, John L.; Gendron, Eli M. S.; Vimercati, Lara; Solon, Adam J.; Schmidt, Steven K.</t>
  </si>
  <si>
    <t>Microbial Species-Area Relationships in Antarctic Cryoconite Holes Depend on Productivity</t>
  </si>
  <si>
    <t>Antarctica; bacteria; biogeography; cryoconite; eukaryotes; glacier; ISAR; species– area relationship</t>
  </si>
  <si>
    <t>MCMURDO DRY VALLEYS; PROTISTAN DIVERSITY; ISLAND SIZE; ENERGY; BIODIVERSITY; EVOLUTION; PATTERNS; GLACIERS; SYSTEMS</t>
  </si>
  <si>
    <t>The island species-area relationship (ISAR) is a positive association between the number of species and the area of an isolated, island-like habitat. ISARs are ubiquitous across domains of life, yet the processes generating ISARs remain poorly understood, particularly for microbes. Larger and more productive islands are hypothesized to have more species because they support larger populations of each species and thus reduce the probability of stochastic extinctions in small population sizes. Here, we disentangled the effects of island size and productivity on the ISAR of Antarctic cryoconite holes. We compared the species richness of bacteria and microbial eukaryotes on two glaciers that differ in their productivity across varying hole sizes. We found that cryoconite holes on the more productive Canada Glacier gained more species with increasing hole area than holes on the less productive Taylor Glacier. Within each glacier, neither productivity nor community evenness explained additional variation in the ISAR. Our results are, therefore, consistent with productivity shaping microbial ISARs at broad scales. More comparisons of microbial ISARs across environments with limited confounding factors, such as cryoconite holes, and experimental manipulations within these systems will further contribute to our understanding of the processes shaping microbial biogeography.</t>
  </si>
  <si>
    <t>[Sommers, Pacifica; Vimercati, Lara; Solon, Adam J.; Schmidt, Steven K.] Univ Colorado, Dept Ecol &amp; Evolutionary Biol, Boulder, CO 80309 USA; [Porazinska, Dorota L.; Gendron, Eli M. S.] Univ Florida, Dept Entomol &amp; Nematol, Gainesville, FL 32611 USA; [Darcy, John L.] Univ Colorado, Sch Med, Div Biomed Informat &amp; Personalized Med, Aurora, CO 80045 USA</t>
  </si>
  <si>
    <t>University of Colorado System; University of Colorado Boulder; State University System of Florida; University of Florida; University of Colorado System; University of Colorado Anschutz Medical Campus</t>
  </si>
  <si>
    <t>Sommers, P (corresponding author), Univ Colorado, Dept Ecol &amp; Evolutionary Biol, Boulder, CO 80309 USA.</t>
  </si>
  <si>
    <t>pacifica.sommers@colorado.edu; dorotalp@ufl.edu; darcyj@colorado.edu; eli.gendron@colorado.edu; lara.vimercati@colorado.edu; adam.solon@colorado.edu; steve.schmidt@colorado.edu</t>
  </si>
  <si>
    <t>SCHMIDT, STEVEN K/G-2771-2010</t>
  </si>
  <si>
    <t>SCHMIDT, STEVEN K/0000-0002-9175-2085; Vimercati, Lara/0000-0001-8228-7786; PORAZINSKA, DOROTA/0000-0002-0493-9926; Gendron, Eli/0000-0002-2552-4658</t>
  </si>
  <si>
    <t>National Science Foundation [1443578]; University of Colorado Boulder Libraries Open Access Fund</t>
  </si>
  <si>
    <t>National Science Foundation(National Science Foundation (NSF)); University of Colorado Boulder Libraries Open Access Fund</t>
  </si>
  <si>
    <t>This research was funded by the National Science Foundation, grant number 1443578. Publication of this article was funded by the University of Colorado Boulder Libraries Open Access Fund.</t>
  </si>
  <si>
    <t>10.3390/microorganisms8111747</t>
  </si>
  <si>
    <t>OX1ZZ</t>
  </si>
  <si>
    <t>WOS:000593372900001</t>
  </si>
  <si>
    <t>Zhong, Y; Zhang, X; Sun, ZL; Liu, JN; Li, W; Ma, YL; Liu, WL; Xia, B; Guan, Y</t>
  </si>
  <si>
    <t>Zhong, Yun; Zhang, Xu; Sun, Zhilei; Liu, Jinnan; Li, Wei; Ma, Yaoliang; Liu, Weiliang; Xia, Bin; Guan, Yao</t>
  </si>
  <si>
    <t>Sr-Nd-Pb-Hf Isotopic Constraints on the Mantle Heterogeneities beneath the South Mid-Atlantic Ridge at 18-21°S</t>
  </si>
  <si>
    <t>MINERALS</t>
  </si>
  <si>
    <t>Sr– Nd– Pb– Hf isotopes; mantle heterogeneities; plume– ridge interaction; St; Helena plume; South Mid-Atlantic Ridge</t>
  </si>
  <si>
    <t>PACIFIC-ANTARCTIC RIDGE; TRACE-ELEMENT EVIDENCE; OCEANIC-CRUST; INDIAN-OCEAN; GEOCHEMICAL CHARACTERISTICS; HOTSPOT INTERACTION; MIDOCEAN RIDGES; ALKALI BASALTS; MAGMA GENESIS; PLUMES</t>
  </si>
  <si>
    <t>In an attempt to investigate the nature and origin of mantle heterogeneities beneath the South Mid-Atlantic Ridge (SMAR), we report new whole-rock Sr, Nd, Pb, and Hf isotopic data from eight basalt samples at four dredge stations along the SMAR between 18 degrees S and 21 degrees S. Sr, Nd, and Pb isotopic data from SMAR mid-ocean ridge basalts (MORBs) at 18-21 degrees S published by other researchers were also utilized in this study. The SMAR MORBs at 18-21 degrees S feature the following ratio ranges: Sr-87/Sr-86 = 0.70212 to 0.70410, Nd-143/Nd-144 = 0.512893 to 0.513177, Pb-206/Pb-204 = 18.05 to 19.50, Pb-207/Pb-204 = 15.47 to 15.71, Pb-208/Pb-204 = 37.87 to 38.64, and Hf-176/Hf-177 = 0.283001 to 0.283175. The Sr-87/Sr-86, Nd-143/Nd-144, Pb-206/Pb-204, and Hf-176/Hf-177 ratios of these MORBs varied considerably along the SMAR axis. The variable compositions of the Sr-Nd-Pb-Hf isotopes, combined with the corresponding whole-rock major and trace elemental abundances reported in previous studies, suggest that the SMAR MORBs at 18-21 degrees S were probably derived from a heterogeneous mantle substrate related to a mixture of depleted mantle (DM) materials with a small amount (but variable input) of HIMU (high-mu, where mu = U-238/Pb-204)- and enriched (EMII)-type materials. The HIMU-type materials likely originated from the proximal St. Helena plume and may have been transported through pipe-like inclined sublithospheric channels into the SMAR axial zone. The EMII-type materials possibly originated from a recycled metasomatized oceanic crust that may have been derived from the early dispersion of other plume heads into the subcontinental asthenosphere prior to the opening of the South Atlantic Ocean. In addition, the contributions of subducted sediments, continental crust, and subcontinental lithospheric mantle components to the formation of the SMAR MORBs at 18-21 degrees S may be nonexistent or negligible.</t>
  </si>
  <si>
    <t>[Zhong, Yun; Zhang, Xu; Sun, Zhilei; Li, Wei; Ma, Yaoliang; Liu, Weiliang; Xia, Bin] Sun Yat Sen Univ, Sch Marine Sci, Guangzhou 510006, Peoples R China; [Zhong, Yun; Sun, Zhilei; Liu, Weiliang] Qingdao Inst Marine Geol, Minist Nat Resources, Key Lab Gas Hydrate, Qingdao 266071, Peoples R China; [Zhang, Xu; Li, Wei; Ma, Yaoliang; Xia, Bin] Sun Yat Sen Univ, Sch Marine Sci, Guangdong Prov Key Lab Marine Resources &amp; Coastal, Guangdong Univ Key Lab Offshore Oil Explorat &amp; De, Guangzhou 510006, Peoples R China; [Zhang, Xu; Li, Wei; Ma, Yaoliang; Xia, Bin] Southern Lab Ocean Sci &amp; Engn Guangdong Zhuhai, Zhuhai 519000, Peoples R China; [Liu, Jinnan] Yunnan Seismol Bur, Kunming 530100, Yunnan, Peoples R China; [Guan, Yao] Minist Nat Resources, Inst Oceanog 4, Beihai 536000, Peoples R China</t>
  </si>
  <si>
    <t>Sun Yat Sen University; Ministry of Natural Resources of the People's Republic of China; China Geological Survey; Qingdao Institute of Marine Geology (QIMG); Sun Yat Sen University; Ministry of Natural Resources of the People's Republic of China; Fourth Institute of Oceanography, Ministry of Natural Resources</t>
  </si>
  <si>
    <t>Liu, WL (corresponding author), Sun Yat Sen Univ, Sch Marine Sci, Guangzhou 510006, Peoples R China.;Liu, WL (corresponding author), Qingdao Inst Marine Geol, Minist Nat Resources, Key Lab Gas Hydrate, Qingdao 266071, Peoples R China.</t>
  </si>
  <si>
    <t>zhongy73@mail.sysu.edu.cn; zhangx729@mail2.sysu.edu.cn; zhileisun@yeah.net; liujn27@mail2.sysu.edu.cn; liwei237@mail2.sysu.edu.cn; mayliang@mail2.sysu.edu.cn; liuweil@mail.sysu.edu.cn; xiabin08@outlook.com; guanyao@mail2.sysu.edu.cn</t>
  </si>
  <si>
    <t>Zhong, Yun/HCH-6868-2022</t>
  </si>
  <si>
    <t>National Nature Science Foundation of China [41972049, 41472054, 41373012]; Guangzhou Science Technology and Innovation Commission Project [201904010138]; State Key Laboratory of Isotope Geochemistry, Guangzhou Institute of Geochemistry, Chinese Academy of Sciences [SKLaBIG-KF-18-11]; China State Scholarship Fund of visiting scholar [20170638507]; Special Fund for Basic Scientific Research of Central Colleges, Chang'an University [300102269504, 300102268502, 300102260502]; National Higher Education Quality Monitoring Data Center of Sun Yat-sen University [G1914]; SYSU Course Construction Project for Postgraduates [201922]</t>
  </si>
  <si>
    <t>National Nature Science Foundation of China(National Natural Science Foundation of China (NSFC)); Guangzhou Science Technology and Innovation Commission Project; State Key Laboratory of Isotope Geochemistry, Guangzhou Institute of Geochemistry, Chinese Academy of Sciences; China State Scholarship Fund of visiting scholar; Special Fund for Basic Scientific Research of Central Colleges, Chang'an University; National Higher Education Quality Monitoring Data Center of Sun Yat-sen University; SYSU Course Construction Project for Postgraduates</t>
  </si>
  <si>
    <t>This work was supported by the National Nature Science Foundation of China (grant numbers 41972049, 41472054, 41373012); Guangzhou Science Technology and Innovation Commission Project (grant number 201904010138); a research grant from the State Key Laboratory of Isotope Geochemistry, Guangzhou Institute of Geochemistry, Chinese Academy of Sciences (grant number SKLaBIG-KF-18-11); China State Scholarship Fund of visiting scholar (grant number 20170638507); the Special Fund for Basic Scientific Research of Central Colleges, Chang'an University (grant numbers 300102269504, 300102268502, 300102260502); National Higher Education Quality Monitoring Data Center of Sun Yat-sen University (grant number G1914) and SYSU Course Construction Project for Postgraduates (grant number 201922).</t>
  </si>
  <si>
    <t>2075-163X</t>
  </si>
  <si>
    <t>MINERALS-BASEL</t>
  </si>
  <si>
    <t>Minerals</t>
  </si>
  <si>
    <t>10.3390/min10111010</t>
  </si>
  <si>
    <t>Geochemistry &amp; Geophysics; Mineralogy; Mining &amp; Mineral Processing</t>
  </si>
  <si>
    <t>OX0UG</t>
  </si>
  <si>
    <t>WOS:000593290400001</t>
  </si>
  <si>
    <t>Habib, S; Iruthayam, A; Abd Shukor, MY; Alias, SA; Smykla, J; Yasid, NA</t>
  </si>
  <si>
    <t>Habib, Syahir; Iruthayam, Anastasia; Abd Shukor, Mohd Yunus; Alias, Siti Aisyah; Smykla, Jerzy; Yasid, Nur Adeela</t>
  </si>
  <si>
    <t>Biodeterioration of Untreated Polypropylene Microplastic Particles by Antarctic Bacteria</t>
  </si>
  <si>
    <t>POLYMERS</t>
  </si>
  <si>
    <t>plastic pollution; pristine fellfield soil; polypropylene; Pseudomonas sp; Rhodococcus sp</t>
  </si>
  <si>
    <t>PRETREATED POLYPROPYLENE; DEGRADATION; BACILLUS; PSEUDOMONAS; GROWTH; BIODEGRADATION; ECOSYSTEMS; POLLUTION; PLASTICS; WATER</t>
  </si>
  <si>
    <t>Microplastic pollution is globally recognised as a serious environmental threat due to its ubiquitous presence related primarily to improper dumping of plastic wastes. While most studies have focused on microplastic contamination in the marine ecosystem, microplastic pollution in the soil environment is generally little understood and often overlooked. The presence of microplastics affects the soil ecosystem by disrupting the soil fertility and quality, degrading the food web, and subsequently influencing both food security and human health. This study evaluates the growth and biodegradation potential of the Antarctic soil bacteria Pseudomonas sp. ADL15 and Rhodococcus sp. ADL36 on the polypropylene (PP) microplastics in Bushnell Haas (BH) medium for 40 days. The degradation was monitored based on the weight loss of PP microplastics, removal rate constant per day (K), and their half-life. The validity of the PP microplastics' biodegradation was assessed through structural changes via Fourier transform infrared spectroscopy analyses. The weight loss percentage of the PP microplastics by ADL15 and ADL36 after 40 days was 17.3% and 7.3%, respectively. The optimal growth in the BH media infused with PP microplastics was on the 40th and 30th day for ADL15 and ADL36, respectively. The infrared spectroscopic analysis revealed significant changes in the PP microplastics' functional groups following the incubation with Antarctic strains.</t>
  </si>
  <si>
    <t>[Habib, Syahir; Iruthayam, Anastasia; Abd Shukor, Mohd Yunus; Yasid, Nur Adeela] Univ Putra Malaysia, Fac Biotechnol &amp; Biomol Sci, Dept Biochem, Serdang 43400, Selangor, Malaysia; [Alias, Siti Aisyah] Univ Malaya, Inst Ocean &amp; Earth Sci, Inst Postgrad Studies C308, Kuala Lumpur 50603, Malaysia; [Alias, Siti Aisyah] Univ Malaya, Natl Antarctic Res Ctr, B303 Level 3,Block B,IPS Bldg, Kuala Lumpur 50603, Malaysia; [Smykla, Jerzy] Polish Acad Sci, Inst Nat Conservat, Mickiewicza 33, PL-31120 Krakow, Poland</t>
  </si>
  <si>
    <t>Universiti Putra Malaysia; Universiti Malaya; Universiti Malaya; Polish Academy of Sciences</t>
  </si>
  <si>
    <t>Yasid, NA (corresponding author), Univ Putra Malaysia, Fac Biotechnol &amp; Biomol Sci, Dept Biochem, Serdang 43400, Selangor, Malaysia.</t>
  </si>
  <si>
    <t>syahirhabib@gmail.com; anastasia1219@outlook.my; mohdyunus@upm.edu.my; saa@um.edu.my; jerzysmykla@yahoo.com; adeela@upm.edu.my</t>
  </si>
  <si>
    <t>FASc, SITI AISYAH A. HJ ALIAS/B-9785-2010; Yasid, Nur Adeela/AAL-8044-2020; shukor, yunus/AAB-7087-2020; Smykla, Jerzy/N-3288-2014</t>
  </si>
  <si>
    <t>FASc, SITI AISYAH A. HJ ALIAS/0000-0002-6759-5745; shukor, yunus/0000-0002-6150-2114; Smykla, Jerzy/0000-0001-8228-6695; Yasid, Nur Adeela/0000-0002-1278-0206</t>
  </si>
  <si>
    <t>Putra Young Initiative (IPM) under Universiti Putra Malaysia [9476900]; Putra Graduate Initiative (IPS) under Universiti Putra Malaysia [9508500]</t>
  </si>
  <si>
    <t>Putra Young Initiative (IPM) under Universiti Putra Malaysia; Putra Graduate Initiative (IPS) under Universiti Putra Malaysia</t>
  </si>
  <si>
    <t>This research was funded by the Putra Young Initiative (IPM), grant number 9476900, and the Putra Graduate Initiative (IPS), grant number 9508500, under Universiti Putra Malaysia funding.</t>
  </si>
  <si>
    <t>2073-4360</t>
  </si>
  <si>
    <t>POLYMERS-BASEL</t>
  </si>
  <si>
    <t>Polymers</t>
  </si>
  <si>
    <t>10.3390/polym12112616</t>
  </si>
  <si>
    <t>Polymer Science</t>
  </si>
  <si>
    <t>OX7JR</t>
  </si>
  <si>
    <t>WOS:000593736800001</t>
  </si>
  <si>
    <t>Sakerin, SM; Kabanov, DM; Makarov, VI; Pol'kin, VV; Popova, SA; Chankina, OV; Pochufarov, AO; Radionov, VE; Rize, DD</t>
  </si>
  <si>
    <t>Sakerin, Sergey M.; Kabanov, Dmitry M.; Makarov, Valery, I; Pol'kin, Viktor V.; Popova, Svetlana A.; Chankina, Olga, V; Pochufarov, Anton O.; Radionov, Vladimir E.; Rize, Denis D.</t>
  </si>
  <si>
    <t>Spatial Distribution of Atmospheric Aerosol Physicochemical Characteristics in the Russian Sector of the Arctic Ocean</t>
  </si>
  <si>
    <t>ATMOSPHERE</t>
  </si>
  <si>
    <t>Arctic Ocean; aerosol; black carbon; organic and elemental carbon; elemental composition</t>
  </si>
  <si>
    <t>BLACK CARBON; OPTICAL-PROPERTIES; TIKSI STATION; AIR; BROMINE; SMOKE; REGION; HAZE</t>
  </si>
  <si>
    <t>The results from studies of aerosol in the Arctic atmosphere are presented: the aerosol optical depth (AOD), the concentrations of aerosol and black carbon, as well as the chemical composition of the aerosol. The average aerosol characteristics, measured during nine expeditions (2007-2018) in the Eurasian sector of the Arctic Ocean, had been 0.068 for AOD (0.5 mu m); 2.95 cm(-3) for particle number concentrations; 32.1 ng/m(3) for black carbon mass concentrations. Approximately two-fold decrease of the average characteristics in the eastern direction (from the Barents Sea to Chukchi Sea) is revealed in aerosol spatial distribution. The average aerosol characteristics over the Barents Sea decrease in the northern direction: black carbon concentrations by a factor of 1.5; particle concentrations by a factor of 3.7. These features of the spatial distribution are caused mainly by changes in the content of fine aerosol, namely: by outflows of smokes from forest fires and anthropogenic aerosol. We considered separately the measurements of aerosol characteristics during two expeditions in 2019: in the north of the Barents Sea (April) and along the Northern Sea Route (July-September). In the second expedition the average aerosol characteristics turned out to be larger than multiyear values: AOD reached 0.36, particle concentration up to 8.6 cm(-3), and black carbon concentration up to 179 ng/m(3). The increased aerosol content was affected by frequent outflows of smoke from forest fires. The main (99%) contribution to the elemental composition of aerosol in the study regions was due to Ca, K, Fe, Zn, Br, Ni, Cu, Mn, and Sr. The spatial distribution of the chemical composition of aerosols was analogous to that of microphysical characteristics. The lowest concentrations of organic and elemental carbon (OC, EC) and of most elements are observed in April in the north of the Barents Sea, and the maximal concentrations in Far East seas and in the south of the Barents Sea. The average contents of carbon in aerosol over seas of the Asian sector of the Arctic Ocean are OC = 629 ng/m(3), EC = 47 ng/m(3).</t>
  </si>
  <si>
    <t>[Sakerin, Sergey M.; Kabanov, Dmitry M.; Pol'kin, Viktor V.; Pochufarov, Anton O.] Russian Acad Sci, VE Zuev Inst Atmospher Opt, Siberian Branch, Academician Zuev Sq 1, Tomsk 634021, Russia; [Makarov, Valery, I; Popova, Svetlana A.; Chankina, Olga, V] Russian Acad Sci, VV Voevodsky Inst Chem Kinet &amp; Combust, Siberian Branch, Inst Skaya 3, Novosibirsk 630090, Russia; [Radionov, Vladimir E.; Rize, Denis D.] Arctic &amp; Antarctic Res Inst, 38 Bering Str, St Petersburg 199397, Russia</t>
  </si>
  <si>
    <t>Russian Academy of Sciences; Zuev Institute of Atmospheric Optics, Siberian Branch of the Russian Academy of Sciences; Russian Academy of Sciences; Voevodsky Institute of Chemical Kinetics &amp; Combustion SB RAS; Arctic &amp; Antarctic Research Institute</t>
  </si>
  <si>
    <t>Sakerin, SM (corresponding author), Russian Acad Sci, VE Zuev Inst Atmospher Opt, Siberian Branch, Academician Zuev Sq 1, Tomsk 634021, Russia.</t>
  </si>
  <si>
    <t>sms@iao.ru; dkab@iao.ru; makarov@kinetics.nsc.ru; victor@iao.ru; popova@kinetics.nsc.ru; chankina@kinetics.nsc.ru; poa216@iao.ru; vradion@aari.ru; denis94@yandex.ru</t>
  </si>
  <si>
    <t>Kabanov, Dmitry M./A-5805-2014; Kabanov, Dmitry/A-4871-2014; Sakerin, Sergey/A-6508-2014; Makarov, Valery/AAC-2933-2022; Popova, Svetlana/AAC-2922-2022</t>
  </si>
  <si>
    <t>Popova, Svetlana/0000-0002-5875-8207</t>
  </si>
  <si>
    <t>Ministry of Science and Higher Education of the Russian Federation [AAAA-A17-117021310142-5]</t>
  </si>
  <si>
    <t>Ministry of Science and Higher Education of the Russian Federation</t>
  </si>
  <si>
    <t>This work was supported by the Ministry of Science and Higher Education of the Russian Federation (Project No. AAAA-A17-117021310142-5).</t>
  </si>
  <si>
    <t>2073-4433</t>
  </si>
  <si>
    <t>ATMOSPHERE-BASEL</t>
  </si>
  <si>
    <t>Atmosphere</t>
  </si>
  <si>
    <t>10.3390/atmos11111170</t>
  </si>
  <si>
    <t>OW6WY</t>
  </si>
  <si>
    <t>WOS:000593025600001</t>
  </si>
  <si>
    <t>Lauritano, C; Roncalli, V; Ambrosino, L; Cieslak, MC; Ianora, A</t>
  </si>
  <si>
    <t>Lauritano, Chiara; Roncalli, Vittoria; Ambrosino, Luca; Cieslak, Matthew C.; Ianora, Adrianna</t>
  </si>
  <si>
    <t>First De Novo Transcriptome of the Copepod Rhincalanus gigas from Antarctic Waters</t>
  </si>
  <si>
    <t>BIOLOGY-BASEL</t>
  </si>
  <si>
    <t>copepod; transcriptome; South Shetland Trench; Antarctic waters</t>
  </si>
  <si>
    <t>LIFE-CYCLE; GENE; EXPRESSION; CALANOIDA; RESOURCE</t>
  </si>
  <si>
    <t>Simple Summary Compared to more accessible sites, organisms inhabiting Antarctic waters have been poorly investigated. This study provides the first molecular resource (transcriptome from whole individual) for the eucalanoid copepod Rhincalanus gigas, one of the predominant zooplankton species of Antarctic waters. Sequence analyses identified possible adaptation strategies adopted by the organism to cope with cold environments. Among those, we identified in R. gigas transcriptome three predicted genes encoding for antifreeze proteins and gene duplication within the glutathione metabolism pathway. This new molecular resource, provided here, will be useful to study the physiology, ecology, and biology of R. gigas and it increases the information available for polar environments. Antarctic waters are the largest almost untapped diversified resource of our planet. Molecular resources for Antarctic organisms are very limited and mostly represented by sequences used for species genotyping. In this study, we present the first transcriptome for the copepod Rhincalanus gigas, one of the predominant zooplankton species of Antarctic waters. This transcriptome represents also the first molecular resource for an eucalanoid copepod. The transcriptome is of high quality and completeness. The presence of three predicted genes encoding antifreeze proteins and gene duplication within the glutathione metabolism pathway are suggested as possible adaptations to cope with this harsh environment. The R. gigas transcriptome represents a powerful new resource for investigating the molecular basis associated with polar biological processes and ecology.</t>
  </si>
  <si>
    <t>[Lauritano, Chiara; Ianora, Adrianna] Stn Zool Anton Dohrn, Marine Biotechnol Dept, I-80121 Naples, Italy; [Roncalli, Vittoria] Stn Zool Anton Dohrn, Integrat Marine Ecol Dept, I-80121 Naples, Italy; [Ambrosino, Luca] Stn Zool Anton Dohrn, Res Infrastruct Marine Biol Resources Dept, I-80121 Naples, Italy; [Cieslak, Matthew C.; Ianora, Adrianna] Univ Hawaii Manoa, Pacific Biosci Res Ctr, 1993 East West Rd, Honolulu, HI 96822 USA</t>
  </si>
  <si>
    <t>Stazione Zoologica Anton Dohrn di Napoli; Stazione Zoologica Anton Dohrn di Napoli; Stazione Zoologica Anton Dohrn di Napoli; University of Hawaii System; University of Hawaii Manoa</t>
  </si>
  <si>
    <t>Lauritano, C (corresponding author), Stn Zool Anton Dohrn, Marine Biotechnol Dept, I-80121 Naples, Italy.</t>
  </si>
  <si>
    <t>chiara.lauritano@szn.it; vittoria.roncalli@szn.it; luca.ambrosino@szn.it; dechtmatt@gmail.com; ianora@szn.it</t>
  </si>
  <si>
    <t>Roncalli, Vittoria/GMW-7290-2022; Lauritano, Chiara/Q-4166-2018</t>
  </si>
  <si>
    <t>Roncalli, Vittoria/0000-0003-3024-7568; Ambrosino, Luca/0000-0003-1756-9538; Lauritano, Chiara/0000-0003-4580-9594</t>
  </si>
  <si>
    <t>European Union Research Infrastructures project EuroFleets 2 under the 7th Framework Program of the European Commission [312762]</t>
  </si>
  <si>
    <t>European Union Research Infrastructures project EuroFleets 2 under the 7th Framework Program of the European Commission(European Union (EU)Marie Curie Actions)</t>
  </si>
  <si>
    <t>The cruise activity was supported by the European Union Research Infrastructures project EuroFleets 2 under the 7th Framework Program of the European Commission (agreement no. 312762).</t>
  </si>
  <si>
    <t>2079-7737</t>
  </si>
  <si>
    <t>Biology-Basel</t>
  </si>
  <si>
    <t>10.3390/biology9110410</t>
  </si>
  <si>
    <t>OW5LE</t>
  </si>
  <si>
    <t>WOS:000592927100001</t>
  </si>
  <si>
    <t>Davis, WJ; Davis, WB</t>
  </si>
  <si>
    <t>Davis, W. Jackson; Davis, W. Barton</t>
  </si>
  <si>
    <t>Antarctic Winds: Pacemaker of Global Warming, Global Cooling, and the Collapse of Civilizations</t>
  </si>
  <si>
    <t>CLIMATE</t>
  </si>
  <si>
    <t>Antarctic Centennial Oscillation (ACO); Antarctic Centennial Wind Oscillation (ACWO); Antarctic Isotope Maxima (AIMs); Antarctic Oscillation (AAO); Bond Cycle; climate forecasting; climate hindcasting; Dansgaard-Oeschger Oscillations; empirical climate projection; glacial expansion; glacial retreat; Heinrich events; Little Ice Age; Medieval Warm Period</t>
  </si>
  <si>
    <t>SCALE CLIMATE-CHANGE; ICE-AGE CLIMATE; BIPOLAR SEE-SAW; MINERAL DUST; TEMPERATURE-VARIATIONS; TALOS DOME; CORE; VARIABILITY; GREENLAND; HOLOCENE</t>
  </si>
  <si>
    <t>We report a natural wind cycle, the Antarctic Centennial Wind Oscillation (ACWO), whose properties explain milestones of climate and human civilization, including contemporary global warming. We explored the wind/temperature relationship in Antarctica over the past 226 millennia using dust flux in ice cores from the European Project for Ice Coring in Antarctica (EPICA) Dome C (EDC) drill site as a wind proxy and stable isotopes of hydrogen and oxygen in ice cores from EDC and ten additional Antarctic drill sites as temperature proxies. The ACWO wind cycle is coupled 1:1 with the temperature cycle of the Antarctic Centennial Oscillation (ACO), the paleoclimate precursor of the contemporary Antarctic Oscillation (AAO), at all eleven drill sites over all time periods evaluated. Such tight coupling suggests that ACWO wind cycles force ACO/AAO temperature cycles. The ACWO is modulated in phase with the millennial-scale Antarctic Isotope Maximum (AIM) temperature cycle. Each AIM cycle encompasses several ACWOs that increase in frequency and amplitude to a Wind Terminus, the last and largest ACWO of every AIM cycle. This historic wind pattern, and the heat and gas exchange it forces with the Southern Ocean (SO), explains climate milestones including the Medieval Warm Period and the Little Ice Age. Contemporary global warming is explained by venting of heat and carbon dioxide from the SO forced by the maximal winds of the current positive phase of the ACO/AAO cycle. The largest 20 human civilizations of the past four millennia collapsed during or near the Little Ice Age or its earlier recurrent homologs. The Eddy Cycle of sunspot activity oscillates in phase with the AIM temperature cycle and therefore may force the internal climate cycles documented here. Climate forecasts based on the historic ACWO wind pattern project imminent global cooling and in similar to 4 centuries a recurrent homolog of the Little Ice Age. Our study provides a theoretically-unified explanation of contemporary global warming and other climate milestones based on natural climate cycles driven by the Sun, confirms a dominant role for climate in shaping human history, invites reconsideration of climate policy, and offers a method to project future climate.</t>
  </si>
  <si>
    <t>[Davis, W. Jackson] Univ Calif Santa Cruz, Div Phys &amp; Biol Sci, Santa Cruz, CA 95064 USA; [Davis, W. Jackson; Davis, W. Barton] Environm Studies Inst, Santa Cruz, CA 95062 USA</t>
  </si>
  <si>
    <t>University of California System; University of California Santa Cruz</t>
  </si>
  <si>
    <t>Davis, WJ (corresponding author), Univ Calif Santa Cruz, Div Phys &amp; Biol Sci, Santa Cruz, CA 95064 USA.;Davis, WJ (corresponding author), Environm Studies Inst, Santa Cruz, CA 95062 USA.</t>
  </si>
  <si>
    <t>WBDavis@yahoo.com; JacksonDavis@EnvironmentalStudiesInstitute.org</t>
  </si>
  <si>
    <t>Davis, Jackson/0000-0003-2944-8346</t>
  </si>
  <si>
    <t>University of California at Santa Cruz</t>
  </si>
  <si>
    <t>This research was supported generally by the University of California at Santa Cruz and the Environmental Studies Institute, a non-profit (501)(3)(c) corporation based in Santa Cruz, CA, USA. We thank Jean Jouzel for kindly providing the EPICA Dome B database used in this study; Luke Kemp for generously providing the database on the timing of civilizational rise and fall; and Peter J. Taylor for inspiration, valuable discussion, and critiquing earlier versions of the manuscript. We thank several anonymous reviewers for comments that significantly improved the manuscript.</t>
  </si>
  <si>
    <t>2225-1154</t>
  </si>
  <si>
    <t>Climate</t>
  </si>
  <si>
    <t>10.3390/cli8110130</t>
  </si>
  <si>
    <t>OW2VY</t>
  </si>
  <si>
    <t>WOS:000592752300001</t>
  </si>
  <si>
    <t>Beniest, A; Schellart, WP</t>
  </si>
  <si>
    <t>Beniest, Anouk; Schellart, Wouter P.</t>
  </si>
  <si>
    <t>A geological map of the Scotia Sea area constrained by bathymetry, geological data, geophysical data and seismic tomography models from the deep mantle</t>
  </si>
  <si>
    <t>EARTH-SCIENCE REVIEWS</t>
  </si>
  <si>
    <t>Geological map; Scotia Sea; Back-arc basin; South Sandwich subduction system; Plate tectonics</t>
  </si>
  <si>
    <t>SOUTH SANDWICH ARC; ANTARCTICA PLATE BOUNDARY; GROUP-VELOCITY TOMOGRAPHY; HEAT-FLOW; DRAKE PASSAGE; SUBDUCTION COMPLEX; BRANSFIELD STRAIT; WEDDELL SEA; CRUSTAL STRUCTURE; SHETLAND ISLANDS</t>
  </si>
  <si>
    <t>The Scotia Sea is one of the tectonically most complex and least understood back-arc basins on Earth, which partly results from its remote location making the acquisition of data challenging. Here, we provide a review of current, publicly available geophysical and geological data in the Scotia Sea realm, including magnetic, Bouguer gravity anomaly, high-resolution bathymetric, heat flow and reflection seismic data and rock type data from cored and dredged samples. With this inter-disciplinary data-set, we performed an offshore geological mapping exercise that allowed us to identify lithologies in the predominantly submerged Scotia Sea domain. Cross-sections combining crustal structure and mantle tomography enabled us to address some of the still persisting geological challenges in this tectonically complex area. The data-review revealed that basalt is the dominant lithology in the Scotia Sea area, occupying most of the West and East Scotia Sea (WSS and ESS). Andesitic and more felsic lithologies are identified in the Central Scotia Sea (CSS) and the northern East Scotia Sea (ESS). Mesozoic/Palaeozoic metamorphic/sedimentary lithologies are reported from the highs along the North and South Scotia Ridges (NSR and SSR). These highs originate from a land bridge that, until the late-Mesozoic, connected the South American and Antarctic continents. Scarcely available and contradicting data prevent the age determination of several structural units surrounding and located on the Scotia plate, but our mapping exercise allowed us to confirm the presence of the early Oligocene late Miocene Ancestral South Sandwich Arc (ASSA) in the east of the CSS, setting the minimum age of the older segment of the CSS crust to Eocene-earliest Oligocene. Three cross-sections cross-cutting the Scotia Sea reveal two high velocity zones, indicating cold mantle material. One is situated below the structural highs along the SSR, which we interpreted as remnant slab material of the ASSA and another below South Georgia and the CSS, which we interpreted as the front of the slab that currently subducts at the South Sandwich Trench (SSaT). The neutral velocity discontinuity below the WSS implies mantle conditions of a recently extinct spreading centre. The upper mantle low velocity anomaly below the CSS is interpreted as warmer toroidal flows around the slab edges of the subducting plate at the SSaT. We have demonstrated that the geological and geophysical data publicly available today allows us to create offshore geological maps in remote, inaccessible offshore domains. This is a less time-consuming, economically advantageous exercise, which re-uses existing geological and geophysical data for a new purpose. It is the most data-inclusive study there is today of the Scotia Sea region and serves as a guideline for future expeditions targeting the CSS and the structural features along the NSR to identify their age and origin. A georeferenced version of the map is provided in the supplementary material.</t>
  </si>
  <si>
    <t>[Beniest, Anouk; Schellart, Wouter P.] Vrije Univ Amsterdam, Fac Sci, Dept Earth Sci, Amsterdam, Netherlands</t>
  </si>
  <si>
    <t>Vrije Universiteit Amsterdam</t>
  </si>
  <si>
    <t>Beniest, A (corresponding author), Vrije Univ Amsterdam, Fac Sci, Dept Earth Sci, Amsterdam, Netherlands.</t>
  </si>
  <si>
    <t>a.beniest@vu.nl</t>
  </si>
  <si>
    <t>Schellart, Wouter P/A-1467-2008; Beniest, Anouk/AGN-5604-2022</t>
  </si>
  <si>
    <t>Schellart, Wouter/0000-0002-9802-0143; Beniest, Anouk/0000-0002-2380-6221</t>
  </si>
  <si>
    <t>Vici Fellowship [016, VICI.170.110]</t>
  </si>
  <si>
    <t>Vici Fellowship</t>
  </si>
  <si>
    <t>This research has been funded by a Vici Fellowship (016.VICI.170.110) awarded to W.P. Schellart. We thank reviewers Alex Burton-Johnson and Julian Pearce for their thoughtful and detailed comments that have helped to improve the contents of this manuscript.</t>
  </si>
  <si>
    <t>0012-8252</t>
  </si>
  <si>
    <t>1872-6828</t>
  </si>
  <si>
    <t>EARTH-SCI REV</t>
  </si>
  <si>
    <t>Earth-Sci. Rev.</t>
  </si>
  <si>
    <t>10.1016/j.earscirev.2020.103391</t>
  </si>
  <si>
    <t>OP7RD</t>
  </si>
  <si>
    <t>WOS:000588283400038</t>
  </si>
  <si>
    <t>Navarrete, C; Gianni, G; Massaferro, G; Butler, K</t>
  </si>
  <si>
    <t>Navarrete, Cesar; Gianni, Guido; Massaferro, Gabriela; Butler, Kristina</t>
  </si>
  <si>
    <t>The fate of the Farallon slab beneath Patagonia and its links to Cenozoic intraplate magmatism, marine transgressions and topographic uplift</t>
  </si>
  <si>
    <t>Mantle transition zone; Patagonia; Cenozoic intraplate magmatism; Mantle-driven marine incursion</t>
  </si>
  <si>
    <t>MANTLE TRANSITION ZONE; ACTIVE SPREADING RIDGE; SAN JORGE BASIN; AIKE VOLCANIC FIELD; LAGO BUENOS-AIRES; DYNAMIC TOPOGRAPHY; EARLY MIOCENE; NORTHERN PATAGONIA; SOUTHERN CHILE; GEODYNAMIC EVOLUTION</t>
  </si>
  <si>
    <t>The arrival and subsequent stagnation of the Farallon/Nazca slab at the mantle transition zone below southern South America triggered seemingly unrelated large-scale geological processes in the second half of the Cenozoic. During this period, three poorly understood regional events have characterized the more recent geological history of Patagonia: i) the development of intense intraplate magmatism, ii) two large-scale marine transgressions, and iii) abnormally accelerated topographic uplift. We propose a geodynamic model that connects the subducting slab mechanisms to these events based on seismic tomography, 2-D kinematic reconstructions, dynamic subsidence models and a detailed literature review. According to our kinematic reconstruction, after the Paleocene-Eocene opening of the Aluk (Phoenix)/Farallon slab window, the Farallon oceanic slab arrived to the mantle transition zone below Patagonia at similar to 36-32 Ma. This event caused the physical perturbation of this mantle layer, and dehydration melting of the uplifted portions by wadsleyite breakdown, triggering an intense Oligocene-middle Miocene intraplate magmatism significantly influenced by subduction-derived fluids. Simultaneously, due to increasing disturbance of the lower mantle during the Farallon slab penetration and stagnation in the mantle transition zone, a large subduction-induced mantle flow cell began to tilt the South American plate. Tilting drove the two large marine transgressions which inundated much of the southern Argentina and Chile. Finally, in the latest Miocene-Pleistocene, Farallon-Nazca slab break-off induced the decompression melting of the sub-slab asthenosphere, generating the most recent magmatic episode in the north-central Patagonia. This magmatism was partially contemporaneous with the Chile ridge (Nazca/Antarctic) slab window-related southern Patagonian igneous activity; and although both episodes show evidence of mantle metasomatic inheritance, the north-central magmatism shows higher Th/La and( 87)Sr/ Sr-86 ratios, and lower epsilon Nd values, suggesting possible contributions from the stagnant Farallon slab (wet plumes?). These modern magmatic episodes can be directly linked to the Quaternary uplift of Patagonia by mantle upwelling.</t>
  </si>
  <si>
    <t>[Navarrete, Cesar; Massaferro, Gabriela] Univ Nacl Patagonia San Juan Bosco, Dept Geol, Lab Patagon Petrotecton, Comodoro Rivadavia, Argentina; [Navarrete, Cesar; Gianni, Guido] Consejo Nacl Invest Cient &amp; Tecn, Buenos Aires, DF, Argentina; [Gianni, Guido] Univ Buenos Aires, Inst Estudios Andinos Don Pablo Groeber, IDEAN, Buenos Aires, DF, Argentina; [Massaferro, Gabriela] Consejo Nacl Invest Cient &amp; Tecn, IPGP, Buenos Aires, DF, Argentina; [Butler, Kristina] Univ Texas Austin, Dept Geol Sci, Jackson Sch Geosci, Austin, TX USA</t>
  </si>
  <si>
    <t>Universidad Nacional de la Patagonia San Juan Bosco; Consejo Nacional de Investigaciones Cientificas y Tecnicas (CONICET); University of Buenos Aires; Consejo Nacional de Investigaciones Cientificas y Tecnicas (CONICET); University of Texas System; University of Texas Austin</t>
  </si>
  <si>
    <t>Navarrete, C (corresponding author), Univ Nacl Patagonia San Juan Bosco, Dept Geol, Lab Patagon Petrotecton, Comodoro Rivadavia, Argentina.</t>
  </si>
  <si>
    <t>cesarnavarrete@live.com.ar</t>
  </si>
  <si>
    <t>Navarrete, Cesar/0000-0001-7106-3672; Massaferro, Gabriela Isabel/0000-0002-0802-6315; Gianni, Guido Martin/0000-0001-9036-0621</t>
  </si>
  <si>
    <t>Laboratorio Patagonico de Petro-Tectonica of the Universidad Nacional de la Patagonia San Juan Bosco (UNPSJB)</t>
  </si>
  <si>
    <t>The authors would like to thank the editor of Earth-Science Reviews, Douwe van Hinsbergen, as well as both reviewers (Anouk Beniest and an anonymous reviewer) for the valuable comments and suggestions that helped improve this paper. Furthermore, the authors wish to thank the support received from the Laboratorio Patagonico de Petro-Tectonica of the Universidad Nacional de la Patagonia San Juan Bosco (UNPSJB). GG thanks Dr. Andres Echaurren and Alfonso Encinas for discussions on the origin of Patagonian marine ingressions. Finally, we want to thank to Mauro Valle and Marcelo Marquez for the two field photos of the Centinela and Monte Leon formations. This paper is dedicated to Isabella Navarrete Calvo.</t>
  </si>
  <si>
    <t>10.1016/j.earscirev.2020.103379</t>
  </si>
  <si>
    <t>WOS:000588283400030</t>
  </si>
  <si>
    <t>Brett, H; Deuss, A</t>
  </si>
  <si>
    <t>Brett, Henry; Deuss, Arwen</t>
  </si>
  <si>
    <t>Inner core anisotropy measured using new ultra-polar PKIKP paths</t>
  </si>
  <si>
    <t>GEOPHYSICAL JOURNAL INTERNATIONAL</t>
  </si>
  <si>
    <t>Body waves; Core; Seismic anisotropy</t>
  </si>
  <si>
    <t>DIFFERENTIAL TRAVEL-TIMES; EQUATORIAL ANISOTROPY; SEISMIC ANISOTROPY; EARTHS CORE; HETEROGENEITY; CONSTRAINTS; MANTLE; PKP; INVERSION; VELOCITY</t>
  </si>
  <si>
    <t>We measure the seismic anisotropy of the inner core using PKPbc-PKPdf and PKPab-PKPdf differential traveltimes, as a function of the angle between the Earth's rotation axis and the ray path in the inner core. Previous research relied heavily on body waves originating in the South Sandwich Islands (SSI) and travelling to seismic stations in Alaska to sample inner core velocities with low zeta (polar paths). These SSI polar paths are problematic because they have anomalous travel time anomalies, there are no ultra-polar SSI paths with zeta &lt; 20 degrees and they only cover a small part of the inner core. Here we improve constraints on inner core anisotropy using recently installed seismic stations at high latitudes, especially in the Antarctic, allowing us to measure ultra-polar paths with zeta ranging from 20 degrees-5 degrees. Our new data show that the SSI's polar events are fast but still within the range of velocities measured from ray paths originating elsewhere. We further investigate the effect of mantle structure on our data set finding that the SSI data arc particularly affected by fast velocities underneath the SSI originating from the subducted South Georgia slab, which is currently located just above the core mantle boundary. This fast velocity region results in mantle structure being misinterpreted as inner core structure and we correct for this using a P-wave tomographic model. We also analyse the effect of velocity changes on the ray paths within the inner core and find that faster velocities significantly change the ray path resulting in the ray travelling deeper into the inner core and spending more time in the inner core. To remove this effect, we propose a simple but effective method to correct each event-station pair for the velocity-dependent ray path changes in the inner core, producing a more reliable fractional traveltime measurement. Combining the new ultra-polar data with mantle and ray path corrections results in a more reliable inner core anisotropy measurement and an overall measured anisotropy of 1.9-2.3 per cent for the whole inner core. This is lower than previous body wave studies (3 per cent anisotropy) and in better agreement with the value of inner core anisotropy measured by normal modes (2 per cent anisotropy). We also identify regional variation of anisotropic structure in the top 500 km of the inner core, which appears to be more complex than simple hemispherical variations. These regional variations are independent of the SSI data and are still present when these data are excluded. We also find a potential innermost inner core with a radius of 690 km and stronger anisotropy.</t>
  </si>
  <si>
    <t>[Brett, Henry; Deuss, Arwen] Univ Utrecht, Dept Earth Sci, NL-3584 CS Utrecht, Netherlands</t>
  </si>
  <si>
    <t>Utrecht University</t>
  </si>
  <si>
    <t>Brett, H (corresponding author), Univ Utrecht, Dept Earth Sci, NL-3584 CS Utrecht, Netherlands.</t>
  </si>
  <si>
    <t>h.hrett@uu.nl</t>
  </si>
  <si>
    <t>Deuss, Arwen/F-6254-2012</t>
  </si>
  <si>
    <t>Deuss, Arwen/0000-0003-3193-5987</t>
  </si>
  <si>
    <t>European Research Council (ERC) under the European Union's Horizon 2020 Framework Programme [681535-ATUNE]; Nederlandse Organisatie voor Wetenschappelijk Onderzoek (NWO) [016.160.310/526]; National Science Foundation; GEO Directorate through the Instrumentation and Facilities Program of the National Science Foundation [EAR-1063471]; National Science Foundation EarthScope Program [EAR-0733069, EAR-1261681]</t>
  </si>
  <si>
    <t>European Research Council (ERC) under the European Union's Horizon 2020 Framework Programme(European Research Council (ERC)); Nederlandse Organisatie voor Wetenschappelijk Onderzoek (NWO)(Netherlands Organization for Scientific Research (NWO)); National Science Foundation(National Science Foundation (NSF)); GEO Directorate through the Instrumentation and Facilities Program of the National Science Foundation; National Science Foundation EarthScope Program(National Science Foundation (NSF)NSF - Directorate for Geosciences (GEO))</t>
  </si>
  <si>
    <t>This research was supported by the European Research Council (ERC) under the European Union's Horizon 2020 Framework Programme (grant agreement No. 681535-ATUNE) and a Vici award number 016.160.310/526 from the Nederlandse Organisatie voor Wetenschappelijk Onderzoek (NWO). Special thanks to Prof. Wim Spakman for providing the tomographic model UUP07 and help with the theory of path integration necessary to conduct mantle corrections. The facilities of IRIS Data Services, and specifically the IRIS Data Management Center, were used for access to waveform, metadata or products required in this study. The IRIS DS is funded through the National Science Foundation and specifically the GEO Directorate through the Instrumentation and Facilities Program of the National Science Foundation under Cooperative Agreement EAR-1063471. Some activities are supported by the National Science Foundation EarthScope Program under Cooperative Agreements EAR-0733069, EAR-1261681. While too many networks were used to acknowledge them all along their institutions individually, a number of networks were of special note as they recorded the ultra-polar data at the core of this research; TA, ZM, YT, II, AI, IU, G, AU, XF, XD, CN, XH, DK, GE, YE. Data processing was done using the Obspy and Scipy python packages. Data is available upon request from the first author via email.</t>
  </si>
  <si>
    <t>0956-540X</t>
  </si>
  <si>
    <t>1365-246X</t>
  </si>
  <si>
    <t>GEOPHYS J INT</t>
  </si>
  <si>
    <t>Geophys. J. Int.</t>
  </si>
  <si>
    <t>10.1093/gji/ggaa348</t>
  </si>
  <si>
    <t>OV4XI</t>
  </si>
  <si>
    <t>WOS:000592214400001</t>
  </si>
  <si>
    <t>Ibrahim, S; Zahri, KNM; Convey, P; Khalil, KA; Gomez-Fuentes, C; Zulkarnain, A; Alias, SA; González-Rocha, G; Ahmad, SA</t>
  </si>
  <si>
    <t>Ibrahim, Salihu; Zahri, Khadijah Nabilah Mohd; Convey, Peter; Khalil, Khalilah Abdul; Gomez-Fuentes, Claudio; Zulkarnain, Azham; Alias, Siti Aisyah; Gonzalez-Rocha, Gerardo; Ahmad, Siti Aqlima</t>
  </si>
  <si>
    <t>Optimisation of biodegradation conditions for waste canola oil by cold-adapted Rhodococcus sp. AQ5-07 from Antarctica</t>
  </si>
  <si>
    <t>ELECTRONIC JOURNAL OF BIOTECHNOLOGY</t>
  </si>
  <si>
    <t>Antarctica; Biodegradation; Bioremediation; Canola oil; Cold-adapted Rhodococcus; One-factor-at-a-time; Removal of oils; Response surface methodology; Rhodococcus; Waste canola oil; Wastewater using</t>
  </si>
  <si>
    <t>RESPONSE-SURFACE METHODOLOGY; LIPASE-PRODUCING BACTERIUM; ANAEROBIC BIODEGRADATION; ESTERASE-ACTIVITY; CHICKEN FEATHER; VEGETABLE-OIL; COOKING OIL; WATER; BIOREMEDIATION; DEGRADATION</t>
  </si>
  <si>
    <t>Background: The potential waste canola oil-degrading ability of the cold-adapted Antarctic bacterial strain Rhodococcus sp. AQ5-07 was evaluated. Globally, increasing waste from food industries generates serious anthropogenic environmental risks that can threaten terrestrial and aquatic organisms and communities. The removal of oils such as canola oil from the environment and wastewater using biological approaches is desirable as the thermal process of oil degradation is expensive and ineffective. Results: Rhodococcus sp. AQ5-07 was found to have high canola oil-degrading ability. Physico-cultural conditions influencing its activity were studied using one-factor-at-a-time (OFAT) and statistical optimisation approaches. Considerable degradation (78.60%) of 3% oil was achieved by this bacterium when incubated with 1.0 g/L ammonium sulphate, 0.3 g/L yeast extract, pH 7.5 and 10% inoculum at 10 degrees C over a 72-h incubation period. Optimisation of the medium conditions using response surface methodology (RSM) resulted in a 9.01% increase in oil degradation (87.61%) when supplemented with 3.5% canola oil, 1.05 g/L ammonium sulphate, 0.28g/L yeast extract, pH 7.5 and 10% inoculum at 12.5 degrees C over the same incubation period. The bacterium was able to tolerate an oil concentration of up to 4.0%, after which deceased bacterial growth and oil degradation were observed. Conclusions: These features make this strain worthy of examination for practical bioremediation of lipid-rich contaminated sites. This is the first report of any waste catering oil degradation by bacteria originating from Antarctica. (C) 2020 Pontificia Universidad CatOlica de Valparaiso. Production and hosting by Elsevier B.V. All rights reserved.</t>
  </si>
  <si>
    <t>[Ibrahim, Salihu; Zahri, Khadijah Nabilah Mohd; Ahmad, Siti Aqlima] Univ Putra Malaysia, Fac Biotechnol &amp; Biomol Sci, Dept Biochem, Upm Serdang 43400, Selangor, Malaysia; [Convey, Peter] British Antarctic Survey, NERC, High Cross,Madingley Rd, Cambridge CB3 0ET, England; [Khalil, Khalilah Abdul] Univ Teknol MARA, Fac Appl Sci, Dept Biomol Sci, Shah Alam 40450, Selangor, Malaysia; [Gomez-Fuentes, Claudio] Univ Magallanes, Fac Ingn, Dept Ingn Quim, Avda Bulnes 01855, Punta Arenas, Region De Magal, Chile; [Zulkarnain, Azham] Shibaura Inst Technol, Coll Syst Engn &amp; Sci, Dept Biosci &amp; Engn, Minuma Ku, 307 Fukasaku, Saitama 3378570, Japan; [Alias, Siti Aisyah; Ahmad, Siti Aqlima] Univ Malaya, Natl Antarctic Res Ctr, B303 Level 3,Block B,IPS Bldg, Kuala Lumpur 50603, Malaysia; [Gonzalez-Rocha, Gerardo] Univ Concepcion, Fac Ciencias Biol, Lab Invest Agentes Antibacterianos, Concepcion, Chile</t>
  </si>
  <si>
    <t>Universiti Putra Malaysia; UK Research &amp; Innovation (UKRI); Natural Environment Research Council (NERC); NERC British Antarctic Survey; Universiti Teknologi MARA; Universidad de Magallanes; Shibaura Institute of Technology; Universiti Malaya; Universidad de Concepcion</t>
  </si>
  <si>
    <t>Gonzalez-Rocha, Gerardo E/M-3610-2014; Zahri, Khadijah Nabilah Mohd/AEQ-4594-2022; Ibrahim, Salihu/AAW-8045-2020; FASc, SITI AISYAH A. HJ ALIAS/B-9785-2010; Convey, Peter/AAV-5728-2020; Gonzalez, Gerardo/KHE-5265-2024</t>
  </si>
  <si>
    <t>FASc, SITI AISYAH A. HJ ALIAS/0000-0002-6759-5745; Convey, Peter/0000-0001-8497-9903; Ahmad, Siti Aqlima/0000-0002-7625-3704; Zahri, Khadijah/0009-0000-2963-3109</t>
  </si>
  <si>
    <t>Matching Grant PUTRA [UPM 9300436]; PUTRA-IPS [9631800]; PUTRA Berimpak [9660000, 9678900]; Universiti Putra Malaysia; NERC; NERC [bas0100036] Funding Source: UKRI</t>
  </si>
  <si>
    <t>Matching Grant PUTRA; PUTRA-IPS; PUTRA Berimpak; Universiti Putra Malaysia; NERC(UK Research &amp; Innovation (UKRI)Natural Environment Research Council (NERC)); NERC(UK Research &amp; Innovation (UKRI)Natural Environment Research Council (NERC))</t>
  </si>
  <si>
    <t>This work was supported by Matching Grant PUTRA (UPM 9300436), PUTRA-IPS (9631800) and PUTRA Berimpak (9660000 and 9678900). We acknowledge Universiti Putra Malaysia for sponsorship and providing an enabling the environment required to conduct the research. P. Convey is supported by NERC core funding to the British Antarctic Survey `Biodiversity. Evolution and Adaptation' Team.</t>
  </si>
  <si>
    <t>UNIV CATOLICA DE VALPARAISO</t>
  </si>
  <si>
    <t>VALPARAISO</t>
  </si>
  <si>
    <t>AV BRASIL 2950, PO BOX 4059, VALPARAISO, CHILE</t>
  </si>
  <si>
    <t>0717-3458</t>
  </si>
  <si>
    <t>ELECTRON J BIOTECHN</t>
  </si>
  <si>
    <t>Electron. J. Biotechnol.</t>
  </si>
  <si>
    <t>10.1016/j.ejbt.2020.07.005</t>
  </si>
  <si>
    <t>Biotechnology &amp; Applied Microbiology</t>
  </si>
  <si>
    <t>OS5UT</t>
  </si>
  <si>
    <t>Green Accepted, gold</t>
  </si>
  <si>
    <t>WOS:000590229400001</t>
  </si>
  <si>
    <t>Anfuso, G; Bolívar-Anillo, HJ; Asensio-Montesinos, F; Manzolli, RP; Portz, L; Daza, DAV</t>
  </si>
  <si>
    <t>Anfuso, Giorgio; Jose Bolivar-Anillo, Hernando; Asensio-Montesinos, Francisco; Portantiolo Manzolli, Rogerio; Portz, Luana; Villate Daza, Diego Andres</t>
  </si>
  <si>
    <t>Beach litter distribution in Admiralty Bay, King George Island, Antarctica</t>
  </si>
  <si>
    <t>MARINE POLLUTION BULLETIN</t>
  </si>
  <si>
    <t>Wood fragments; Plastic items; Foam; Raman spectroscopy</t>
  </si>
  <si>
    <t>MARINE DEBRIS; PLASTIC INGESTION; BIRD ISLAND; IMPACTS; ACCUMULATION; SEA</t>
  </si>
  <si>
    <t>In the Antarctic Peninsula, most important activities are touristic visits, from the second half of the 20th Century, and scientific investigation linked to 75 research stations. Beach litter content/abundance was investigated at 17 beaches in Admiralty Bay (King George Island, Antarctica) and the type of plastic material was determined by Raman spectroscopy. An average value of 0.16 items m(-1) was observed. Wood items consisted of processed wood fragments representing 47.27% of the total. Foam represented 21%, hard plastic pieces 9.68% (consisting of polyvinyl chloride or high density polyethylene), metal 3.37%, rubber fragments 2.81%, foamed plastic pieces 2.66% (composed by polystyrene), the rest of categories representing less than 2% of the total. Wood debris and metal are essentially remnant objects of ancient whaling activities and research expeditions, polyurethane and expanded polystyrene materials have different origins and hard plastic, rubber, paper/cardboard and paint fragments seem mostly linked to present research activities.</t>
  </si>
  <si>
    <t>[Anfuso, Giorgio; Asensio-Montesinos, Francisco] Univ Cadiz, Fac Ciencias Mar Ambientales, Dept Ciencias Tierra, Puerto Real 11510, Cadiz, Spain; [Jose Bolivar-Anillo, Hernando] Univ Simon Bolivar, Lab Invest Microbiol, Barranquilla 080002, Colombia; [Portantiolo Manzolli, Rogerio; Portz, Luana] Univ de La Costa, Dept Civil &amp; Environm, Barranquilla 080002, Colombia; [Villate Daza, Diego Andres] Escuela Naval Suboficiales ARC, Grp Invest Marino Costeras GIMAC, Barranquilla 080002, Colombia</t>
  </si>
  <si>
    <t>Universidad de Cadiz</t>
  </si>
  <si>
    <t>Anfuso, G (corresponding author), Univ Cadiz, Fac Ciencias Mar Ambientales, Dept Ciencias Tierra, Puerto Real 11510, Cadiz, Spain.</t>
  </si>
  <si>
    <t>giorgio.anfuso@uca.es; hbolivar1@unisimonbolivar.edu.co; francisco.asensio@uca.es; rportant1@cuc.edu.co; lportz1@cuc.edu.co</t>
  </si>
  <si>
    <t>Manzolli, Rogerio Portantiolo/E-9777-2019; Portz, Luana Carla/AAP-9020-2020; Asensio-Montesinos, Francisco/AAG-1132-2020; Anfuso, Giorgio/C-3844-2017; Bolivar-Anillo, Hernando Jose/P-9178-2016</t>
  </si>
  <si>
    <t>Manzolli, Rogerio Portantiolo/0000-0002-0223-5634; Portz, Luana Carla/0000-0001-9232-8086; Asensio-Montesinos, Francisco/0000-0002-8358-2610; Anfuso, Giorgio/0000-0002-7266-2842; Bolivar-Anillo, Hernando Jose/0000-0002-4268-3781</t>
  </si>
  <si>
    <t>0025-326X</t>
  </si>
  <si>
    <t>1879-3363</t>
  </si>
  <si>
    <t>MAR POLLUT BULL</t>
  </si>
  <si>
    <t>Mar. Pollut. Bull.</t>
  </si>
  <si>
    <t>10.1016/j.marpolbul.2020.111657</t>
  </si>
  <si>
    <t>OO8MN</t>
  </si>
  <si>
    <t>WOS:000587629000012</t>
  </si>
  <si>
    <t>Di Natale, G; Bianchini, G; Del Guasta, M; Ridolfi, M; Maestri, T; Cossich, W; Magurno, D; Palchetti, L</t>
  </si>
  <si>
    <t>Di Natale, Gianluca; Bianchini, Giovanni; Del Guasta, Massimo; Ridolfi, Marco; Maestri, Tiziano; Cossich, William; Magurno, Davide; Palchetti, Luca</t>
  </si>
  <si>
    <t>Characterization of the Far Infrared Properties and Radiative Forcing of Antarctic Ice and Water Clouds Exploiting the Spectrometer-LiDAR Synergy</t>
  </si>
  <si>
    <t>cirrus clouds; remote sensing; far-infrared; Antarctic clouds; REFIR-PAD</t>
  </si>
  <si>
    <t>SPECTRAL RADIANCE; SOUTH-POLE; DRY BIAS; CIRRUS; VAPOR; IDENTIFICATION; TEMPERATURE; SCATTERING; PARTICLES; FLUXES</t>
  </si>
  <si>
    <t>Optical and microphysical cloud properties are retrieved from measurements acquired in 2013 and 2014 at the Concordia base station in the Antarctic Plateau. Two sensors are used synergistically: a Fourier transform spectroradiometer named REFIR-PAD (Radiation Explorer in Far Infrared-Prototype for Applications and Developments) and a backscattering-depolarization LiDAR. First, in order to identify the cloudy scenes and assess the cloud thermodynamic phase, the REFIR-PAD spectral radiances are ingested by a machine learning algorithm called Cloud Identification and Classification (CIC). For each of the identified cloudy scenes, the nearest (in time) LiDAR backscattering profile is processed by the Polar Threshold (PT) algorithm that allows derivation of the cloud top and bottom heights. Subsequently, using the CIC and PT results as external constraints, the Simultaneous Atmospheric and Clouds Retrieval (SACR) code is applied to the REFIR-PAD spectral radiances. SACR simultaneously retrieves cloud optical depth and effective dimensions and atmospheric vertical profiles of water vapor and temperature. The analysis determines an average effective diameter of 28 mu m with an optical depth of 0.76 for the ice clouds. Water clouds are only detected during the austral Summer, and the retrieved properties provide an average droplet diameter of 9 mu m and average optical depth equal to four. The estimated retrieval error is about 1% for the ice crystal/droplet size and 2% for the cloud optical depth. The sensitivity of the retrieved parameters to the assumed crystal shape is also assessed. New parametrizations of the optical depth and the longwave downwelling forcing for Antarctic ice and water clouds, as a function of the ice/liquid water path, are presented. The longwave downwelling flux, computed from the top of the atmosphere to the surface, ranges between 70 and 220 W/m(2). The estimated cloud longwave forcing at the surface is (31 +/- 7) W/m(2) and (29 +/- 6) W/m(2) for ice clouds and (64 +/- 12) and (62 +/- 11) W/m(2) for water clouds, in 2013 and 2014, respectively. The total average cloud forcing for the two years investigated is (46 +/- 9) W/m(2).</t>
  </si>
  <si>
    <t>[Di Natale, Gianluca; Bianchini, Giovanni; Del Guasta, Massimo; Ridolfi, Marco; Palchetti, Luca] CNR, Natl Inst Opt, I-50019 Florence, Italy; [Maestri, Tiziano; Cossich, William; Magurno, Davide] Univ Bologna, Dept Phys &amp; Astron, I-40126 Bologna, Italy</t>
  </si>
  <si>
    <t>Consiglio Nazionale delle Ricerche (CNR); Istituto Nazionale di Ottica (INO-CNR); University of Bologna</t>
  </si>
  <si>
    <t>Di Natale, G (corresponding author), CNR, Natl Inst Opt, I-50019 Florence, Italy.</t>
  </si>
  <si>
    <t>gianluca.dinatale@ino.cnr.it; giovanni.bianchini@ino.cnr.it; massimo.delguasta@ino.cnr.it; marco.ridolfi@ino.cnr.it; tiziano.maestri@unibo.it; william.cossich2@unibo.it; davide.magurno2@unibo.it; luca.palchetti@ino.cnr.it</t>
  </si>
  <si>
    <t>Cossich, William/AAW-7147-2021; Bianchini, Giovanni/ABD-3585-2020; Di Natale, Gianluca/AAL-4498-2021; Maestri, Tiziano/JFK-9151-2023; PALCHETTI, LUCA/O-1270-2015</t>
  </si>
  <si>
    <t>Cossich, William/0000-0002-0349-1488; Bianchini, Giovanni/0000-0002-5400-7721; Di Natale, Gianluca/0000-0002-9149-7926; Maestri, Tiziano/0000-0001-9582-5029; PALCHETTI, LUCA/0000-0003-4022-8125; Magurno, Davide/0000-0001-5479-5062; RIDOLFI, MARCO/0000-0002-3492-6472</t>
  </si>
  <si>
    <t>Italian PNRA (Programma Nazionale di Ricerche in Antartide)</t>
  </si>
  <si>
    <t>Italian PNRA (Programma Nazionale di Ricerche in Antartide)(Ministry of Education, Universities and Research (MIUR))</t>
  </si>
  <si>
    <t>This research was funded by the Italian PNRA (Programma Nazionale di Ricerche in Antartide).</t>
  </si>
  <si>
    <t>10.3390/rs12213574</t>
  </si>
  <si>
    <t>OR8AX</t>
  </si>
  <si>
    <t>WOS:000589690700001</t>
  </si>
  <si>
    <t>Stewart, LG; Lavers, JL; Grant, ML; Puskic, PS; Bond, AL</t>
  </si>
  <si>
    <t>Stewart, Lillian G.; Lavers, Jennifer L.; Grant, Megan L.; Puskic, Peter S.; Bond, Alexander L.</t>
  </si>
  <si>
    <t>Seasonal ingestion of anthropogenic debris in an urban population of gulls</t>
  </si>
  <si>
    <t>Bolus; Landfill; Laridae; Seabird; Plastic pollution; Regurgitated pellet; Tasmania</t>
  </si>
  <si>
    <t>WEDGE-TAILED SHEARWATERS; PLASTIC DEBRIS; LARUS-PACIFICUS; BODY CONDITION; NORTH-AMERICA; SILVER GULLS; WITLESS BAY; SEABIRD; MARINE; DIET</t>
  </si>
  <si>
    <t>Gulls are generalist seabirds, increasingly drawn to urban environments where many species take advantage of abundant food sources, such as landfill sites. Despite this, data on items ingested at these locations, including human refuse, is limited. Here we investigate ingestion of prey and anthropogenic debris items in boluses (re-gurgitated pellets) from Pacific Gulls (Larus pacificus). A total of 374 boluses were collected between 2018 and 2020 in Tasmania. Debris was present in 92.51% of boluses (n = 346), with plastic (86.63%, n = 324) and glass (64.71%, n = 242) being the most prominent types. An abundance of intact, household items (e.g., dental floss, food wrappers) suggest the gulls regularly feed at landfill sites. In addition, the boluses are deposited at a roosting site located within an important wetland, thus we propose that the gulls may be functioning as a previously unrecognised vector of anthropogenic debris from urban centres to aquatic environments.</t>
  </si>
  <si>
    <t>[Stewart, Lillian G.; Grant, Megan L.; Puskic, Peter S.] Univ Tasmania, Inst Marine &amp; Antarctic Studies, Sch Rd, Launceston, Tas 7250, Australia; [Lavers, Jennifer L.; Bond, Alexander L.] Univ Tasmania, Inst Marine &amp; Antarctic Studies, 20 Castray Esplanade, Battery Point, Tas 7004, Australia; [Bond, Alexander L.] Nat Hist Museum, Dept Life Sci, Bird Grp, Akeman St, Tring HP23 6AP, Herts, England</t>
  </si>
  <si>
    <t>University of Tasmania; University of Tasmania; Natural History Museum London</t>
  </si>
  <si>
    <t>Lavers, JL (corresponding author), Univ Tasmania, Inst Marine &amp; Antarctic Studies, 20 Castray Esplanade, Battery Point, Tas 7004, Australia.</t>
  </si>
  <si>
    <t>Jennifer.Lavers@utas.edu.au</t>
  </si>
  <si>
    <t>Puskic, Peter S/AAD-7887-2022; Bond, Alexander L/A-3786-2010; Lavers, Jennifer/IWM-5417-2023; Puskic, Peter/AAT-9362-2020; Lavers, Jennifer/O-4831-2017</t>
  </si>
  <si>
    <t>Puskic, Peter S/0000-0003-1352-8843; Lavers, Jennifer/0000-0001-7596-6588</t>
  </si>
  <si>
    <t>Detached Cultural Organization; Institute for Marine and Antarctic Studies</t>
  </si>
  <si>
    <t>The Department of Primary Industries, Parks, Water, and Environment kindly granted permission for our work at the Tamar Wetlands. The authors would like to acknowledge the palawa people, the traditional owners of the kanamaluka region land where this research took place. The Adrift Lab research team extend their gratitude to A. Travica, A. Bartlett, T. Jamart, B. Ferguson, and the Launceston community, including T. Haeusler from Plastic Free Launceston for logistical and lab support, and to J. Benjamin Photography and R. Cooper for providing some of the images used in Figs. 1 and 3. We would also like to acknowledge the many citizen scientists from school and community groups across Tasmania, who volunteered their time to assist with bolus dissections. Funding was generously provided by the Detached Cultural Organization and Institute for Marine and Antarctic Studies. Comments from 3 anonymous reviewers improved this manuscript.</t>
  </si>
  <si>
    <t>10.1016/j.marpolbul.2020.111549</t>
  </si>
  <si>
    <t>OO8LJ</t>
  </si>
  <si>
    <t>WOS:000587626000001</t>
  </si>
  <si>
    <t>Dahood, A; de Mutsert, K; Watters, GM</t>
  </si>
  <si>
    <t>Dahood, Adrian; de Mutsert, Kim; Watters, George M.</t>
  </si>
  <si>
    <t>Evaluating Antarctic marine protected area scenarios using a dynamic food web model</t>
  </si>
  <si>
    <t>BIOLOGICAL CONSERVATION</t>
  </si>
  <si>
    <t>Dynamic trophic model; Ecospace; Krill; Antarctic Peninsula; Marine protected area; No-take reserves</t>
  </si>
  <si>
    <t>KRILL EUPHAUSIA-SUPERBA; CRAB-EATER SEALS; CLIMATE-CHANGE; LARVAL KRILL; ENVIRONMENTAL-CHANGE; PENGUIN POPULATIONS; HYDRURGA-LEPTONYX; HABITAT SELECTION; EMPEROR PENGUINS; SPATIAL-PATTERNS</t>
  </si>
  <si>
    <t>Marine protected areas, especially when they are or include no-take zones, can support conservation objectives by creating an area where marine organisms are protected from human disturbances, particularly fishing. The coast of the Antarctic continent is the only habitat of the iconic Adelie penguin, whose main diet is Antarctic krill. Current threats to Adelie Penguins, other Antarctic krill predators and Antarctic krill itself include sea-ice loss as a result of climate change and krill fishing. We use a spatially and temporally dynamic food web model of the region surrounding the Western Antarctic Peninsula to evaluate the potential impacts of various marine protected area scenarios in the context of climate change. We examine the effects of sustained sea-ice loss on krill and seven monitored krill predators. We evaluate four marine protected area scenarios given two scenarios that describe future changes in sea ice and three scenarios that describe future changes in krill fishing effort. Our results indicate that establishing no-take zones where krill might aggregate in the future and where some krill predators forage could positively affect biomass accumulation of krill and the predators. No-take zones may be particularly important for enhancing the resilience of species that have recently experienced population decline and ensuring positive outcomes from establishing a marine protected area in the region. Our simulations suggest that establishing protected areas in the right locations can play an important role in mitigating the negative effects of climate change on iconic species that many people want to conserve.</t>
  </si>
  <si>
    <t>[Dahood, Adrian; de Mutsert, Kim] George Mason Univ, Dept Environm Sci &amp; Policy, 4400 Univ Dr, Fairfax, VA 22030 USA; [Dahood, Adrian; Watters, George M.] NOAA, Antarctic Ecosyst Res Div, Southwest Fisheries Sci Ctr, Natl Marine Fisheries Serv, 8901 La Jolla Shores Dr, La Jolla, CA 92037 USA; [Dahood, Adrian] Univ Calif Santa Cruz, Inst Marine Sci, Mailstop Ocean Sci 1156 High St, Santa Cruz, CA 95064 USA</t>
  </si>
  <si>
    <t>George Mason University; National Oceanic Atmospheric Admin (NOAA) - USA; University of California System; University of California Santa Cruz</t>
  </si>
  <si>
    <t>de Mutsert, K (corresponding author), George Mason Univ, Dept Environm Sci &amp; Policy, 4400 Univ Dr, Fairfax, VA 22030 USA.</t>
  </si>
  <si>
    <t>kdemutse@gmu.edu</t>
  </si>
  <si>
    <t>Watters, George/HPE-2184-2023; de Mutsert, Kim/AAV-1035-2020</t>
  </si>
  <si>
    <t>Watters, George/0000-0002-6989-1273; de Mutsert, Kim/0000-0002-7902-3787</t>
  </si>
  <si>
    <t>The Pew Charitable Trusts provided funds to support this work</t>
  </si>
  <si>
    <t>0006-3207</t>
  </si>
  <si>
    <t>1873-2917</t>
  </si>
  <si>
    <t>BIOL CONSERV</t>
  </si>
  <si>
    <t>Biol. Conserv.</t>
  </si>
  <si>
    <t>10.1016/j.biocon.2020.108766</t>
  </si>
  <si>
    <t>OO4GL</t>
  </si>
  <si>
    <t>WOS:000587339000012</t>
  </si>
  <si>
    <t>Dilley, B; Davies, D; Glass, T; Bond, AL; Ryan, PG</t>
  </si>
  <si>
    <t>Dilley, Ben J.; Davies, Delia; Glass, Trevor; Bond, Alexander L.; Ryan, Peter G.</t>
  </si>
  <si>
    <t>Severe impact of introduced scale insects on Island Trees threatens endemic finches at the Tristan da Cunha archipelago</t>
  </si>
  <si>
    <t>Nesospiza; Wilkins' finch; Coccus hesperidium; Hemiberlesia mpax; Inaccessible Island; Nightingale Island; Phylica arborea</t>
  </si>
  <si>
    <t>PARVICORNIS HEMIPTERA COCCIDAE; INACCESSIBLE ISLAND; ECOLOGICAL SPECIATION; NESOSPIZA BUNTINGS; HOMOPTERA; SKUAS</t>
  </si>
  <si>
    <t>Inaccessible and Nightingale Islands are uninhabited islands in the Tristan da Cunha archipelago, central South Atlantic Ocean. Over the past decade, the spread and impacts of two species of invasive scale insects have increased steadily, severely affecting the Island Tree Phylica arborea woodlands and the endemic large-billed finches Nesospiza spp., which feed extensively on Phylica fruit. The first species, Greedy Scale Hemiberlesia rapax, causes local canopy diebacks and slightly reduced fruit loads. On Inaccessible, it appears to be only locally distributed, but on Nightingale it has spread rapidly since 2012 and now infects 95% of the Island Trees. The second species, Brown Soft Scale Coccus hesperidum and its associated sooty mould Seiridium phylicae, has expanded its range at Inaccessible since 2011, and colonised Nightingale by 2016. At Inaccessible, repeat transects between 2011 and 2018 show that Phylica fruit loads are markedly reduced and many large trees have died. Numbers of male Dunn's Finches N. acunhae dunnei, which rely on Phylica fruits, have declined by 50% in the last decade in heavily infested woodlands at Inaccessible Island, and some males in the most badly affected wood-land are paired with small-billed Finches N. a. acunhae. If the trees on Nightingale follow a similar fate, the persistence of the endemic Wilkins' Finch N. wilkinsi will be under severe threat. The potential use of a biological agent to control C. hesperidium infestations should be investigated, since without swift and effective mitigation, we predict the health of these woodlands will degrade rapidly.</t>
  </si>
  <si>
    <t>[Dilley, Ben J.; Davies, Delia; Ryan, Peter G.] Univ Cape Town, DST NRF Ctr Excellence, FitzPatrick Inst African Ornithol, ZA-7701 Rondebosch, South Africa; [Dilley, Ben J.; Glass, Trevor] Govt Tristan da Cunha, Conservat Dept, Edinburgh Of The Seven S TDCU 1ZZ, Tristan Da Cunh, St Helena; [Bond, Alexander L.] Royal Soc Protect Birds, Sandy SG19 2DL, Beds, England; [Bond, Alexander L.] Nat Hist Museum, Dept Life Sci, Bird Grp, Tring HP23 6AP, Herts, England</t>
  </si>
  <si>
    <t>National Research Foundation - South Africa; University of Cape Town; Royal Society for Protection of Birds; Natural History Museum London</t>
  </si>
  <si>
    <t>Dilley, B (corresponding author), Univ Cape Town, FitzPatrick Inst African Ornithol, Private Bag X3, ZA-7701 Rondebosch, South Africa.</t>
  </si>
  <si>
    <t>dilleyben@gmail.com</t>
  </si>
  <si>
    <t>Bond, Alexander L/A-3786-2010</t>
  </si>
  <si>
    <t>Tristan Island Council; European Union (European Commission) through BEST 2.0 (Voluntary Scheme for Biodiversity and Ecosystem Services in Territories of European Overseas); Tristan Government; FitzPatrick Institute of African Ornithology (University of Cape Town)</t>
  </si>
  <si>
    <t>We thank the Tristan Island Council and all the islanders for their approval and support. Heinz Ortmann conducted the scale insect and fruit load surveys at Nightingale Island in 2012. Chris Malumphy (Fera Science Ltd., UK) provided valuable insights on invasive scale insects and biocontrol. The South African Department of Environmental Affairs provided logistical support through the South African National Antarctic Programme (SANAP) and we are especially grateful to the captain and crew of the Geo Searcher for getting us safely off the islands. Financial support was received from The European Union (European Commission) through BEST 2.0 (Voluntary Scheme for Biodiversity and Ecosystem Services in Territories of European Overseas), the Tristan Government and the FitzPatrick Institute of African Ornithology (University of Cape Town). Comments from two anonymous reviewers improved this manuscript.</t>
  </si>
  <si>
    <t>10.1016/j.biocon.2020.108761</t>
  </si>
  <si>
    <t>WOS:000587339000008</t>
  </si>
  <si>
    <t>Feutry, P; Devloo-Delva, F; Lu, YAT; Mona, S; Gunasekera, RM; Johnson, G; Pillans, RD; Jaccoud, D; Kilian, A; Morgan, DL; Saunders, T; Bax, NJ; Kyne, PM</t>
  </si>
  <si>
    <t>Feutry, Pierre; Devloo-Delva, Floriaan; Lu, Adrien Tran Y.; Mona, Stefano; Gunasekera, Rasanthi M.; Johnson, Grant; Pillans, Richard D.; Jaccoud, Damian; Kilian, Andrzej; Morgan, David L.; Saunders, Thor; Bax, Nicholas J.; Kyne, Peter M.</t>
  </si>
  <si>
    <t>One panel to rule them all: DArTcap genotyping for population structure, historical demography, and kinship analyses, and its application to a threatened shark</t>
  </si>
  <si>
    <t>MOLECULAR ECOLOGY RESOURCES</t>
  </si>
  <si>
    <t>Close‐ Kin Mark‐ Recapture; coalescent simulations; connectivity; Glyphis garricki; RAD; sequence capture</t>
  </si>
  <si>
    <t>APPROXIMATE BAYESIAN COMPUTATION; GENETIC DIFFERENTIATION; CAPTURE; RECONSTRUCTION; EVOLUTIONARY; AUSTRALIA; ESTUARIES; EXPANSION; FISH; LOAD</t>
  </si>
  <si>
    <t>With recent advances in sequencing technology, genomic data are changing how important conservation management decisions are made. Applications such as Close-Kin Mark-Recapture demand large amounts of data to estimate population size and structure, and their full potential can only be realised through ongoing improvements in genotyping strategies. Here we introduce DArTcap, a cost-efficient method that combines DArTseq and sequence capture, and illustrate its use in a high resolution population analysis of Glyphis garricki, a rare, poorly known and threatened euryhaline shark. Clustering analyses and spatial distribution of kin pairs from four different regions across northern Australia and one in Papua New Guinea, representing its entire known range, revealed that each region hosts at least one distinct population. Further structuring is likely within Van Diemen Gulf, the region that included the most rivers sampled, suggesting additional population structuring would be found if other rivers were sampled. Coalescent analyses and spatially explicit modelling suggest that G. garricki experienced a recent range expansion during the opening of the Gulf of Carpentaria following the conclusion of the Last Glacial Maximum. The low migration rates between neighbouring populations of a species that is found only in restricted coastal and riverine habitats show the importance of managing each population separately, including careful monitoring of local and remote anthropogenic activities that may affect their environments. Overall we demonstrated how a carefully chosen SNP panel combined with DArTcap can provide highly accurate kinship inference and also support population structure and historical demography analyses, therefore maximising cost-effectiveness.</t>
  </si>
  <si>
    <t>[Feutry, Pierre; Devloo-Delva, Floriaan; Gunasekera, Rasanthi M.; Bax, Nicholas J.] CSIRO Oceans &amp; Atmosphere, Hobart, Tas, Australia; [Devloo-Delva, Floriaan] Univ Tasmania, Sch Nat Sci Quantitat Marine Sci, Hobart, Tas, Australia; [Lu, Adrien Tran Y.; Mona, Stefano] Sorbonne Univ, CNRS, MNHN,EPHE, Inst Systemat Evolut Biodiversite ISYEB,UMR 7205, Paris, France; [Lu, Adrien Tran Y.; Mona, Stefano] PSL Univ, EPHE, Paris, France; [Mona, Stefano] Lab Excellence CORAIL, Papetoai, French Polynesi, France; [Johnson, Grant; Saunders, Thor] Dept Primary Ind &amp; Fisheries, Aquat Resource Res Unit, Darwin, NT, Australia; [Pillans, Richard D.] CSIRO Oceans &amp; Atmosphere, Dutton Pk, Qld, Australia; [Jaccoud, Damian; Kilian, Andrzej] Univ Canberra, Divers Arrays Technol Pty Ltd, Bruce, ACT, Australia; [Morgan, David L.] Murdoch Univ, Harry Butler Inst, Ctr Sustainable Aquat Ecosyst, Murdoch, WA, Australia; [Bax, Nicholas J.] Univ Tasmania, Inst Marine &amp; Antarctic Sci, Hobart, Tas, Australia; [Kyne, Peter M.] Charles Darwin Univ, Res Inst Environm &amp; Livelihoods, Darwin, NT, Australia</t>
  </si>
  <si>
    <t>Commonwealth Scientific &amp; Industrial Research Organisation (CSIRO); University of Tasmania; Museum National d'Histoire Naturelle (MNHN); Sorbonne Universite; Centre National de la Recherche Scientifique (CNRS); CNRS - Institute of Ecology &amp; Environment (INEE); Universite PSL; Ecole Pratique des Hautes Etudes (EPHE); Universite PSL; Ecole Pratique des Hautes Etudes (EPHE); Commonwealth Scientific &amp; Industrial Research Organisation (CSIRO); University of Canberra; Murdoch University; University of Tasmania; Charles Darwin University</t>
  </si>
  <si>
    <t>Feutry, P (corresponding author), CSIRO Oceans &amp; Atmosphere, Hobart, Tas, Australia.</t>
  </si>
  <si>
    <t>Pierre.Feutry@csiro.au</t>
  </si>
  <si>
    <t>Gunasekera, Rasanthi/A-2318-2012; Devloo-Delva, Floriaan/L-8657-2016; Morgan, David L./H-9794-2019; Pillans, Richard D/F-2458-2012; Bax, Nicholas J/A-2321-2012; Feutry, Pierre/D-7469-2011</t>
  </si>
  <si>
    <t>Devloo-Delva, Floriaan/0000-0002-6757-2949; Morgan, David L./0000-0003-1948-1484; Feutry, Pierre/0000-0001-8492-5382; Kyne, Peter/0000-0003-4494-2625; Kilian, Andrzej/0000-0002-2730-7462; Mona, Stefano/0000-0001-9087-0656</t>
  </si>
  <si>
    <t>Australian Government Funding Source: Medline; Department of State Development, Western Australia [Ord River Offset] Funding Source: Medline</t>
  </si>
  <si>
    <t>Australian Government(Australian Government); Department of State Development, Western Australia</t>
  </si>
  <si>
    <t>1755-098X</t>
  </si>
  <si>
    <t>1755-0998</t>
  </si>
  <si>
    <t>MOL ECOL RESOUR</t>
  </si>
  <si>
    <t>Mol. Ecol. Resour.</t>
  </si>
  <si>
    <t>10.1111/1755-0998.13204</t>
  </si>
  <si>
    <t>Biochemistry &amp; Molecular Biology; Ecology; Evolutionary Biology</t>
  </si>
  <si>
    <t>Biochemistry &amp; Molecular Biology; Environmental Sciences &amp; Ecology; Evolutionary Biology</t>
  </si>
  <si>
    <t>OJ7QX</t>
  </si>
  <si>
    <t>WOS:000584152000004</t>
  </si>
  <si>
    <t>Keogan, K; Lewis, S; Howells, RJ; Newell, MA; Harris, MP; Burthe, S; Phillips, RA; Wanless, S; Phillimore, AB; Daunt, F</t>
  </si>
  <si>
    <t>Keogan, Katharine; Lewis, Sue; Howells, Richard J.; Newell, Mark A.; Harris, Michael P.; Burthe, Sarah; Phillips, Richard A.; Wanless, Sarah; Phillimore, Albert B.; Daunt, Francis</t>
  </si>
  <si>
    <t>No evidence for fitness signatures consistent with increasing trophic mismatch over 30 years in a population of European shag Phalacrocorax aristotelis</t>
  </si>
  <si>
    <t>JOURNAL OF ANIMAL ECOLOGY</t>
  </si>
  <si>
    <t>Ammodytes marinus; breeding phenology; environmental change; lesser sandeel; long‐ term study; match– mismatch hypothesis; stabilising selection; trophic asynchrony</t>
  </si>
  <si>
    <t>SANDEEL AMMODYTES-MARINUS; GLOBAL CLIMATE-CHANGE; NORTH-SEA; LESSER SANDEEL; BREEDING SUCCESS; ENVIRONMENTAL VARIABILITY; WILD BIRD; PHENOLOGY; DIET; PERFORMANCE</t>
  </si>
  <si>
    <t>As temperatures rise, timing of reproduction is changing at different rates across trophic levels, potentially resulting in asynchrony between consumers and their resources. The match-mismatch hypothesis (MMH) suggests that trophic asynchrony will have negative impacts on average productivity of consumers. It is also thought to lead to selection on timing of breeding, as the most asynchronous individuals will show the greatest reductions in fitness. Using a 30-year individual-level dataset of breeding phenology and success from a population of European shags on the Isle of May, Scotland, we tested a series of predictions consistent with the hypothesis that fitness impacts of trophic asynchrony are increasing. These predictions quantified changes in average annual breeding success and strength of selection on timing of breeding, over time and in relation to rising sea surface temperature (SST) and diet composition. Annual average (population) breeding success was negatively correlated with average lay date yet showed no trend over time, or in relation to increasing SST or the proportion of principal prey in the diet, as would be expected if trophic mismatch was increasing. At the individual level, we found evidence for stabilising selection and directional selection for earlier breeding, although the earliest birds were not the most productive. However, selection for earlier laying did not strengthen over time, or in relation to SST or slope of the seasonal shift in diet from principal to secondary prey. We found that the optimum lay date advanced by almost 4 weeks during the study, and that the population mean lay date tracked this shift. Our results indicate that average performance correlates with absolute timing of breeding of the population, and there is selection for earlier laying at the individual level. However, we found no fitness signatures of a change in the impact of climate-induced trophic mismatch, and evidence that shags are tracking long-term shifts in optimum timing. This suggests that if asynchrony is present in this system, breeding success is not impacted. Our approach highlights the advantages of examining variation at both population and individual levels when assessing evidence for fitness impacts of trophic asynchrony.</t>
  </si>
  <si>
    <t>[Keogan, Katharine; Lewis, Sue; Phillimore, Albert B.] Univ Edinburgh, Ashworth Labs, Inst Evolutionary Biol, Edinburgh, Midlothian, Scotland; [Keogan, Katharine; Howells, Richard J.] Marine Scotland Sci, Marine Lab, Aberdeen, Scotland; [Lewis, Sue; Howells, Richard J.; Newell, Mark A.; Harris, Michael P.; Burthe, Sarah; Wanless, Sarah; Daunt, Francis] UK Ctr Ecol &amp; Hydrol, Penicuik, Midlothian, Scotland; [Phillips, Richard A.] British Antarctic Survey, Nat Environm Res Council, Cambridge, England</t>
  </si>
  <si>
    <t>University of Edinburgh; Marine Scotland Science (MSS); UK Centre for Ecology &amp; Hydrology (UKCEH); UK Research &amp; Innovation (UKRI); Natural Environment Research Council (NERC); NERC British Antarctic Survey</t>
  </si>
  <si>
    <t>Keogan, K (corresponding author), Univ Edinburgh, Ashworth Labs, Inst Evolutionary Biol, Edinburgh, Midlothian, Scotland.;Keogan, K (corresponding author), Marine Scotland Sci, Marine Lab, Aberdeen, Scotland.</t>
  </si>
  <si>
    <t>katharinekeogan@gmail.com</t>
  </si>
  <si>
    <t>Daunt, Francis/K-6688-2012; Burthe, Sarah J/Q-9505-2016; Lewis, Sue/D-3380-2012; Howells, Richard/T-8078-2017; Phillimore, Albert/B-8837-2009</t>
  </si>
  <si>
    <t>Lewis, Sue/0000-0003-3511-2259; Howells, Richard/0000-0003-2947-4528; Phillimore, Albert/0000-0002-6553-1553</t>
  </si>
  <si>
    <t>Edinburgh University Principal's Career Development PhD Scholarship; Natural Environment Research Council [NE/R016429/1]; Joint Nature Conservation Committee; NERC/Department for Environment, Food and Rural Affairs (DEFRA) Marine Ecosystems Research Programme [NE/L003082/1]; NERC [NE/L003082/1, NE/M005186/1, NE/E012906/1, bas0100035, NE/R016429/1] Funding Source: UKRI</t>
  </si>
  <si>
    <t>Edinburgh University Principal's Career Development PhD Scholarship; Natural Environment Research Council(UK Research &amp; Innovation (UKRI)Natural Environment Research Council (NERC)); Joint Nature Conservation Committee; NERC/Department for Environment, Food and Rural Affairs (DEFRA) Marine Ecosystems Research Programme; NERC(UK Research &amp; Innovation (UKRI)Natural Environment Research Council (NERC))</t>
  </si>
  <si>
    <t>Edinburgh University Principal's Career Development PhD Scholarship; Natural Environment Research Council, Grant/Award Number: NE/R016429/1; Joint Nature Conservation Committee; NERC/Department for Environment, Food and Rural Affairs (DEFRA) Marine Ecosystems Research Programme, Grant/Award Number: NE/L003082/1</t>
  </si>
  <si>
    <t>0021-8790</t>
  </si>
  <si>
    <t>1365-2656</t>
  </si>
  <si>
    <t>J ANIM ECOL</t>
  </si>
  <si>
    <t>J. Anim. Ecol.</t>
  </si>
  <si>
    <t>FEB</t>
  </si>
  <si>
    <t>10.1111/1365-2656.13376</t>
  </si>
  <si>
    <t>Ecology; Zoology</t>
  </si>
  <si>
    <t>Environmental Sciences &amp; Ecology; Zoology</t>
  </si>
  <si>
    <t>QB9OB</t>
  </si>
  <si>
    <t>Green Published, hybrid, Green Accepted</t>
  </si>
  <si>
    <t>WOS:000583215900001</t>
  </si>
  <si>
    <t>Di Guida, R; Casillo, A; Corsaro, MM</t>
  </si>
  <si>
    <t>Di Guida, Rossella; Casillo, Angela; Corsaro, Maria Michela</t>
  </si>
  <si>
    <t>O-specific polysaccharide structure isolated from the LPS of the Antarctic bacterium Pseudomonas ANT_J38B</t>
  </si>
  <si>
    <t>CARBOHYDRATE RESEARCH</t>
  </si>
  <si>
    <t>Lipopolysaccharide; NMR; Psychrotolerant; Pseudomonas; Gulopyranuronamide</t>
  </si>
  <si>
    <t>PSYCHROPHILIC BACTERIUM; CAPSULAR POLYSACCHARIDE; LIPOPOLYSACCHARIDE; LIPOOLIGOSACCHARIDE; CHAIN; SUGARS</t>
  </si>
  <si>
    <t>Pseudomonas ANT_J38B is a Gram-negative bacterium isolated from an Antarctic island. LPS was extracted using the phenol/chloroform/petroleum ether method. A mild acid hydrolysis followed by a gel filtration purification afforded the O-chain. The polysaccharide was characterized by means of chemical analyses and NMR spectroscopy. The O-chain displays a disaccharide repeating unit with the following backbone: -&gt; 4)-alpha-L-GulpNA-c30AcAN-(1 -&gt; 3)-beta-D-QuipNAc-(1 -&gt;.</t>
  </si>
  <si>
    <t>[Di Guida, Rossella; Casillo, Angela; Corsaro, Maria Michela] Univ Naples Federico II, Dept Chem Sci, Complesso Univ Monte S Angelo,Via Cintia 4, I-80126 Naples, Italy</t>
  </si>
  <si>
    <t>University of Naples Federico II</t>
  </si>
  <si>
    <t>Corsaro, MM (corresponding author), Univ Naples Federico II, Dept Chem Sci, Complesso Univ Monte S Angelo,Via Cintia 4, I-80126 Naples, Italy.</t>
  </si>
  <si>
    <t>rossella.diguida@unina.it; angela.casillo@unina.it; corsaro@unina.it</t>
  </si>
  <si>
    <t>Corsaro, Maria Michela/T-6190-2019</t>
  </si>
  <si>
    <t>Corsaro, Maria Michela/0000-0002-6834-8682</t>
  </si>
  <si>
    <t>0008-6215</t>
  </si>
  <si>
    <t>1873-426X</t>
  </si>
  <si>
    <t>CARBOHYD RES</t>
  </si>
  <si>
    <t>Carbohydr. Res.</t>
  </si>
  <si>
    <t>10.1016/j.carres.2020.108125</t>
  </si>
  <si>
    <t>Biochemistry &amp; Molecular Biology; Chemistry, Applied; Chemistry, Organic</t>
  </si>
  <si>
    <t>Biochemistry &amp; Molecular Biology; Chemistry</t>
  </si>
  <si>
    <t>OC8OF</t>
  </si>
  <si>
    <t>WOS:000579415400010</t>
  </si>
  <si>
    <t>Kawamata, M; Suganuma, Y; Doi, K; Misawa, K; Hirabayashi, M; Hattori, A; Sawagaki, T</t>
  </si>
  <si>
    <t>Kawamata, Moto; Suganuma, Yusuke; Doi, Koichiro; Misawa, Keiji; Hirabayashi, Motohiro; Hattori, Akihisa; Sawagaki, Takanobu</t>
  </si>
  <si>
    <t>Abrupt Holocene ice-sheet thinning along the southern Soya Coast, Lutzow-Holm Bay, East Antarctica, revealed by glacial geomorphology and surface exposure dating</t>
  </si>
  <si>
    <t>QUATERNARY SCIENCE REVIEWS</t>
  </si>
  <si>
    <t>East Antarctic Ice Sheet; Glacial geomorphology; Surface exposure dating; Holocene ice-sheet retreat; Marine ice sheet instability</t>
  </si>
  <si>
    <t>WEDDELL SEA EMBAYMENT; SOR-RONDANE MOUNTAINS; PINE ISLAND GLACIER; MARIE-BYRD-LAND; ISOSTATIC-ADJUSTMENT; DEGLACIAL HISTORY; COSMOGENIC NUCLIDES; BASAL MELT; HALF-LIFE; BE-10</t>
  </si>
  <si>
    <t>Geological reconstruction of the retreat history of the East Antarctic Ice Sheet (EAIS) since the Last Glacial Maximum (LGM) is essential for understanding the response of the ice sheet to global climatic change and the mechanisms of retreat, including a possible abrupt melting event. Such information is key for constraining climatic and ice-sheet models that are used to predict future Antarctic Ice Sheet AIS melting. However, data required to make a detailed reconstruction of the history of the EAIS involving changes in its thickness and lateral extent since the LGM remain sparse. Here, we present a new detailed ice-sheet history for the southern Soya Coast, Lfitzow-Holm Bay, East Antarctica, based on geomorphological observations and surface exposure ages. Our results demonstrate that the ice sheet completely covered the highest peak of Skarvsnes (400 m a.s.l.) prior to similar to 9 ka and retreated eastward by at least 10 km during the Early to Mid-Holocene (ca. 9 to 5 ka). The timing of the abrupt ice-sheet thinning and retreat is consistent with the intrusion of modified Circumpolar Deep Water (mCDW) into deep submarine valleys in Lfitzow-Holm Bay, as inferred from fossil foraminifera records of marine sediment cores. Thus, we propose that the mechanism of the abrupt thinning and retreat of the EAIS along the southern Soya Coast was marine ice-sheet instability caused by mCDW intrusion into deep submarine valleys. Such abrupt ice-sheet thinning and retreat with similar magnitude and timing have also been reported from Enderby Land, East Antarctica. Our findings suggest that abrupt thinning and retreat as a consequence of marine ice-sheet instability and intrusion of mCDW during the Early to Mid-Holocene may have led to rapid icesurface lowering of hundreds of meters in East Antarctica. (C) 2020 The Author(s). Published by Elsevier Ltd.</t>
  </si>
  <si>
    <t>[Kawamata, Moto; Suganuma, Yusuke; Doi, Koichiro; Misawa, Keiji; Hattori, Akihisa] Grad Univ Adv Studies SOKENDAI, Sch Multidisciplinary Sci, Dept Polar Sci, Hayama, Kanagawa, Japan; [Suganuma, Yusuke; Doi, Koichiro; Misawa, Keiji; Hirabayashi, Motohiro] Natl Inst Polar Res, Tokyo, Japan; [Sawagaki, Takanobu] Hosei Univ, Fac Social Sci, Tokyo, Japan</t>
  </si>
  <si>
    <t>Graduate University for Advanced Studies - Japan; Research Organization of Information &amp; Systems (ROIS); National Institute of Polar Research (NIPR) - Japan; Hosei University</t>
  </si>
  <si>
    <t>Kawamata, M (corresponding author), Grad Univ Adv Studies SOKENDAI, Sch Multidisciplinary Sci, Dept Polar Sci, Hayama, Kanagawa, Japan.</t>
  </si>
  <si>
    <t>kawamata.moto@nipr.ac.jp</t>
  </si>
  <si>
    <t>Sawagaki, Takanobu/C-7632-2012</t>
  </si>
  <si>
    <t>suganuma, yusuke/0000-0003-3516-1317; Hattori, Akihisa/0000-0003-2956-3694; Kawamata, Moto/0000-0002-0220-079X</t>
  </si>
  <si>
    <t>Japanese Antarctic Research Expedition - JSPS Kakenhi [19H00728, 16H05739, 17H06321, 22500991]; TOREY Science Foundation; Japan Science Society [2019e6047]; NIPR through Advanced Project [KP-7, KP306, 3298]; Grants-in-Aid for Scientific Research [16H05739, 19H00728, 22500991, 17H06321] Funding Source: KAKEN</t>
  </si>
  <si>
    <t>Japanese Antarctic Research Expedition - JSPS Kakenhi; TOREY Science Foundation; Japan Science Society; NIPR through Advanced Project; Grants-in-Aid for Scientific Research(Ministry of Education, Culture, Sports, Science and Technology, Japan (MEXT)Japan Society for the Promotion of ScienceGrants-in-Aid for Scientific Research (KAKENHI))</t>
  </si>
  <si>
    <t>This study was supported by the Japanese Antarctic Research Expedition and partially funded by JSPS Kakenhi (19H00728, 16H05739, 17H06321, and 22500991), the TOREY Science Foundation, a Sasakawa Scientific Research Grant from The Japan Science Society (2019e6047), and NIPR through Advanced Project (KP-7 and KP306). ALOS/PRISM data were provided within the framework of JAXA ALOS-2 RA-6 (PI No. 3298). Hideki Miura provided us helpful comments about the Antarctic field survey and logistics. We thank Kunihiko Nishizumi for technical support during sample processing, and Yukino Ishii, Eriko Ota, Maki Kubo, Mami Takehara, and Kenji Horie for assistance with sample preparation. We also thank Jun'ichi Okuno for comments about the GIA study, and Ikumi Oyabu provided us for the Dome Fuji ice core data. We appreciate generous comments to improve the paper from Duanne White, Shaun Eaves, and a third anonymous reviewer.</t>
  </si>
  <si>
    <t>0277-3791</t>
  </si>
  <si>
    <t>QUATERNARY SCI REV</t>
  </si>
  <si>
    <t>Quat. Sci. Rev.</t>
  </si>
  <si>
    <t>10.1016/j.quascirev.2020.106540</t>
  </si>
  <si>
    <t>OF9MJ</t>
  </si>
  <si>
    <t>WOS:000581521700005</t>
  </si>
  <si>
    <t>Martin, LCP; Blard, PH; Lavé, J; Jomelli, V; Charreau, J; Condom, T; Lupker, M</t>
  </si>
  <si>
    <t>Martin, L. C. P.; Blard, P-H; Lave, J.; Jomelli, V; Charreau, J.; Condom, T.; Lupker, M.</t>
  </si>
  <si>
    <t>ASTER Team</t>
  </si>
  <si>
    <t>Antarctic-like temperature variations in the Tropical Andes recorded by glaciers and lakes during the last deglaciation</t>
  </si>
  <si>
    <t>Paleoclimate dynamics; Tropical Andes; Paleoglaciers; Cosmogenic nuclides; Be-10; He-3; Glacial geomorphology; Last deglaciation; Termination 1; Continental paleotemperature and precipitation reconstruction; Global and regional climate</t>
  </si>
  <si>
    <t>EQUILIBRIUM-LINE ALTITUDES; SOUTHERN BOLIVIAN ALTIPLANO; LATE PLEISTOCENE GLACIATION; NUCLIDE PRODUCTION-RATES; BE-10 PRODUCTION-RATE; COSMOGENIC HE-3; ATMOSPHERIC CIRCULATION; HYDROLOGIC-CYCLE; CLIMATE HISTORY; YOUNGER DRYAS</t>
  </si>
  <si>
    <t>The respective impacts of Northern and Southern Hemispheric climatic changes on the Tropics during the last deglaciation remain poorly understood. In the High Tropical Andes, the Antarctic Cold Reversal (ACR, 14.3-12.9 ka BP) is better represented among morainic records than the Younger Dryas (12.9-11.7 ka BP). However, in the Altiplano basin (Bolivia), two cold periods of the Northern Hemisphere (Heinrich Stadial la, 16.5-14.5 ka BP, and the Younger Dryas) are synchronous with (i) major advances or standstills of paleoglaciers and (ii) the highstands of giant paleolakes Tauca and Coipasa. Here, we present new cosmic ray exposure (CRE) ages from glacial landforms of the Bolivian Andes that formed during the last deglaciation (Termination 1). We reconstruct the equilibrium line altitudes (ELA) associated with each moraine and use them in an inverse algorithm combining paleoglaciers and paleolake budgets to derive temperature and precipitation during the last deglaciation. Our temperature reconstruction (AT relative to present day) yields a consistent regional trend of progressive warming from Delta T = -5 to -2.5 degrees C during 17-14.5 ka BP, followed by a return to colder conditions around -4 degrees C during the ACR (14.5-12.9 ka BP). The Coipasa highstand (12.9-11.8 ka BP) is coeval with another warming trend followed by AT stabilization at the onset of the Holocene (ca. 10 ka BP), around -3 degrees C. Our results suggest that, during the last deglaciation (20-10 ka BP) atmospheric temperatures in the Tropical Andes mimicked Antarctic variability, whereas precipitation over the Altiplano was driven by changes in the Northern Hemisphere. (C) 2020 Elsevier Ltd. All rights reserved.</t>
  </si>
  <si>
    <t>[Martin, L. C. P.; Blard, P-H; Lave, J.; Charreau, J.] Univ Lorraine, Ctr Rech Petrograph &amp; Geochim, CNRS, F-54000 Nancy, France; [Martin, L. C. P.] Univ Oslo, Dept Geosci, POB 1047, N-0316 Oslo, Norway; [Blard, P-H] Univ Libre Bruxelles, Lab Glaciol, DGES IGEOS, B-1050 Brussels, Belgium; [Jomelli, V] Univ Paris 1 Pantheon Sorbonne, CNRS Lab Geog Phys, Meudon, France; [Jomelli, V] Aix Marseille Univ, CNRS IRD Coll France INRAE, UM CEREGE 34, Aix En Provence, France; [Condom, T.] Univ Grenoble Alpes CNRS, Inst Geosci Environm IGE UMR, G INP, CNRS,IRD, F-5001 Grenoble, France; [Lupker, M.] ETH, Geol Inst, Sonneggstr 5, CH-8092 Zurich, Switzerland</t>
  </si>
  <si>
    <t>Centre National de la Recherche Scientifique (CNRS); Universite de Lorraine; University of Oslo; Universite Libre de Bruxelles; Universite Paris-Est-Creteil-Val-de-Marne (UPEC); Centre National de la Recherche Scientifique (CNRS); INRAE; Aix-Marseille Universite; Universite PSL; College de France; Centre National de la Recherche Scientifique (CNRS); Communaute Universite Grenoble Alpes; Universite Grenoble Alpes (UGA); Institut de Recherche pour le Developpement (IRD); Swiss Federal Institutes of Technology Domain; ETH Zurich</t>
  </si>
  <si>
    <t>Martin, LCP (corresponding author), Ctr Rech Petrog &amp; Geochim, 15 Rue Notre Dame Pauvres, F-54501 Vandoeuvre Les Nancy, France.;Blard, PH (corresponding author), Univ Lorraine, CNRS, UMR7358, CRPG, F-54500 Vandoeuvre Les Nancy, France.</t>
  </si>
  <si>
    <t>leo.doug.martin@gmail.com; blard@crpg.cnrs-nancy.fr</t>
  </si>
  <si>
    <t>BLARD, Pierre-Henri/ABB-9401-2021; Lave, Jerome/HXV-7877-2023</t>
  </si>
  <si>
    <t>INSU EVE-LEFE program; ANR Jeunes Chercheurs GALAC project [ANR-11-JS56-011-01]; INSU/CNRS; ANR through the Equipements d'Excellence program; Andean part of the Service National d'Observation GLACIOCLIM - French IRD</t>
  </si>
  <si>
    <t>INSU EVE-LEFE program; ANR Jeunes Chercheurs GALAC project(Agence Nationale de la Recherche (ANR)); INSU/CNRS(Centre National de la Recherche Scientifique (CNRS)); ANR through the Equipements d'Excellence program(Agence Nationale de la Recherche (ANR)); Andean part of the Service National d'Observation GLACIOCLIM - French IRD</t>
  </si>
  <si>
    <t>This work was funded by the INSU EVE-LEFE program and the ANR Jeunes Chercheurs GALAC project (ANR-11-JS56-011-01). We greatly appreciated the logistical support of the Institut de Recherche pour le Developpement (IRD) of La Paz (Bolivia) during our field trips between 2010 and 2013. The ASTER French national AMS facility (CEREGE, Aix-en-Provence) is supported by INSU/CNRS, the ANR through the Equipements d'Excellence program, IRD, and CEA. Field measurements of mass balance and ELA on Bolivian and Ecuadorian glaciers were provided by the Andean part of the Service National d'Observation GLACIOCLIM, funded by the French IRD, the Universidad Mayor de San Andres (IGEMA, IHH) in Bolivia and the Insituto Nacional de Meteorologia e Hidrologiain Ecuador.; We warmly thank C. Hautefeuille and Benj Barry for their contributions to the Luxar datings, P. Burnard, B. Tibari, and L. Zimmerman for essential help with the SFT mass spectrometer and related devices during analytic sessions, V. Mariotti and M. Pr~emaillon for their help during field trips and sample collection, Flo Gallo, M. Protin, and D. Brunstein for their support during 10Be chemical analyses, and L. Tissandier and Y. Marrocchi for help with SEM and mineral analyses. We are grateful to the SARM-CNRS for high quality chemical analyses. E. Davy, R. Joussemet and the STEVAL crew (GeoRessources, Nancy) are acknowledged for their technical support during sample crushing and mineral separation. We thank R. Dennen and rd-editing.com for in-depth language editing. We are deeply grateful for the constructive feedback provided by the reviewers, which helped to improve the manuscript clarity.</t>
  </si>
  <si>
    <t>1873-457X</t>
  </si>
  <si>
    <t>10.1016/j.quascirev.2020.106542</t>
  </si>
  <si>
    <t>WOS:000581521700006</t>
  </si>
  <si>
    <t>Rhee, HH; Lee, MK; Seong, YB; Lee, JI; Yoo, KC; Yu, BY</t>
  </si>
  <si>
    <t>Rhee, Hyun Hee; Lee, Min Kyung; Seong, Yeong Bae; Lee, Jae Il; Yoo, Kyu-Cheul; Yu, Byung Yong</t>
  </si>
  <si>
    <t>Post-LGM dynamic deglaciation along the Victoria Land coast, Antarctica</t>
  </si>
  <si>
    <t>Antarctica; Terra Nova bay; Inexpressible island; Deglaciation; Cosmogenic exposure dating; Ross ice shelf</t>
  </si>
  <si>
    <t>TERRA-NOVA BAY; NUCLIDE PRODUCTION-RATES; GROUNDING-LINE RETREAT; ROSS SEA; COSMOGENIC NUCLIDES; ICE-SHEET; HISTORY; EROSION; BE-10; TEMPERATURE</t>
  </si>
  <si>
    <t>The post-Last Glacial Maximum (LGM) deglaciation of Antarctica holds important clues for understanding past environmental changes and predicting future changes in the Antarctic Ice Sheet. Cosmogenic nuclide exposure dating of glacial erratics documents the spatial and temporal glacier changes during the most recent deglaciation. We collected 55 erratic cobbles from the eight glaciated benches on Inexpressible Island, which is at the terminal area of Priestley Glacier, Terra Nova Bay, Victoria Land, to elucidate its post-LGM deglaciation pattern. Analyses of the Be-10 ages and( 26)Al/Be-10 ratios suggest that Priestley Glacier underwent similar to 254 m of lowering during the mid-Holocene, between 8.9 and 5.9 ka. This lowering rate (similar to 0.09 m a(-1)) is faster than those observed along other Victoria Land outlet glaciers to the north (Tucker and Aviator), but slower than the one to the south (Mackay). The post-LGM lowering of these outlet glaciers was triggered by marine ice sheet instability, with their asynchronous onsets of deglaciation derived from their diachronous response times to the southwestward migration of the grounding-line retreat until their synchronous termination of deglaciation at similar to 6 ka. A post-LGM deglaciation model with the southwestward migration of the western Ross Ice Shelf grounding line provides the best match to the terrestrial exposure dating results of the thinning patterns of the outlet glaciers along the Victoria Land coast. (C) 2020 Elsevier Ltd. All rights reserved.</t>
  </si>
  <si>
    <t>[Rhee, Hyun Hee; Seong, Yeong Bae] Korea Univ, Dept Geog, Seoul 02841, South Korea; [Lee, Min Kyung; Lee, Jae Il; Yoo, Kyu-Cheul] Korea Polar Res Inst, Div Polar Paleoenvironm, Incheon 21990, South Korea; [Rhee, Hyun Hee; Yu, Byung Yong] Korea Inst Sci &amp; Technol, AMS Lab, Seoul 02792, South Korea</t>
  </si>
  <si>
    <t>Korea University; Korea Polar Research Institute (KOPRI); Korea Institute of Science &amp; Technology (KIST)</t>
  </si>
  <si>
    <t>Seong, YB (corresponding author), Korea Univ, Dept Geog, Seoul 02841, South Korea.</t>
  </si>
  <si>
    <t>ybseong@korea.ac.kr</t>
  </si>
  <si>
    <t>RHEE, Hyun Hee/ISA-4439-2023; Seong, Yeong Bae/K-2420-2019</t>
  </si>
  <si>
    <t>Seong, Yeong Bae/0000-0001-6605-3912; rhee, hyunhee/0000-0003-0738-1160</t>
  </si>
  <si>
    <t>Korea Polar Research Institute [PE20180]</t>
  </si>
  <si>
    <t>Korea Polar Research Institute(Korea Polar Research Institute of Marine Research Placement (KOPRI))</t>
  </si>
  <si>
    <t>This research is supported by the Korea Polar Research Institute (PE20180). We greatly thank Dr. Ara Jeong for her help with the early version of this manuscript. We were given lots of practical advice and much support from Dr. Jong Ik Lee of the Korea Polar Research Institute during the field trip.</t>
  </si>
  <si>
    <t>10.1016/j.quascirev.2020.106595</t>
  </si>
  <si>
    <t>WOS:000581521700019</t>
  </si>
  <si>
    <t>Bilgen, SI; Kirtman, B</t>
  </si>
  <si>
    <t>Bilgen, Simge, I; Kirtman, Ben P.</t>
  </si>
  <si>
    <t>Impact of ocean model resolution on understanding the delayed warming of the Southern Ocean</t>
  </si>
  <si>
    <t>ENVIRONMENTAL RESEARCH LETTERS</t>
  </si>
  <si>
    <t>delayed warming; greenhouse gas forcing; eddy resolving and eddy parameterized models; Southern Ocean climate; Southern Ocean SST trends</t>
  </si>
  <si>
    <t>SEA-ICE TRENDS; NATURAL VARIABILITY; AGULHAS LEAKAGE; CLIMATE; TEMPERATURE; ATMOSPHERE; SALINITY; EDDIES; WINDS</t>
  </si>
  <si>
    <t>Currently available historical climate change simulations indicate a relatively delayed Southern Ocean warming, particularly poleward of the Antarctic Circumpolar Current (ACC) compared much of the rest of the globe. However, even this simulated delayed warming is inconsistent with observational estimates which show a cooling trend poleward of the ACC for the period 1979-2014. A fully coupled model run at two resolutions, i.e. ocean eddy parameterized and ocean eddy resolving, driven by historical and fixed CO2 concentration is used to investigate forced trends south of the ACC. We analyze the 1961-2005 Southern Ocean surface and upper ocean temperatures trends simulated by the model and observational estimates to understand the observed trends in the SO. At both resolutions, the models successfully reproduce the observed warming response for the northern flank of the ACC. The eddy resolving simulations, however, are able to reproduce the observed near Antarctic cooling in contrast to the eddy parameterized simulation which shows a warming trend. The cause of this inconsistency between the observations and the ocean eddy parameterized climate models is still a matter of debate, and we show here results that suggest resolved ocean meso-scale processes may be an integral part of capturing the observed trends in the Southern Ocean.</t>
  </si>
  <si>
    <t>[Bilgen, Simge, I; Kirtman, Ben P.] Univ Miami, Rosenstiel Sch Marine &amp; Atmospher Sci, 4600 Rickenbacker Causeway, Miami, FL 33149 USA</t>
  </si>
  <si>
    <t>University of Miami</t>
  </si>
  <si>
    <t>Bilgen, SI (corresponding author), Univ Miami, Rosenstiel Sch Marine &amp; Atmospher Sci, 4600 Rickenbacker Causeway, Miami, FL 33149 USA.</t>
  </si>
  <si>
    <t>sbilgen@rsmas.miami.edu</t>
  </si>
  <si>
    <t>Bilgen, Simge irem/0000-0002-3534-9793</t>
  </si>
  <si>
    <t>National Oceanic and Atmospheric Administration [NA180AR4310293, NA160AR4310141, NA160AR4310149, NA150AR4320064]; Department of Energy [DESC0019433]; National Science Foundation [OCE1419569, OCE1559151]</t>
  </si>
  <si>
    <t>National Oceanic and Atmospheric Administration(National Oceanic Atmospheric Admin (NOAA) - USA); Department of Energy(United States Department of Energy (DOE)); National Science Foundation(National Science Foundation (NSF))</t>
  </si>
  <si>
    <t>This research was supported by the National Oceanic and Atmospheric Administration for their support under Grant Nos. NA180AR4310293, NA160AR4310141, NA160AR4310149, and NA150AR4320064, the Department of Energy under Grant No. DESC0019433, and the National Science Foundation under Grant No. OCE1419569 and OCE1559151.</t>
  </si>
  <si>
    <t>IOP PUBLISHING LTD</t>
  </si>
  <si>
    <t>BRISTOL</t>
  </si>
  <si>
    <t>TEMPLE CIRCUS, TEMPLE WAY, BRISTOL BS1 6BE, ENGLAND</t>
  </si>
  <si>
    <t>1748-9326</t>
  </si>
  <si>
    <t>ENVIRON RES LETT</t>
  </si>
  <si>
    <t>Environ. Res. Lett.</t>
  </si>
  <si>
    <t>10.1088/1748-9326/abbc3e</t>
  </si>
  <si>
    <t>OF5PS</t>
  </si>
  <si>
    <t>WOS:000581260000001</t>
  </si>
  <si>
    <t>Wang, MW; Gao, C; Jiang, T; You, SY; Jiang, Y; Guo, C; He, H; Liu, YD; Zhang, XR; Shao, HB; Liu, HB; Liang, YT; Wang, M; McMinn, A</t>
  </si>
  <si>
    <t>Wang, Meiwen; Gao, Chen; Jiang, Tong; You, Siyuan; Jiang, Yong; Guo, Cui; He, Hui; Liu, Yundan; Zhang, Xinran; Shao, Hongbing; Liu, Hongbin; Liang, Yantao; Wang, Min; McMinn, Andrew</t>
  </si>
  <si>
    <t>Genomic analysis of Synechococcus phage S-B43 and its adaption to the coastal environment</t>
  </si>
  <si>
    <t>VIRUS RESEARCH</t>
  </si>
  <si>
    <t>Cyanophage; Myoviridae genome; Photosynthetic genes; Auxiliary metabolic genes</t>
  </si>
  <si>
    <t>MARINE CYANOMYOVIRUSES REVEALS; PHOTOSYNTHESIS GENES; SEASONAL-VARIATIONS; YELLOW SEA; PROCHLOROCOCCUS; CYANOPHAGES; BACTERIOPHAGE; DIVERSITY; LIGHT; PROTEINS</t>
  </si>
  <si>
    <t>Synechococcus dominate picocyanobacterial communities in coastal environments. However, only a few Synechococcus phages have been described from the coastal seas of the Northwest Pacific Ocean. Here a new Synechococcus phage, S-B43 was isolated from the Bohai Sea, a semi-closed coastal sea of the Northwest Pacific Ocean. S-B43 is a member of Myoviridae, containing 275 predicted open reading frames. Fourteen auxiliary metabolic genes (AMG) were identified from the genome of S-B43, including five photosynthetic associated genes and several AMGs related to its adaption to the high turbidity and eutrophic coastal environment with a low ratio of phosphorus to nitrogen (HNLP). The occurrences of 31 AMGs among 34 cyanophage genomes indicates that AMGs zwf, gnd, speD, petF and those coding for FECH and thioredoxin were more common in coastal areas than in the open ocean and AMGs pebS and hol were more prevalent in the open ocean. The occurrence of cyanophage AMGs in different environments might be a reflection of the environmental adaption of their hosts. This study contributes to our understanding of the interactions between cyanobacteria and cyanophages and their environmental adaption to the coastal environment.</t>
  </si>
  <si>
    <t>[Wang, Meiwen; Gao, Chen; Jiang, Tong; You, Siyuan; Jiang, Yong; Guo, Cui; He, Hui; Liu, Yundan; Zhang, Xinran; Shao, Hongbing; Liang, Yantao; Wang, Min; McMinn, Andrew] Ocean Univ China, Coll Marine Life Sci, Qingdao 266003, Peoples R China; [Jiang, Yong; Guo, Cui; Shao, Hongbing; Liang, Yantao; Wang, Min; McMinn, Andrew] Ocean Univ China, Inst Evolut &amp; Marine Biodivers, Qingdao 266003, Peoples R China; [Liu, Hongbin] Hong Kong Univ Sci &amp; Technol, Div Life Sci, Clear Water Bay, Hong Kong, Peoples R China; [McMinn, Andrew] Univ Tasmania, Inst Marine &amp; Antarctic Studies, Hobart, Tas 7001, Australia</t>
  </si>
  <si>
    <t>Ocean University of China; Ocean University of China; Hong Kong University of Science &amp; Technology; University of Tasmania</t>
  </si>
  <si>
    <t>Shao, HB; Liang, YT (corresponding author), Ocean Univ China, Coll Marine Life Sci, Qingdao 266003, Peoples R China.</t>
  </si>
  <si>
    <t>hbshao@ouc.edu.cn; liangyantao@ouc.edu.cn</t>
  </si>
  <si>
    <t>Li, Yan/JRW-0176-2023; LIU, HE/IQR-5714-2023; Wang, meiwen/IXN-2116-2023; Jiang, Yong/AGK-3016-2022; Wang, Min/AFR-9645-2022; Gao, Chen/AAT-5126-2021</t>
  </si>
  <si>
    <t>Jiang, Yong/0000-0002-4072-1668; Wang, Min/0000-0002-2357-589X; Gao, Chen/0000-0001-9892-7928; Jiang, Yong/0000-0001-6055-488X; liang, yan tao/0000-0002-2477-8197</t>
  </si>
  <si>
    <t>National Key Research and Development Program of China [2018YFC1406704]; Marine S&amp;T Fund of Shandong Province for Pilot National Laboratory for Marine Science and Technology (Qingdao); National Natural Science Foundation of China [41976117,41606153,41906126,41806131]; Fundamental Research Funds for the Central Universities [201812002,201912003]</t>
  </si>
  <si>
    <t>National Key Research and Development Program of China; Marine S&amp;T Fund of Shandong Province for Pilot National Laboratory for Marine Science and Technology (Qingdao); National Natural Science Foundation of China(National Natural Science Foundation of China (NSFC)); Fundamental Research Funds for the Central Universities(Fundamental Research Funds for the Central Universities)</t>
  </si>
  <si>
    <t>This work was supported by the National Key Research and Development Program of China (No. 2018YFC1406704), Marine S&amp;T Fund of Shandong Province for Pilot National Laboratory for Marine Science and Technology (Qingdao) (No.2018SDKJ0406-6), National Natural Science Foundation of China (No. 41976117,41606153,41906126,41806131), Fundamental Research Funds for the Central Universities (No. 201812002,201912003).</t>
  </si>
  <si>
    <t>0168-1702</t>
  </si>
  <si>
    <t>1872-7492</t>
  </si>
  <si>
    <t>VIRUS RES</t>
  </si>
  <si>
    <t>Virus Res.</t>
  </si>
  <si>
    <t>10.1016/j.virusres.2020.198155</t>
  </si>
  <si>
    <t>Virology</t>
  </si>
  <si>
    <t>OE6FT</t>
  </si>
  <si>
    <t>WOS:000580625200014</t>
  </si>
  <si>
    <t>Zhang, CD; Sirijovski, N; Adler, L; Ferrari, BC</t>
  </si>
  <si>
    <t>Zhang, Chengdong; Sirijovski, Nick; Adler, Lewis; Ferrari, Belinda C.</t>
  </si>
  <si>
    <t>Exophiala macquariensis sp. nov., a cold adapted black yeast species recovered from a hydrocarbon contaminated sub-antarctic soil (vol 123, pg 151, 2019)</t>
  </si>
  <si>
    <t>FUNGAL BIOLOGY</t>
  </si>
  <si>
    <t>Correction</t>
  </si>
  <si>
    <t>[Zhang, Chengdong; Ferrari, Belinda C.] UNSW, Sch Biotechnol &amp; Biomol Sci, Sydney, NSW 2052, Australia; [Sirijovski, Nick] Lund Univ, Div Pure &amp; Appl Biochem, S-22100 Lund, Sweden; [Adler, Lewis] UNSW, Bioanalyt Mass Spectrometry Facil, Sydney, NSW 2052, Australia</t>
  </si>
  <si>
    <t>University of New South Wales Sydney; Lund University; University of New South Wales Sydney</t>
  </si>
  <si>
    <t>Ferrari, BC (corresponding author), UNSW, Sch Biotechnol &amp; Biomol Sci, Sydney, NSW 2052, Australia.</t>
  </si>
  <si>
    <t>Ferrari, Belinda/AAI-3022-2020</t>
  </si>
  <si>
    <t>Ferrari, Belinda/0000-0001-5043-3726; Sirijovski, Nick/0000-0002-6191-3845</t>
  </si>
  <si>
    <t>1878-6146</t>
  </si>
  <si>
    <t>1878-6162</t>
  </si>
  <si>
    <t>FUNGAL BIOL-UK</t>
  </si>
  <si>
    <t>Fungal Biol.</t>
  </si>
  <si>
    <t>10.1016/j.funbio.2020.09.006</t>
  </si>
  <si>
    <t>Mycology</t>
  </si>
  <si>
    <t>OC9UJ</t>
  </si>
  <si>
    <t>WOS:000579501100007</t>
  </si>
  <si>
    <t>Zhang, ZL; Sun, JM; Lü, LX; Tian, SC; Cao, MM</t>
  </si>
  <si>
    <t>Zhang, Zhiliang; Sun, Jimin; Lu, Lixing; Tian, Shengchen; Cao, Mengmeng</t>
  </si>
  <si>
    <t>Neogene climate evolution of the Tarim Basin, NW China: Evidence from environmental magnetism of the southern Tian Shan foreland</t>
  </si>
  <si>
    <t>GLOBAL AND PLANETARY CHANGE</t>
  </si>
  <si>
    <t>Climate; Aridification; Neogene; Tarim Basin; Environmental magnetism</t>
  </si>
  <si>
    <t>SYNTECTONIC GROWTH STRATA; IRON-OXIDE MINERALOGY; ANTARCTIC ICE-SHEET; DEEP-SEA SEDIMENTS; TIEN-SHAN; BAICHENG DEPRESSION; CENOZOIC TECTONICS; TIBETAN PLATEAU; ROCK-MAGNETISM; XINING BASIN</t>
  </si>
  <si>
    <t>The Tarim Basin, located in the rain shadow of the Tibetan Plateau and other central Asian active orogens, is one of the most arid areas in the mid-latitude of the Northern Hemisphere. Its aridification history is important for understanding climate changes in the context of global cooling and regional tectonics. In this study, we present an environmental magnetism study of the early Miocene-early Pliocene (similar to 20-4 Ma) terrestrial sediments in the Southern Tian Shan foreland. Magnetic parameters representing the relative/absolute concentrations of hematite in the sediments, together with color parameters, are used to reconstruct the Neogene climate evolution of the Tarim Basin. Our results reveal that the Tarim Basin was dominated by relative warm and wet climate between similar to 17 Ma and similar to 14 Ma, corresponding to the Mid-Miocene Climatic Optimum (MMCO), followed by three step-wise cooling/drying events at similar to 14 Ma, 7 Ma and similar to 5.3 Ma, respectively. The dramatic cooling event at similar to 14 Ma is attributed to the expansion of East Antarctic Ice Sheet. The stepwise aridification at -7 Ma and similar to 5.3 Ma in the Tarim Basin was controlled first-order by global cooling but superimposed by regional tectonics. The late Miocene aridification at similar to 7 Ma is partly due to the reduced moisture transport to the Tarim Basin related to the Mediterranean Salinity. Basin-wide extreme aridification since similar to 5.3 Ma is dominated by the final collision between Pamir and Tian Shan, which blocked the water-vapor brought by the westerlies from the Paratethys Sea to the downwind Tarim Basin.</t>
  </si>
  <si>
    <t>[Zhang, Zhiliang; Sun, Jimin; Lu, Lixing; Tian, Shengchen; Cao, Mengmeng] Chinese Acad Sci, Inst Geol &amp; Geophys, Key Lab Cenozo Geol &amp; Environm, Beijing 100029, Peoples R China; [Sun, Jimin] Chinese Acad Sci, CAS Ctr Excellence Tibetan Plateau Earth Sci, Beijing 100101, Peoples R China; [Sun, Jimin; Lu, Lixing; Tian, Shengchen; Cao, Mengmeng] Univ Chinese Acad Sci, Beijing 100049, Peoples R China</t>
  </si>
  <si>
    <t>Chinese Academy of Sciences; Institute of Geology &amp; Geophysics, CAS; Chinese Academy of Sciences; Chinese Academy of Sciences; University of Chinese Academy of Sciences, CAS</t>
  </si>
  <si>
    <t>Zhang, ZL; Sun, JM (corresponding author), Chinese Acad Sci, Inst Geol &amp; Geophys, Key Lab Cenozo Geol &amp; Environm, Beijing 100029, Peoples R China.;Sun, JM (corresponding author), Chinese Acad Sci, CAS Ctr Excellence Tibetan Plateau Earth Sci, Beijing 100101, Peoples R China.;Sun, JM (corresponding author), Univ Chinese Acad Sci, Beijing 100049, Peoples R China.</t>
  </si>
  <si>
    <t>zlzhang@mail.iggcas.ac.cn; jmsun@mail.igcas.ac.cn</t>
  </si>
  <si>
    <t>cao, mengmeng/HJB-1637-2022; Cao, Mengmeng/JFA-9946-2023; Sun, Jimin/F-1240-2018; zhang, zhiliang/IUO-3330-2023</t>
  </si>
  <si>
    <t>Sun, Jimin/0000-0003-3516-1413; zhang, zhiliang/0009-0001-9306-7989</t>
  </si>
  <si>
    <t>Strategic Priority Research Program of Chinese Academy of Sciences [XDA20070202]; National Nature Science Foundation of China [41888101, 41702209, 41672168]</t>
  </si>
  <si>
    <t>Strategic Priority Research Program of Chinese Academy of Sciences(Chinese Academy of Sciences); National Nature Science Foundation of China(National Natural Science Foundation of China (NSFC))</t>
  </si>
  <si>
    <t>The environmental magnetic parameters used in this paper can be found at https://earthref.org/ERDA/2412/.This study was financially supported by the Strategic Priority Research Program of Chinese Academy of Sciences (XDA20070202), National Nature Science Foundation of China (41888101, 41702209 and 41672168). We thank Zhongshan Shen, Huihui Yang and Jianxing Liu for their help and useful discussion during the experiments.</t>
  </si>
  <si>
    <t>0921-8181</t>
  </si>
  <si>
    <t>1872-6364</t>
  </si>
  <si>
    <t>GLOBAL PLANET CHANGE</t>
  </si>
  <si>
    <t>Glob. Planet. Change</t>
  </si>
  <si>
    <t>10.1016/j.gloplacha.2020.103314</t>
  </si>
  <si>
    <t>OD4YP</t>
  </si>
  <si>
    <t>WOS:000579858500017</t>
  </si>
  <si>
    <t>Walters, A; Hindell, M; Goebel, ME; Bester, MN; Trathan, PN; Oosthuizen, WC; Lea, MA</t>
  </si>
  <si>
    <t>Walters, Andrea; Hindell, Mark; Goebel, Michael E.; Bester, Marthan N.; Trathan, Philip N.; Oosthuizen, W. Chris; Lea, Mary-Anne</t>
  </si>
  <si>
    <t>Southern Ocean isoscapes derived from a wide-ranging circumpolar marine predator, the Antarctic fur seal</t>
  </si>
  <si>
    <t>ECOLOGICAL INDICATORS</t>
  </si>
  <si>
    <t>Stable isotopes; Archival tissues; Connectivity patterns; Southern Ocean; Isoscapes; Pinniped; Marine predators; Spatial distribution</t>
  </si>
  <si>
    <t>STABLE-ISOTOPE ANALYSIS; ARCTOCEPHALUS-GAZELLA; FORAGING STRATEGIES; GEOGRAPHICAL VARIATION; POPULATION-CHANGES; BREEDING-SEASON; ELEPHANT SEALS; CLIMATE-CHANGE; DIET; CARBON</t>
  </si>
  <si>
    <t>The large-scale spatial patterns and primary drivers of food web dynamics across seascapes can be investigated using isotope ratios in marine consumers. However, interpreting complex signatures from mobile animals can require good knowledge of spatial isotopic variations in the environment. This is particularly true in the Southern Ocean where regional differences in the physical environment affect habitat predictability and predator foraging. We applied a retrospective-isotope approach integrated with tracking locations for a model species, the Antarctic fur seal (Arctocephalus gazella), to generate large-scale spatially-explicit predictions of isotopic gradients (isoscapes) across the Southern Ocean. Vibrissae and blood samples were collected during post- and pre-breeding periods from both Antarctic and sub-Antarctic breeding environments. Stable isotope values from vibrissae growth and serially sampled blood enabled the reconstruction of an isotopic time-series that could be directly related to feeding locations at sea. Tracked seals were widely distributed in the southern Atlantic and Indian Oceans, with important foraging activity centred on productive upwelling areas, oceanic frontal zones and shelf environments. Corresponding seal delta C-13 and delta N-15 values were positively correlated to the Southern Ocean latitudes at which the tracked individuals foraged. Breeding site, bi-monthly foraging period and foraging location all explained significant variation in isotopic values during migration. Isotopic variation was largely driven by the latitudinal and inshore/offshore gradient in delta C-13 and delta N-15 at the base of the food web in neritic and oceanic waters. These delineate the spatio-temporal isotopic variability of important foraging habitats, providing a valuable perspective on the spatial and seasonal distribution of predators and forage availability. Differences in inferred predator distribution within and between breeding locations have implications for relative exposure to anthropogenic threats from fisheries interactions and climate change. This study demonstrates that isotope tracers in archival tissues are useful indicators of resource partitioning by marine consumers to directly inform spatial conservation planning and ecosystem management strategies at the cross-basin scale.</t>
  </si>
  <si>
    <t>[Walters, Andrea; Hindell, Mark; Lea, Mary-Anne] Univ Tasmania, Inst Marine &amp; Antartic Studies, 20 Castray Esplanade, Hobart, Tas 7004, Australia; [Walters, Andrea; Hindell, Mark; Lea, Mary-Anne] Univ Tasmania, Antarctic Climate &amp; Ecosyst Cooperat Res Ctr, 20 Castray Esplanade, Hobart, Tas 7004, Australia; [Goebel, Michael E.] Univ Calif Santa Cruz, Inst Marine Sci, Santa Cruz, CA 95064 USA; [Goebel, Michael E.] NOAA, Antartic Ecosyst Res Div, Natl Marine Fisheries Serv, Southwest Fisheries Sci Ctr, 8901 La Jolla Shores Dr, La Jolla, CA 92037 USA; [Bester, Marthan N.; Oosthuizen, W. Chris] Univ Pretoria, Mammal Res Inst, Dept Zool &amp; Entomol, Private Bag X20, ZA-0028 Pretoria, South Africa; [Trathan, Philip N.] British Antarctic Survey, Madingley Rd, Cambridge CB3 0ET, England</t>
  </si>
  <si>
    <t>University of Tasmania; University of Tasmania; Antarctic Climate &amp; Ecosystems Cooperative Research Centre (ACE CRC); University of California System; University of California Santa Cruz; National Oceanic Atmospheric Admin (NOAA) - USA; University of Pretoria; UK Research &amp; Innovation (UKRI); Natural Environment Research Council (NERC); NERC British Antarctic Survey</t>
  </si>
  <si>
    <t>Walters, A (corresponding author), Inst Marine &amp; Antarctic Studies, Private Bag 129, Hobart, Tas 7001, Australia.</t>
  </si>
  <si>
    <t>Andrea.Walters@utas.edu.au</t>
  </si>
  <si>
    <t>Oosthuizen, W. Chris/I-2947-2016; Hindell, Mark A/K-1131-2013; Lea, Mary-Anne/E-9054-2013</t>
  </si>
  <si>
    <t>Oosthuizen, W. Chris/0000-0003-2905-6297; Walters, Andrea/0000-0002-7166-5689; Lea, Mary-Anne/0000-0001-8318-9299</t>
  </si>
  <si>
    <t>Sea World Research and Rescue Foundation Inc. Australia [SWR/3/2008, SWR/4/2009]; Australian Marine Mammal Centre at the Australian Antarctic Division [0809/5]; Winifred Violet Scott Charitable Trust [H0017526]; Australian Research Council [DP0770910]; Australian Antarctic Science Grant [2940]; British Antarctic Survey (BAS); U.S. Antarctic Marine Living Resources (US AMLR) Program; University of Pretoria; South African National Antarctic Program (SANAP); Australian Research Council [DP0770910] Funding Source: Australian Research Council; NERC [bas0100035] Funding Source: UKRI</t>
  </si>
  <si>
    <t>Sea World Research and Rescue Foundation Inc. Australia; Australian Marine Mammal Centre at the Australian Antarctic Division; Winifred Violet Scott Charitable Trust; Australian Research Council(Australian Research Council); Australian Antarctic Science Grant; British Antarctic Survey (BAS); U.S. Antarctic Marine Living Resources (US AMLR) Program; University of Pretoria; South African National Antarctic Program (SANAP); Australian Research Council(Australian Research Council); NERC(UK Research &amp; Innovation (UKRI)Natural Environment Research Council (NERC))</t>
  </si>
  <si>
    <t>This work was funded by Sea World Research and Rescue Foundation Inc. Australia (SWR/3/2008 and SWR/4/2009), the Australian Marine Mammal Centre at the Australian Antarctic Division (0809/5), the Winifred Violet Scott Charitable Trust (H0017526), the Australian Research Council (DP0770910) and the Australian Antarctic Science Grant (2940). This project was made possible by the collaboration and support of the British Antarctic Survey (BAS), U.S. Antarctic Marine Living Resources (US AMLR) Program, University of Pretoria and the South African National Antarctic Program (SANAP). Field and technical support was provided by R. Reisinger, E. Edwards, D. Malone, I. Staniland, R. Burner, C. Bonin, S. Freeman, R. Buchheit, N. Pussini, M. Wege, D. van der Merwe, T. McIntyre, A. Takahashi. Data support and discussions were provided by S. Sokolov, B. Arthur, M. Sumner, B. Raymond and I. Jonsen. We thank S. Bestley for valuable revisions that helped improve an earlier version of this manuscript. All animal handling and experimentation were approved by the University of Tasmania Animal Ethics Committee (permit A001134), the University of Pretoria Animal Use and Care Committee (permit AUCC 040827-024) and the joint British Antarctic Survey -Cambridge University Animal Ethics Review Committee (does not issue permit numbers). Work at Cape Shirreff was conducted under the USA Marine Mammal Protection Act Permit No. 774-1847-04 granted by the Office of Protected Resources, National Marine Fisheries Service, the Antarctic Conservation Act Permit No. 2008-008, and approved by the NMFS-SWFSC Institutional Animal Care and Use Committee.</t>
  </si>
  <si>
    <t>1470-160X</t>
  </si>
  <si>
    <t>1872-7034</t>
  </si>
  <si>
    <t>ECOL INDIC</t>
  </si>
  <si>
    <t>Ecol. Indic.</t>
  </si>
  <si>
    <t>10.1016/j.ecolind.2020.106694</t>
  </si>
  <si>
    <t>Biodiversity Conservation; Environmental Sciences</t>
  </si>
  <si>
    <t>OC2CF</t>
  </si>
  <si>
    <t>WOS:000578967500005</t>
  </si>
  <si>
    <t>Heneghan, RF; Everett, JD; Sykes, P; Batten, SD; Edwards, M; Takahashi, K; Suthers, IM; Blanchard, JL; Richardson, AJ</t>
  </si>
  <si>
    <t>Heneghan, Ryan F.; Everett, Jason D.; Sykes, Patrick; Batten, Sonia D.; Edwards, Martin; Takahashi, Kunio; Suthers, Iain M.; Blanchard, Julia L.; Richardson, Anthony J.</t>
  </si>
  <si>
    <t>A functional size-spectrum model of the global marine ecosystem that resolves zooplankton composition</t>
  </si>
  <si>
    <t>ECOLOGICAL MODELLING</t>
  </si>
  <si>
    <t>Zooplankton; Functional traits; Size-spectrum model; Marine ecosystem; Modelling</t>
  </si>
  <si>
    <t>BODY-SIZE; GROWTH-RATES; PHYTOPLANKTON COMMUNITY; CLEARANCE RATES; CLIMATE-CHANGE; CHLOROPHYLL-A; PREY SIZE; FISHERIES; COPEPODS; BIOMASS</t>
  </si>
  <si>
    <t>Despite their critical role as the main energy pathway between phytoplankton and fish, the functional complexity of zooplankton is typically poorly resolved in marine ecosystem models. Trait-based approaches-where zooplankton are represented with functional traits such as body size-could help improve the resolution of zooplankton in marine ecosystem models and their role in trophic transfer and carbon sequestration. Here, we present the Zooplankton Model of Size Spectra version 2 (ZooMSSv2), a functional size-spectrum model that resolves nine major zooplankton functional groups (heterotrophic flagellates, heterotrophic ciliates, larvaceans, omnivorous copepods, carnivorous copepods, chaetognaths, euphausiids, salps and jellyfish). Each group is represented by the functional traits of body size, size-based feeding characteristics and carbon content. The model is run globally at 5 degrees resolution to steady-state using long-term average temperature and chlorophyll a for each grid-cell. Zooplankton community composition emerges based on the relative fitness of the different groups. Emergent steady-state patterns of global zooplankton abundance, biomass and growth rates agree well with empirical data, and the model is robust to changes in the boundary conditions of the zooplankton. We use the model to consider the role of the zooplankton groups in supporting higher trophic levels, by exploring the sensitivity of steady-state fish biomass to the removal of individual zooplankton groups across the global ocean. Our model shows zooplankton play a key role in supporting fish biomass in the global ocean. For example, the removal of euphausiids or omnivorous copepods caused fish biomass to decrease by up to 80%. By contrast, the removal of carnivorous copepods caused fish biomass to increase by up to 75%. Our results suggest that including zooplankton complexity in ecosystem models could be key to better understanding the distribution of fish biomass and trophic efficiency across the global ocean.</t>
  </si>
  <si>
    <t>[Heneghan, Ryan F.; Everett, Jason D.; Sykes, Patrick; Richardson, Anthony J.] Univ Queensland, Ctr Applicat Nat Resource Math, Sch Math &amp; Phys, Brisbane, Qld, Australia; [Heneghan, Ryan F.] Univ Autonoma Barcelona, Inst Ciencia &amp; Tecnol Ambientals, Barcelona, Spain; [Heneghan, Ryan F.] Queensland Univ Technol, Sch Math Sci, Brisbane, Qld, Australia; [Everett, Jason D.; Suthers, Iain M.] Univ New South Wales, Sch Biol Earth &amp; Environm Sci, Sydney, NSW, Australia; [Everett, Jason D.; Blanchard, Julia L.] Univ Tasmania, Inst Marine &amp; Antarctic Studies, Hobart, Tas, Australia; [Batten, Sonia D.] Marine Biol Assoc UK, CPR Survey, Nanaimo, BC, Canada; [Edwards, Martin] Marine Biol Assoc UK, Citadel Hill, Plymouth, Devon, England; [Takahashi, Kunio] Natl Inst Polar Res, Tokyo, Japan; [Richardson, Anthony J.] CSIRO Oceans &amp; Atmosphere, Queensland Biosci Precinct, St Lucia, Qld, Australia</t>
  </si>
  <si>
    <t>University of Queensland; Autonomous University of Barcelona; Queensland University of Technology (QUT); University of New South Wales Sydney; University of Tasmania; Marine Biological Association United Kingdom; Research Organization of Information &amp; Systems (ROIS); National Institute of Polar Research (NIPR) - Japan; Commonwealth Scientific &amp; Industrial Research Organisation (CSIRO)</t>
  </si>
  <si>
    <t>Heneghan, RF (corresponding author), Univ Queensland, Ctr Applicat Nat Resource Math, Sch Math &amp; Phys, Brisbane, Qld, Australia.;Heneghan, RF (corresponding author), Univ Autonoma Barcelona, Inst Ciencia &amp; Tecnol Ambientals, Barcelona, Spain.;Heneghan, RF (corresponding author), Queensland Univ Technol, Sch Math Sci, Brisbane, Qld, Australia.</t>
  </si>
  <si>
    <t>ryan.heneghan@gmail.com</t>
  </si>
  <si>
    <t>Blanchard, Julia L/E-4919-2010; Richardson, Anthony J/B-3649-2010; Everett, Jason/C-4557-2008; Suthers, Iain/C-4559-2008</t>
  </si>
  <si>
    <t>Richardson, Anthony J/0000-0002-9289-7366; Sykes, Patrick/0000-0002-8530-5932; Blanchard, Julia/0000-0003-0532-4824; Heneghan, Ryan/0000-0001-7626-1248; Everett, Jason/0000-0002-6681-8054; Suthers, Iain/0000-0002-9340-7461</t>
  </si>
  <si>
    <t>Australian Government Research Training Program Scholarship the Spanish Ministry of Science, Innovation and Universities, through the Acciones de Programacion Conjunta Internacional [PCIN-2017-115]; Australian Government Research Training Program Scholarship; Australian Research Council [DP150102656, DP190102293]</t>
  </si>
  <si>
    <t>Australian Government Research Training Program Scholarship the Spanish Ministry of Science, Innovation and Universities, through the Acciones de Programacion Conjunta Internacional; Australian Government Research Training Program Scholarship(Australian GovernmentDepartment of Industry, Innovation and Science); Australian Research Council(Australian Research Council)</t>
  </si>
  <si>
    <t>RFH was funded by an Australian Government Research Training Program Scholarship the Spanish Ministry of Science, Innovation and Universities, through the Acciones de Programacion Conjunta Internacional (PCIN-2017-115). PS was supported by an Australian Government Research Training Program Scholarship. JDE was funded by Australian Research Council Discovery Projects DP150102656 and DP190102293.</t>
  </si>
  <si>
    <t>0304-3800</t>
  </si>
  <si>
    <t>1872-7026</t>
  </si>
  <si>
    <t>ECOL MODEL</t>
  </si>
  <si>
    <t>Ecol. Model.</t>
  </si>
  <si>
    <t>10.1016/j.ecolmodel.2020.109265</t>
  </si>
  <si>
    <t>NW5XG</t>
  </si>
  <si>
    <t>WOS:000575085700007</t>
  </si>
  <si>
    <t>Serrano-León, H; Christie, DA</t>
  </si>
  <si>
    <t>Serrano-Leon, Hernan; Christie, Duncan A.</t>
  </si>
  <si>
    <t>Tree-growth at the rear edge of a Nothofagus pumilio Andean forest from Northern Patagonia show different patterns and a decline in the common signal during the last century</t>
  </si>
  <si>
    <t>FOREST ECOLOGY AND MANAGEMENT</t>
  </si>
  <si>
    <t>Nothofagus pumilio; Mountain forests; Lower altitudinal margin; Rear edge; Tree-growth patterns</t>
  </si>
  <si>
    <t>DROUGHT-INDUCED TREE; RADIAL GROWTH; CLIMATE-CHANGE; ALTITUDINAL TREELINE; RING GROWTH; ELEVATION; DENDROCLIMATOLOGY; PRECIPITATION; VARIABILITY; MORTALITY</t>
  </si>
  <si>
    <t>Nothofagus pumilio is the dominant tree species at high elevations in the southern Andes between 35 degrees and 55 degrees S. Despite the number of tree-growth studies on this tree species, there is scarce information about the growth patterns and its relation with climatic variability at its lower elevation margin of distribution in the windward side of the Andes. In this study we focus on the altitudinal rear edge of a N. pumilio forest growing on the Pacific side of the northern Patagonian Andes to determine the main temporal patterns of tree radial growth, identify its relations with regional and large-scale climate and to assess the temporal variation of common signal in tree growth at centennial time-scales. A Principal Component Analysis (PCA) between trees for their common period 1850-2010 indicates the existence of more than one pattern of tree growth within this lower altitudinal margin, which exhibit contrasting relations with climate. The tree ring chronology and the PC1 amplitude of tree growth shows negative correlation with maximum temperature during spring-summer while the PC2 shows the contrary. Maps and correlation functions indicate that the PC1 and PC2 patterns of N. pumilio growth are significantly related with high latitude climate variability induced by the Antarctic Oscillation (AAO) during spring-summer in an opposite manner, with the PC1 (PC2) negatively (positively) correlated with the poleward displacement of the storm tracks driven by the mid- and high-latitude dipole pressure in the Southern Hemisphere. The running PCA between the standardized tree ring-width series shows a decreasing trend in the percentage of variance explained by the first mode of tree growth, indicating a centennial scale loss in the common signal of growth within the population, especially since mid-20th century when the behavior of the AAO was unprecedented within the context of the last millennium. Given that the future climatic scenario for northern Patagonia as predicted by models would led to more arid conditions forced by the positive trend of the AAO, we expect that the main pattern of N. pumilio growth at the rear edge of Choshuenco volcano will be negatively affected. Despite the present knowledge about N. pumilio radial growth in treeline environments, specific research is needed to gain insights about the complexity of the climate-growth relationship at its low elevation margin, in order to evaluate anomalies in tree growth patterns in the habitat where N. pumilio grows and competes with other low elevation species more tolerant to warmer conditions.</t>
  </si>
  <si>
    <t>[Serrano-Leon, Hernan; Christie, Duncan A.] Univ Austral Chile, Inst Conservac Biodiversidad &amp; Terr, Lab Dendrocronol &amp; Cambio Global, Valdivia, Chile; [Christie, Duncan A.] Ctr Climate &amp; Resilience Res CR2, Santiago, Chile</t>
  </si>
  <si>
    <t>Universidad Austral de Chile</t>
  </si>
  <si>
    <t>Christie, DA (corresponding author), Univ Austral Chile, Inst Conservac Biodiversidad &amp; Terr, Lab Dendrocronol &amp; Cambio Global, Fac Ciencias Forestales &amp; Recursos Nat, Campus Isla Teja, Valdivia, Chile.</t>
  </si>
  <si>
    <t>duncanchristieb@gmail.com</t>
  </si>
  <si>
    <t>Christie, Duncan A./Q-7114-2016</t>
  </si>
  <si>
    <t>Christie, Duncan A./0000-0003-2540-0986</t>
  </si>
  <si>
    <t>Chilean Research Council [FONDECYT 1201411, ANID/FONDAP/15110009]</t>
  </si>
  <si>
    <t>Chilean Research Council</t>
  </si>
  <si>
    <t>This work was supported by the Chilean Research Council (FONDECYT 1201411 and ANID/FONDAP/15110009).</t>
  </si>
  <si>
    <t>0378-1127</t>
  </si>
  <si>
    <t>1872-7042</t>
  </si>
  <si>
    <t>FOREST ECOL MANAG</t>
  </si>
  <si>
    <t>For. Ecol. Manage.</t>
  </si>
  <si>
    <t>Forestry</t>
  </si>
  <si>
    <t>OG6CW</t>
  </si>
  <si>
    <t>WOS:000581970500030</t>
  </si>
  <si>
    <t>Volstad, JH; Christman, M; Ferter, K; Kleiven, AR; Otterå, H; Aas, O; Arlinghaus, R; Borch, T; Colman, J; Hartill, B; Haugen, TO; Hyder, K; Lyle, JM; Ohldieck, MJ; Skov, C; Strehlow, HV; van Voorhees, D; Weltersbach, MS; Weber, ED</t>
  </si>
  <si>
    <t>Volstad, Jon Helge; Christman, Mary; Ferter, Keno; Kleiven, Alf Ring; Ottera, Hakon; Aas, Oystein; Arlinghaus, Robert; Borch, Trude; Colman, Jonathan; Hartill, Bruce; Haugen, Thrond O.; Hyder, Kieran; Lyle, Jeremy M.; Ohldieck, Martin Junker; Skov, Christian; Strehlow, Harry V.; van Voorhees, Dave; Weltersbach, Marc Simon; Weber, Edward D.</t>
  </si>
  <si>
    <t>Field surveying of marine recreational fisheries in Norway using a novel spatial sampling frame reveals striking under-coverage of alternative sampling frames</t>
  </si>
  <si>
    <t>angler fishery; cluster sampling; fishing tourism; marine recreational fisheries; probability-based survey; spatial sampling frame; tourist fishing; Voronoi polygons; water-distance</t>
  </si>
  <si>
    <t>FISHING EFFORT; CATCH; MANAGEMENT; ILLEGAL; IMPACT; RATES; SEA</t>
  </si>
  <si>
    <t>Norway has the highest participation rate in marine recreational fisheries (MRF) in Europe, and is popular among marine tourist anglers. Fishing licences are not required for marine recreational anglers, and the complex and long coastline makes on-site surveys a challenge. A novel approach for spatial sampling was developed and tested in on-site surveys, as part of a National study of MRF using multiple sampling frames including a telephone screening survey based on the national telephone directory. Field surveys were conducted in Troms and Hordaland Counties, and in the Oslofjord. We created spatial sampling frames of modified Voronoi polygons with continuous sea-surface area, with clusters of polygons as primary sampling units (PSUs). Interviews of intercepted anglers were obtained quarterly from a stratified sample of PSUs searched by boat. Many anglers interviewed in Troms (63%) and Hordaland (53%) were non-residents, of which 92 and 66% stayed in registered tourist fishing camps, respectively. Most anglers in the Oslofjord were residents, and in the inner Oslofjord, 63% of the resident anglers interviewed on-site were born outside Norway, which was not reflected in the telephone survey. Thus, if only off-site methods were used to map Norwegian MRF, this could lead to biased results in some regions.</t>
  </si>
  <si>
    <t>[Volstad, Jon Helge; Ferter, Keno; Kleiven, Alf Ring; Ottera, Hakon; Ohldieck, Martin Junker] Inst Marine Res, Nordnes POB 1870, N-5817 Bergen, Norway; [Christman, Mary] MCC Stat Consulting LLC, 2219 NW 23rd Terrace, Gainesville, FL 32605 USA; [Aas, Oystein] Norwegian Inst Nat Res NINA, Fakkelgarden, N-2624 Lillehammer, Norway; [Aas, Oystein; Colman, Jonathan; Haugen, Thrond O.] Norwegian Univ Life Sci, Fac Environm Sci &amp; Nat Resource Management, NO-1432 As, Norway; [Arlinghaus, Robert] Leibniz Inst Freshwater Ecol &amp; Inland Fisheries, Dept Biol &amp; Ecol Fishes, Muggelseedamm 310, D-12587 Berlin, Germany; [Arlinghaus, Robert] Humboldt Univ, Albrecht Daniel Thaer Inst Agr &amp; Hort, Fac Life Sci, Div Integrat Fisheries Management, Philippstr 13, D-10115 Berlin, Germany; [Borch, Trude] Akvaplan Niva AS, POB 6606, N-9296 Tromso, Norway; [Hartill, Bruce] NIWA, 41 Market Pl Viaduct Harbour, Auckland Cent 1010, New Zealand; [Hyder, Kieran] Ctr Environm Fisheries &amp; Aquaculture Sci Cefas, Pakefiled Rd, Lowestoft NR33 0HT, Suffolk, England; [Hyder, Kieran] Univ East Anglia, Sch Environm Sci, Norwich Res Pk, Norwich NR4 7TJ, Norfolk, England; [Lyle, Jeremy M.] Univ Tasmania, Inst Marine &amp; Antarctic Studies, Private Bag 49, Hobart, Tas 7001, Australia; [Skov, Christian] Tech Univ Denmark, Sect Inland Fisheries &amp; Ecol, DTU AQUA, Vejlsovej 39, DK-8600 Silkeborg, Denmark; [Strehlow, Harry V.; Weltersbach, Marc Simon] Thunen Inst Balt Sea Fisheries, Alter Hafen Sud 2, D-18069 Rostock, Germany; [van Voorhees, Dave] NOAA Fisheries, 1315 East West Highway, Silver Spring, MD 20910 USA; [Weber, Edward D.] NOAA, Southwest Fisheries Sci Ctr, 8901 La Jolla Shores Dr, La Jolla, CA 92037 USA</t>
  </si>
  <si>
    <t>Institute of Marine Research - Norway; Norwegian Institute Nature Research; Norwegian University of Life Sciences; Leibniz Institut fur Gewasserokologie und Binnenfischerei (IGB); Humboldt University of Berlin; Akvaplan-niva; Centre for Environment Fisheries &amp; Aquaculture Science; University of East Anglia; University of Tasmania; Technical University of Denmark; Johann Heinrich von Thunen Institute; National Oceanic Atmospheric Admin (NOAA) - USA; National Oceanic Atmospheric Admin (NOAA) - USA</t>
  </si>
  <si>
    <t>Volstad, JH (corresponding author), Inst Marine Res, Nordnes POB 1870, N-5817 Bergen, Norway.</t>
  </si>
  <si>
    <t>jonhelge@hi.no</t>
  </si>
  <si>
    <t>Weber, Edward D/A-6986-2009; Lyle, Jeremy M/J-7170-2014; Kleiven, Alf Ring/ABK-6111-2022; Skov, Christian/X-6511-2019; Vølstad, Jon Helge/V-2992-2019; Volstad, Jon Helge/B-7451-2014</t>
  </si>
  <si>
    <t>Weber, Edward D/0000-0002-0942-434X; Skov, Christian/0000-0002-8547-6520; Hyder, Kieran/0000-0003-1428-5679; Weltersbach, Marc Simon/0000-0001-9173-5157; Arlinghaus, Robert/0000-0003-2861-527X; Kleiven, Alf Ring/0000-0002-9330-8340; Christman, Mary/0000-0002-6608-7693; Volstad, Jon Helge/0000-0001-8738-8543; Strehlow, Harry/0000-0001-8765-3845</t>
  </si>
  <si>
    <t>Research Council of Norway [267808]; Institute of Marine Research</t>
  </si>
  <si>
    <t>Research Council of Norway(Research Council of Norway); Institute of Marine Research</t>
  </si>
  <si>
    <t>We thank the Research Council of Norway (project 267808, Marinforsk) and the Institute of Marine Research for funding (Coastal Zone Ecosystem Program), and the ICES Working Group on Recreational Fisheries Surveys (WGRFS) for expert input to methods. We thank: Russel Watkins (University of Florida, Gainesville) for GIS help with the creation of spatial sampling frame; the Norwegian Directorate of Fisheries and the Norwegian Coast Guard for providing ship time; Technicians at IMR, Akvaplan-niva, and the Norwegian University of Life Sciences for expertly conducting the field work and follow-up interviews, in the field often operating under challenging conditions because of rough weather; IMR staff who assisted with information material, design of catch diaries, and punching of data; Ole Brauteset for expert advice on the telephone survey; Opinion/Norstat for conducting the telephone screening survey and for recruiting and following up diarists. We also thank reviewers for feedback.</t>
  </si>
  <si>
    <t>10.1093/icesjms/fsz108</t>
  </si>
  <si>
    <t>WOS:000612212800016</t>
  </si>
  <si>
    <t>Antoni, JS; Almandoz, GO; Ferrario, ME; Hernando, MP; Varela, DE; Rozema, PD; Buma, AGJ; Paparazzo, FE; Schloss, IR</t>
  </si>
  <si>
    <t>Antoni, Julieta S.; Almandoz, Gaston O.; Ferrario, Martha E.; Hernando, Marcelo P.; Varela, Diana E.; Rozema, Patrick D.; Buma, Anita G. J.; Paparazzo, Flavio E.; Schloss, Irene R.</t>
  </si>
  <si>
    <t>Response of a natural Antarctic phytoplankton assemblage to changes in temperature and salinity</t>
  </si>
  <si>
    <t>JOURNAL OF EXPERIMENTAL MARINE BIOLOGY AND ECOLOGY</t>
  </si>
  <si>
    <t>Climate change; Antarctic phytoplankton assemblages; Chaetoceros socialis; Shionodiscus gaarderae; chlorophytes</t>
  </si>
  <si>
    <t>KING-GEORGE-ISLAND; SEA-ICE; CLIMATE-CHANGE; SIZE-STRUCTURE; COMMUNITY STRUCTURE; WEDDELL SEA; MARINE-PHYTOPLANKTON; NITRATE UPTAKE; ADMIRALTY BAY; DIATOMS</t>
  </si>
  <si>
    <t>The climate around the Western Antarctic Peninsula (WAP) is rapidly changing and dramatically affecting marine coastal waters. Increases in air and seawater temperatures, not matter how small, can alter coastal biological communities due to both temperature increases as well as salinity reduction from glacier melting. The aim of this study was to evaluate the individual and combined effects of elevated sea surface temperature (+ 4 degrees C) and decreased salinity (-4) on growth and assemblage composition of natural summer phytoplankton from Potter Cove (King George Island, South Shetlands, northern WAP), using an outdoor microcosm experiment. Pigment composition was analyzed by high performance liquid chromatography (HPLC/Chemtax) and species composition by light and electron microscopy. Increases in phytoplankton biomass during the first 3 days at elevated-temperatures coincided with an increase in the abundance and the specific growth rate of small centric diatoms (Chaetoceros socialis and Shionodiscus gaarderae, mostly observed in temperate waters) and unidentified small phytoflagellates &lt; 5 mu m. In contrast, pennate diatoms significantly decreased. At the end of the experiment on day 7, under nitrate and phosphate limitation, chlorophytes abundances increased under low salinity whereas prasinophytes decreased in all treatments. This study suggests that climate change could notably affect Antarctic phytoplankton composition by favouring temperate-water species previously undetected in Antarctic waters, such us S. gaarderae. Moreover, the observed changes in phytoplankton structure, associated with an increase of nano- over micro-size taxa, could have important implications for future Antarctic food webs.</t>
  </si>
  <si>
    <t>[Antoni, Julieta S.; Almandoz, Gaston O.; Ferrario, Martha E.] Univ Nacl La Plata, Div Ficol, Fac Ciencias Nat &amp; Museo, RA-1900 La Plata, Argentina; [Antoni, Julieta S.; Almandoz, Gaston O.; Ferrario, Martha E.; Schloss, Irene R.] Consejo Nacl Invest Cient &amp; Tecn, Buenos Aires, DF, Argentina; [Hernando, Marcelo P.] Comis Nacl Energia Atom, Dept Radiobiol, RA-1650 Buenos Aires, DF, Argentina; [Varela, Diana E.] Univ Victoria, Dept Biol, Victoria, BC V8W 2Y2, Canada; [Varela, Diana E.] Univ Victoria, Sch Earth &amp; Ocean Sci, Victoria, BC V8W 2Y2, Canada; [Rozema, Patrick D.; Buma, Anita G. J.] Univ Groningen, Dept Ocean Ecosyst, ESRIG, NL-9747 AG Groningen, Netherlands; [Paparazzo, Flavio E.] CESIMAR CONICET, Ctr Estudio Sistemas Marinos, Brown 2915, RA-9120 Puerto Madryn, Argentina; [Paparazzo, Flavio E.] Univ Nacl Patagonia San Juan Bosco, Inst Patagon Mar IPaM, Brown 3051, RA-9120 Puerto Madryn, Chubut, Argentina; [Schloss, Irene R.] Inst Antartico Argentino, C1064AAF, Buenos Aires, DF, Argentina; [Schloss, Irene R.] Ctr Austral Invest Cient CADIC CONICET, RA-9410 Ushuaia, Argentina; [Schloss, Irene R.] Univ Nacl Tierra del Fuego, RA-9410 Ushuaia, Argentina</t>
  </si>
  <si>
    <t>National University of La Plata; Museo La Plata; Consejo Nacional de Investigaciones Cientificas y Tecnicas (CONICET); Comision Nacional de Energia Atomica (CNEA); University of Victoria; University of Victoria; University of Groningen; Universidad Nacional de la Patagonia San Juan Bosco; Instituto Antartico Argentino; Consejo Nacional de Investigaciones Cientificas y Tecnicas (CONICET)</t>
  </si>
  <si>
    <t>Antoni, JS (corresponding author), Univ Nacl La Plata, Div Ficol, Fac Ciencias Nat &amp; Museo, RA-1900 La Plata, Argentina.</t>
  </si>
  <si>
    <t>julietaantoni@hotmail.com</t>
  </si>
  <si>
    <t>Buma, Anita GJ/E-8372-2015; Rozema, Patrick D/J-9546-2016</t>
  </si>
  <si>
    <t>Almandoz, Gaston O./0000-0001-7931-582X</t>
  </si>
  <si>
    <t>EU FP7-People-2012-IRSES programme (IMCONet) [318718]; H2020, MSCA-RISE-2019, Research and Innovation Staff Exchange [872609]</t>
  </si>
  <si>
    <t>EU FP7-People-2012-IRSES programme (IMCONet); H2020, MSCA-RISE-2019, Research and Innovation Staff Exchange</t>
  </si>
  <si>
    <t>This research was also supported by EU FP7-People-2012-IRSES programme (IMCONet, agreement no. 318718) and is a contribution to CoastCarb (Funding ID 872609, H2020, MSCA-RISE-2019, Research and Innovation Staff Exchange). We thank Diego Gimenez (IDEA-CONICET) and Gwenaelle Gremion (ISMER-UQAR, Rimouski, Canada) for their assistance during the experiments, as well as the personnel of the Carlini Station and the divers of the Prefectura Naval Argentina for their help during field work.</t>
  </si>
  <si>
    <t>0022-0981</t>
  </si>
  <si>
    <t>1879-1697</t>
  </si>
  <si>
    <t>J EXP MAR BIOL ECOL</t>
  </si>
  <si>
    <t>J. Exp. Mar. Biol. Ecol.</t>
  </si>
  <si>
    <t>10.1016/j.jembe.2020.151444</t>
  </si>
  <si>
    <t>OP7SH</t>
  </si>
  <si>
    <t>WOS:000588286400004</t>
  </si>
  <si>
    <t>Hudson, TS; Brisbourne, AM; Walter, F; Gräff, D; White, RS; Smith, AM</t>
  </si>
  <si>
    <t>Hudson, T. S.; Brisbourne, A. M.; Walter, F.; Graeff, D.; White, R. S.; Smith, A. M.</t>
  </si>
  <si>
    <t>Icequake Source Mechanisms for Studying Glacial Sliding</t>
  </si>
  <si>
    <t>seismology; glaciology; cryoseismology; icequakes; ice dynamics; sea level rise</t>
  </si>
  <si>
    <t>RUTFORD ICE STREAM; STICK-SLIP ICEQUAKES; WEST ANTARCTICA; BASAL CONDITIONS; MICRO-EARTHQUAKES; TILL; BENEATH; GORNERGLETSCHER; SHEAR; DEEP</t>
  </si>
  <si>
    <t>Improving our understanding of glacial sliding is crucial for constraining basal drag in ice dynamics models. We use icequakes, sudden releases of seismic energy as the ice slides over the bed, to provide geophysical observations that can be used to aid understanding of the physics of glacial sliding and constrain ice dynamics models. These icequakes are located at the bed of an alpine glacier in Switzerland and the Rutford Ice Stream, West Antarctica, two extremes of glacial settings and spatial scales. We investigate a number of possible icequake source mechanisms by performing full waveform inversions to constrain the fundamental physics and stress release during an icequake stick-slip event. Results show that double-couple mechanisms best describe the source for the events from both glacial settings and the icequakes originate at or very near the ice-bed interface. We also present an exploratory method for attempting to measure the till shear modulus, if indirect reflected icequake radiation is observed. The results of this study increase our understanding of how icequakes are associated with basal drag while also providing the foundation for a method of remotely measuring bed shear strength.</t>
  </si>
  <si>
    <t>[Hudson, T. S.; Brisbourne, A. M.; Smith, A. M.] NERC British Antarctic Survey, Cambridge, England; [Hudson, T. S.; White, R. S.] Univ Cambridge, Bullard Labs, Cambridge, England; [Walter, F.; Graeff, D.] Swiss Fed Inst Technol, Lab Hydraul Hydrol &amp; Glaciol VAW, Zurich, Switzerland</t>
  </si>
  <si>
    <t>University of Cambridge; Swiss Federal Institutes of Technology Domain; ETH Zurich</t>
  </si>
  <si>
    <t>Hudson, TS (corresponding author), NERC British Antarctic Survey, Cambridge, England.;Hudson, TS (corresponding author), Univ Cambridge, Bullard Labs, Cambridge, England.</t>
  </si>
  <si>
    <t>thomas.hudson@earth.ox.ac.uk</t>
  </si>
  <si>
    <t>Facility, NERC Geophysical Equipment/G-5260-2010; Hudson, Thomas/IQS-9833-2023; Brisbourne, Alex/E-6198-2013; Walter, Fabian/B-7490-2014</t>
  </si>
  <si>
    <t>Hudson, Thomas/0000-0003-2944-883X; Brisbourne, Alex/0000-0002-9887-7120; Graff, Dominik/0000-0003-1642-4783; SMITH, ANDREW/0000-0001-8577-482X; Walter, Fabian/0000-0001-6952-2761; White, Robert/0000-0002-2972-397X</t>
  </si>
  <si>
    <t>Cambridge Earth System Science NERC Doctoral Training Partnership [NE/L002507/1]; Swiss Federal Institute of Technology [ETH-06 16-12]; Swiss National Science Foundation [PP00P2 157551]; UK Natural Environment Research Council (NERC) [NE/B502287/1]; NERC [bas0100034] Funding Source: UKRI</t>
  </si>
  <si>
    <t>Cambridge Earth System Science NERC Doctoral Training Partnership; Swiss Federal Institute of Technology; Swiss National Science Foundation(Swiss National Science Foundation (SNSF)); UK Natural Environment Research Council (NERC)(UK Research &amp; Innovation (UKRI)Natural Environment Research Council (NERC)); NERC(UK Research &amp; Innovation (UKRI)Natural Environment Research Council (NERC))</t>
  </si>
  <si>
    <t>We thank Emma Smith for suggesting suitable icequakes to investigate from the Rutford Ice Stream data. We also thank the editor and reviewers for their comments that have contributed to a much improved manuscript. Tom Hudson was funded by the Cambridge Earth System Science NERC Doctoral Training Partnership (NE/L002507/1). The salary of Dominik Graff was provided by the Swiss Federal Institute of Technology via Grant ETH-06 16-12, and the salary of Fabian Walter was provided by the Swiss National Science Foundation (Grant PP00P2 157551).The Rutford Ice Stream work was supported by the UK Natural Environment Research Council (NERC) under grant NE/B502287/1; equipment was provided by NERC Geophysical Equipment Facility (loan 852). Department of Earth Sciences, University of Cambridge contribution number ESC4434.</t>
  </si>
  <si>
    <t>e2020JF005627</t>
  </si>
  <si>
    <t>10.1029/2020JF005627</t>
  </si>
  <si>
    <t>Green Submitted, Green Accepted, hybrid</t>
  </si>
  <si>
    <t>WOS:000595847000011</t>
  </si>
  <si>
    <t>Bradford, TE; Astudillo, JC; Lau, ETC; Perkins, MJ; Lo, CC; Li, TCH; Lam, CS; Ng, TPT; Strain, EMA; Steinberg, PD; Leung, KMY</t>
  </si>
  <si>
    <t>Bradford, Thea E.; Astudillo, Juan C.; Lau, Edward T. C.; Perkins, Matthew J.; Lo, Chi C.; Li, Tom C. H.; Lam, Chung S.; Ng, Terence P. T.; Strain, Elisabeth M. A.; Steinberg, Peter D.; Leung, Kenneth M. Y.</t>
  </si>
  <si>
    <t>Provision of refugia and seeding with native bivalves can enhance biodiversity on vertical seawalls</t>
  </si>
  <si>
    <t>Ecological restoration; Eco-engineering; Micro-habitat; Biodiversity conservation; Reclamation; Sustainable development</t>
  </si>
  <si>
    <t>INTERTIDAL BIODIVERSITY; COASTAL INFRASTRUCTURE; CRASSOSTREA-VIRGINICA; INVASION RESISTANCE; HABITAT COMPLEXITY; OCEAN SPRAWL; MARINE; HETEROGENEITY; OPPORTUNITIES; RESTORATION</t>
  </si>
  <si>
    <t>Recent studies have suggested that increasing habitat complexity of artificial seawalls by modifying surface heterogeneity could enhance exploitable habitat and therefore species richness and abundance. We tested the effects of adding complex tiles (with crevices/ledges) of different heterogeneity (i.e., flat tiles resembling the seawall vs. tiles with crevices of 2.5 cm or 5.0 cm depth) and seeding with native rock oysters, Saccostrea cuccullata (unseeded vs. seeded) on species richness and abundances of intertidal marine organisms on two vertical seawalls in Hong Kong. Tiles were affixed to the mid-intertidal zone of the seawalls for 12 months. The results showed that the tiles with crevices had greater species richness and cover of sessile epifauna than flat tiles. Seeding tiles with S. cuccullata also facilitated natural recruitment of the same species. Our results support the hypothesis that using eco-engineering to increase habitat complexity can enhance the biodiversity of in-tertidal marine organisms on seawalls.</t>
  </si>
  <si>
    <t>[Bradford, Thea E.; Astudillo, Juan C.; Lau, Edward T. C.; Perkins, Matthew J.; Lo, Chi C.; Li, Tom C. H.; Lam, Chung S.; Ng, Terence P. T.; Leung, Kenneth M. Y.] Univ Hong Kong, Swire Inst Marine Sci, Hong Kong, Peoples R China; [Bradford, Thea E.; Astudillo, Juan C.; Lau, Edward T. C.; Perkins, Matthew J.; Lo, Chi C.; Li, Tom C. H.; Lam, Chung S.; Ng, Terence P. T.; Leung, Kenneth M. Y.] Univ Hong Kong, Sch Biol Sci, Hong Kong, Peoples R China; [Perkins, Matthew J.] Swansea Univ, Dept Biosci, Singleton Pk, Swansea SA2 8PP, W Glam, Wales; [Strain, Elisabeth M. A.] Univ Tasmania, Inst Antarctic &amp; Marine Sci, Hobart, Tas 7000, Australia; [Steinberg, Peter D.] Univ New South Wales, Sch Biol Earth &amp; Environm Sci, Sydney, NSW 2052, Australia; [Steinberg, Peter D.] Univ New South Wales, Ctr Marine Sci &amp; Innovat, Sydney, NSW 2052, Australia; [Steinberg, Peter D.] Sydney Inst Marine Sci, Mosman, NSW 2088, Australia; [Steinberg, Peter D.] Nanyang Technol Univ, Singapore Ctr Environm Life Sci Engn, Singapore 637551, Singapore; [Leung, Kenneth M. Y.] City Univ Hong Kong, State Key Lab Marine Pollut, Kowloon, Tat Chee Ave, Hong Kong, Peoples R China; [Leung, Kenneth M. Y.] City Univ Hong Kong, Dept Chem, Kowloon, Tat Chee Ave, Hong Kong, Peoples R China</t>
  </si>
  <si>
    <t>University of Hong Kong; University of Hong Kong; Swansea University; University of Tasmania; University of New South Wales Sydney; University of New South Wales Sydney; Sydney Institute of Marine Science; Nanyang Technological University; City University of Hong Kong; City University of Hong Kong</t>
  </si>
  <si>
    <t>Astudillo, JC; Leung, KMY (corresponding author), City Univ Hong Kong, State Key Lab Marine Pollut, Kowloon, Tat Chee Ave, Hong Kong, Peoples R China.</t>
  </si>
  <si>
    <t>jcarlos@connect.hku.hk; kmyleung@cityu.edu.hk</t>
  </si>
  <si>
    <t>li, tom/HNS-8647-2023; Strain, Elisabeth/U-3520-2017; Leung, Kenneth Mei Yee/C-1055-2009</t>
  </si>
  <si>
    <t>Astudillo Placencia, Juan Carlos/0000-0002-3350-8279; Bradford, Thea/0000-0001-9257-9547; Strain, Elisabeth/0000-0003-2165-9544; Leung, Kenneth Mei Yee/0000-0002-2164-4281; Steinberg, Peter/0000-0002-1781-0726</t>
  </si>
  <si>
    <t>Civil Engineering and Development Department (CEDD) of the Government of the Hong Kong Special Administrative Region of China; Civil Engineering and Development Department [FM 03/2018, PW 2/2017-014]; School of Biological Sciences of the University of Hong Kong; World Harbour Project; Sydney Institute of Marine Science; National Research Foundation, Prime Minister's Office, Singapore, under its Marine Science Research and Development Programme [MSRDP-05]</t>
  </si>
  <si>
    <t>Civil Engineering and Development Department (CEDD) of the Government of the Hong Kong Special Administrative Region of China; Civil Engineering and Development Department; School of Biological Sciences of the University of Hong Kong; World Harbour Project; Sydney Institute of Marine Science; National Research Foundation, Prime Minister's Office, Singapore, under its Marine Science Research and Development Programme(National Research Foundation, Singapore)</t>
  </si>
  <si>
    <t>The authors would like to thank the Civil Engineering and Development Department (CEDD) of the Government of the Hong Kong Special Administrative Region of China for supporting this project in terms of provision the two trial sites, professional advices on engineering aspects, and funding support to other trials of eco-engineered shorelines in Hong Kong. TE Bradford, JC Astudillo, ETC Lau, CC Lo and CH Li were partially supported by The Civil Engineering and Development Department (Project numbers: FM 03/2018 and PW 2/2017-014). We also sincerely thank the School of Biological Sciences of the University of Hong Kong, the World Harbour Project and Sydney Institute of Marine Science for providing financial, logistic and manpower supports to make this work possible. This research is partially supported by the National Research Foundation, Prime Minister's Office, Singapore, under its Marine Science Research and Development Programme (Award No. MSRDP-05). We are also grateful to Prof. Gray A. Williams for providing equipment for the implementation of the study and comments on an early draft of the manuscript.</t>
  </si>
  <si>
    <t>10.1016/j.marpolbul.2020.111578</t>
  </si>
  <si>
    <t>OO8KT</t>
  </si>
  <si>
    <t>WOS:000587624400003</t>
  </si>
  <si>
    <t>Thorhaug, A; Gallagher, JB; Kiswara, W; Prathep, A; Huang, XP; Yap, TK; Dorward, S; Berlyn, G</t>
  </si>
  <si>
    <t>Thorhaug, A.; Gallagher, John Barry; Kiswara, W.; Prathep, Anchana; Huang, Xiaoping; Yap, Tzuen-Kiat; Dorward, Sue; Berlyn, Graeme</t>
  </si>
  <si>
    <t>Coastal and estuarine blue carbon stocks in the greater Southeast Asia region: Seagrasses and mangroves per nation and sum of total</t>
  </si>
  <si>
    <t>Blue carbon seagrass; Blue carbon mangroves; Tropical Southeast Asian blue carbon; Black carbon; Southeast Asia tropical estuarine carbon; Blue Carbon</t>
  </si>
  <si>
    <t>GULF-OF-MEXICO; COMMUNITY STRUCTURE; HAINAN ISLAND; STORAGE; FORESTS; SEQUESTRATION; DYNAMICS; MARINE; SEA; NUTRIENT</t>
  </si>
  <si>
    <t>Climate Change solutions include CO2 extraction from atmosphere and water with burial by living habitats in sedi-ment/soil. Nowhere on the planet are blue carbon plants which carry out massive carbon extraction and permanent burial more intensely concentrated than in SE Asia. For the first time we make a national and total inventory of data to date for blue carbon buried from mangroves and seagrass and delineate the constraints. For an area across Southeast Asia of approximately 12,000,000 km(2), supporting mangrove forests (5,116,032 ha) and seagrass meadows (6,744,529 ha), we analyzed the region's current blue carbon stocks. This estimate was achieved by integrating the sum of estuarine in situ carbon stock measurements with the extent of mangroves and seagrass across each nation, then summed for the region. We found that mangroves ecosystems regionally supported the greater amount of organic carbon (3095.19Tg Corg in 1st meter) over that of seagrass (1683.97 Tg Corg in 1st meter), with corresponding stock densities ranging from 15 to 2205 Mg ha(-1) and 31.3 to 2450 Mg ha(-1) respectively, a likely underestimate for entire carbon including sediment depths. The largest carbon stocks are found within Indonesia, followed by the Philippines, Papua New Guinea, Myanmar, Malaysia, Thailand, Tropical China, Viet-Nam, and Cambodia. Compared to the blue carbon hotspot of tropical/subtropical Gulf of Mexico's total carbon stock (480.48 Tg Corg), Southeast Asia's greater mangrove-seagrass stock density appears a more intense Blue Carbon hotspot (4778.66 Tg Corg). All regional Southeast Asian nation states should assist in superior preservation and habitat restoration plus similar measures in the USA &amp; Mexico for the Gulf of Mexico, as apparently these form two of the largest tropical carbon sinks within coastal waters. We hypothesize it is SE Asia's regionally unique oceanic-geologic conditions, placed squarely within the tropics, which are largely responsible for this blue carbon hotspot, that is, consistently high ambient light levels and year-long warm temperatures, together with consistently strong inflow of dissolved carbon dioxide and upwelling of nutrients across the shallow geological plates.</t>
  </si>
  <si>
    <t>[Thorhaug, A.; Berlyn, Graeme] Yale Univ, Sch Forestry &amp; Environm Studies, New Haven, CT 06511 USA; [Gallagher, John Barry] Univ Tasmania, Inst Marine &amp; Antarctic Studies, Hobart, Tas 7000, Australia; [Kiswara, W.] Indonesian Inst Sci, Div Earth Sci, Jakarta, Indonesia; [Prathep, Anchana] Prince Songkla Univ, Seaweed &amp; Seagrass Res Unit, Hat Yai 90112, Songkhla, Thailand; [Huang, Xiaoping] Chinese Acad Sci, South China Sea Inst Oceanol, Guangzhou, Peoples R China; [Yap, Tzuen-Kiat] Univ Malaysia Sabah, Borneo Marine Res Inst, Kota Kinabalu, Sabah, Malaysia; [Dorward, Sue] Raritan Valley Community Coll, Branchburg Township, NJ USA</t>
  </si>
  <si>
    <t>Yale University; University of Tasmania; National Research &amp; Innovation Agency of Indonesia (BRIN); Indonesian Institute of Sciences (LIPI); Prince of Songkla University; Chinese Academy of Sciences; South China Sea Institute of Oceanology, CAS; Universiti Malaysia Sabah</t>
  </si>
  <si>
    <t>Thorhaug, A (corresponding author), Yale Univ, Sch Forestry &amp; Environm Studies, New Haven, CT 06511 USA.</t>
  </si>
  <si>
    <t>athorhaug@msn.com; JohnBarry.Gallagher@utas.edu.au; susandorward@gmail.com</t>
  </si>
  <si>
    <t>Huang, xp/JRX-2837-2023; Gallagher, John/JVP-1711-2024</t>
  </si>
  <si>
    <t>Kempner Foundation</t>
  </si>
  <si>
    <t>We thank the International Seagrass Workshops in Hainan China and in Singapore for bringing the group together. We thank all those whose extent data was utilized, as well as those whose carbon sequestered data was utilized. In particular we thank Giri et al., Spalding, Lamit, Hutchinson, Freiss, Hamilton, Alongi et al., Rattaoni, Miyajima et al., Jiang et al., Ha et al., Li, Ren, Liu et al., Huong et al., Silverstrum, Shearman, Yucaob, et al. and others' data we cited. Funding sources to create this document include Kempner Foundation.</t>
  </si>
  <si>
    <t>10.1016/j.marpolbul.2020.111168</t>
  </si>
  <si>
    <t>WOS:000587629000007</t>
  </si>
  <si>
    <t>Thorhaug, A; Belaire, C; Verduin, JJ; Schwarz, A; Kiswara, W; Prathep, A; Gallagher, JB; Huang, XP; Berlyn, G; Yap, TK; Dorward, S</t>
  </si>
  <si>
    <t>Thorhaug, Anitra; Belaire, Charles; Verduin, Jennifer J.; Schwarz, Arthur; Kiswara, Wawan; Prathep, Anchana; Gallagher, John Barry; Huang, Xiao Ping; Berlyn, Graeme; Yap, Tzuen-Kiat; Dorward, Susan</t>
  </si>
  <si>
    <t>Longevity and sustainability of tropical and subtropical restored seagrass beds among Atlantic, Pacific, and Indian Oceans</t>
  </si>
  <si>
    <t>SEAGRASS restoration longevity; Tropical seagrass restoration longevity; Seagrass longevity; Seagrass tropical restoration; Thalassia longevity; Halodule longevity; Enhalus longevity; Posidonia longevity</t>
  </si>
  <si>
    <t>HALODULE-WRIGHTII; GALVESTON BAY; POSIDONIA-SINUOSA; LAGUNA-MADRE; RESTORATION; HABITAT; CARBON; TRANSPLANTATION; RECOVERY; BIOMASS</t>
  </si>
  <si>
    <t>Seagrass longevity up to 47 years in well-restored, well-sited seagrass restorations are demonstrated from 253 trials at 83 regional sites in tropical and subtropical portions of three oceans (Atlantic, Pacific, Indian Oceans). These trials include over 3.04 million planted units into 306.3 ha. Approximately 12% of the total global tropical restored seagrass by Van Katwijk, Thorhaug et al. (2016) calculations from 1786 trials are included. Almost all projects herein reviewed persisted since date of planting except several cases with harsh anthropogenic impact or forceful natural events in first post-planting months. The oldest tropical/subtropical restoration continually observed is 47 yrs, many are 35 yrs. An array of observed and/or measured restored services accompanied these. This review may provide informational background for government resource managers, legislators, scientists, and citizens concerning tropical/subtropical seagrass longevity. This data from these trials may substantiate future seagrass restoration investments. Public outreach, national &amp; regional government training,and outreach occurred, needing continuation.</t>
  </si>
  <si>
    <t>[Thorhaug, Anitra] Yale Univ, Sch Forestry &amp; Environm Studies, 1359 SW 22 Terrace, Miami, FL 33145 USA; [Belaire, Charles] Belaire Environm Inc, Rockport, TX USA; [Verduin, Jennifer J.] Mudoch Univ, Ctr Fish Fisheries &amp; Aquat Ecosyst Res, Oceanog, Perth, WA, Australia; [Schwarz, Arthur] Southwestern Adventist Univ, Biol Dept, Keene, TX USA; [Kiswara, Wawan] Indonesian Inst Sci, Div Earth Sci, Jakarta, Indonesia; [Prathep, Anchana] Prince Songkla Univ, Excellence Ctr Biodivers Peninsular Thailand, Seaweed &amp; Seagrass Res Unit, Hat Yai 90112, Songkhla, Thailand; [Gallagher, John Barry] Univ Tasmania, Inst Marine &amp; Antarctic Studies, Hobart, Tas 7000, Australia; [Huang, Xiao Ping] Chinese Acad Sci, South China Sea Inst Oceanol, Guangzhou, Peoples R China; [Berlyn, Graeme] Yale Univ, Sch Forestry &amp; Environm Studies, New Haven, CT 06511 USA; [Yap, Tzuen-Kiat] Univ Malaysia Sabah, Borneo Marine Res Inst, Kota Kinabalu, Sabah, Malaysia; [Dorward, Susan] Raritan Valley Community Coll, Branchburg, NJ USA</t>
  </si>
  <si>
    <t>Yale University; National Research &amp; Innovation Agency of Indonesia (BRIN); Indonesian Institute of Sciences (LIPI); Prince of Songkla University; University of Tasmania; Chinese Academy of Sciences; South China Sea Institute of Oceanology, CAS; Yale University; Universiti Malaysia Sabah</t>
  </si>
  <si>
    <t>Thorhaug, A (corresponding author), Yale Univ, Sch Forestry &amp; Environm Studies, 1359 SW 22 Terrace, Miami, FL 33145 USA.</t>
  </si>
  <si>
    <t>athorhaug@msn.com; J.Verduin@murdoch.edu.au; schwarz.arthur@swau.edu; wawan.kiswara@nioz.nl; anchana.p@psu.ac.th; johnbarry.gallagher@utas.edu.au; xphuang@scsio.ac.cn; Graeme.berlyn@yale.edu; mic_yap05@hotmail.com; Susan.Dorward@raritanval.edu</t>
  </si>
  <si>
    <t>Huang, xp/JRX-2837-2023; Gallagher, John/JVP-1711-2024; Verduin, Jennifer/B-2102-2014</t>
  </si>
  <si>
    <t>Prathep, Anchana/0000-0001-9411-3708; Verduin, Jennifer/0000-0002-1538-7813</t>
  </si>
  <si>
    <t>Fina Gas Oil of Texas; Lock Liddell; USAEC,in TEXAS USA; G.P. &amp; C.W Mitchell Foundation, Woodlands, TX, USA; Kempner Foundation, Galveston, TX USA; JM Gray, Burton TX, USA; AH Oerke, Greater Caribbean Energy and Environment Foundation, Miami, Fl USA</t>
  </si>
  <si>
    <t>We thank the authors with whose permission we cited their data and compared to our Texas data. Specifically Wawan Kismura, Jennifer J. Verduin, Eric I. Paling, Michael Van Kuelen, Beverly Miller, Peter Gayle, Barry Jupp, and others. Andrew Oerke is thanked for his prodigious efforts in the FINA project in Texas and his continual support to get the other Texas projects going. The Belaire plantings were sponsored by Bright and Company, City of Corpus Christi, Demit Pier, T.W. LaQuay Dredging Inc., LeBouf Brothers Towing, Kiewit Offshore Services, and South Padre Island /Development all of Corpus Christi and South Padre Island, TX, USA and Mitchell Energy, Houston, TX. The Thorhaug/Schwarz restorations were sponsored by Fina Gas &amp; Oil of Texas (changed to Elf/Aquitaine, then Alon), Lock Liddell, for mitigation to TGLO and USAEC,in TEXAS USA,G.P. &amp; C.W Mitchell Foundation, Woodlands, TX, USA, the Kempner Foundation, Galveston, TX USA, and JM Gray, Burton TX, USA, AH Oerke, Greater Caribbean Energy and Environment Foundation, Miami, Fl USA. Other examples we cite give acknowledgements to funding sources within their publications.</t>
  </si>
  <si>
    <t>10.1016/j.marpolbul.2020.111544</t>
  </si>
  <si>
    <t>WOS:000587626000009</t>
  </si>
  <si>
    <t>Yap, VHS; Chase, Z; Wright, JT; Hurd, CL; Lavers, JL; Lenz, M</t>
  </si>
  <si>
    <t>Yap, Vincent H. S.; Chase, Zanna; Wright, Jeffrey T.; Hurd, Catriona L.; Lavers, Jennifer L.; Lenz, Mark</t>
  </si>
  <si>
    <t>A comparison with natural particles reveals a small specific effect of PVC microplastics on mussel performance</t>
  </si>
  <si>
    <t>Benthic filter feeders; Body condition index; Microplastics; Mytilus galloprovincialis; Polyvinyl chloride; Suspended solids</t>
  </si>
  <si>
    <t>SUSPENDED BOTTOM MATERIAL; MYTILUS-EDULIS; FRESH-WATER; GALLOPROVINCIALIS; ABSORPTION; SELECTION; EXPOSURE; ENVIRONMENT; RESPONSES; SEDIMENT</t>
  </si>
  <si>
    <t>Effects of microplastics on marine taxa have become a focal point in marine experimental biology. Almost all studies so far, however, assessed the influence of microplastics on animals only in relation to a zero-particle group. Documented microplastic impacts may thus be overestimated, since many marine species also experience natural suspended solids as a stressor. Here, we compared the effects of polyvinyl chloride (PVC) and red clay (mean for both particles: similar to 12-14 mu m) on the Mediterranean mussel Mytilus galloprovincialis across three particle concentrations (1.5, 15, 150 mg l(-1)). Exposure to PVC for 35 days lowered mussel body condition index by 14% in relation to clay, but no difference in byssus production, respiration and survival rates emerged between the two particle types. This suggests that the effects of synthetic particles on filter feeders may emulate those of natural suspended solids, and highlights the importance of including natural particles in microplastic exposure studies.</t>
  </si>
  <si>
    <t>[Yap, Vincent H. S.; Chase, Zanna; Wright, Jeffrey T.; Hurd, Catriona L.; Lavers, Jennifer L.] Univ Tasmania, Inst Marine &amp; Antarctic Studies, 20 Castray Esplanade, Battery Point, Tas 7004, Australia; [Lenz, Mark] GEOMAR Helmholtz Ctr Ocean Res Kiel, Wischhofst 1-3, D-24148 Kiel, Germany</t>
  </si>
  <si>
    <t>University of Tasmania; Helmholtz Association; GEOMAR Helmholtz Center for Ocean Research Kiel</t>
  </si>
  <si>
    <t>Yap, VHS (corresponding author), Univ Tasmania, Inst Marine &amp; Antarctic Studies, 20 Castray Esplanade, Battery Point, Tas 7004, Australia.</t>
  </si>
  <si>
    <t>hyap@utas.edu.au</t>
  </si>
  <si>
    <t>Yap, Vincent/GXV-4340-2022; Lenz, Mark/AAG-1734-2021; Lavers, Jennifer/O-4831-2017; Lavers, Jennifer/IWM-5417-2023; Chase, Zanna/E-9232-2013; Hurd, Catriona/J-2411-2013; Wright, Jeffrey/J-7536-2014</t>
  </si>
  <si>
    <t>Yap, Vincent/0000-0003-2381-1896; Lavers, Jennifer/0000-0001-7596-6588; Chase, Zanna/0000-0001-5060-779X; Hurd, Catriona/0000-0001-9965-4917; Wright, Jeffrey/0000-0002-1085-4582</t>
  </si>
  <si>
    <t>GAME</t>
  </si>
  <si>
    <t>This study was conducted in the framework of the international research and student training program GAME (Global Approach by Modular Experiments), which is coordinated by GEOMAR Helmholtz Center for Ocean Research Kiel, Germany. We thank all sponsors of GAME who made this study possible. We also thank the GAME participants of 2019, especially M. Greulich and J. Barkhau, for their contributions to this project. Logistical assistance and equipment were generously provided by IMAS lab managers, T. Bolton and K. Castrisios. A. Randby, C. Ong, T. Daly, and two anonymous reviewers provided constructive feedback on earlier versions of this manuscript.</t>
  </si>
  <si>
    <t>10.1016/j.marpolbul.2020.111703</t>
  </si>
  <si>
    <t>QS8HM</t>
  </si>
  <si>
    <t>WOS:000626134600020</t>
  </si>
  <si>
    <t>Fujimoto, Y; Krumholz, MR; Inutsuka, S; Boss, AP; Nittler, LR</t>
  </si>
  <si>
    <t>Fujimoto, Yusuke; Krumholz, Mark R.; Inutsuka, Shu-ichiro; Boss, Alan P.; Nittler, Larry R.</t>
  </si>
  <si>
    <t>Formation and evolution of the local interstellar environment: combined constraints from nucleosynthetic and X-ray data</t>
  </si>
  <si>
    <t>MONTHLY NOTICES OF THE ROYAL ASTRONOMICAL SOCIETY</t>
  </si>
  <si>
    <t>Earth; stars: massive; ISM: bubbles; Galaxy: general; gamma-rays: ISM; X-rays: ISM</t>
  </si>
  <si>
    <t>SUPERNOVAE; GALAXIES</t>
  </si>
  <si>
    <t>Several observations suggest that the Solar system has been located in a region affected by massive stellar feedback for at least a few Myr; these include detection of live Fe-60 in deep-sea archives and Antarctic snow, the broad angular distribution of Al-26 around the Galactic plane seen in all-sky gamma-ray maps, and the all-sky soft X-ray background. However, our position inside the Galactic disc makes it difficult to fully characterize this environment, and our limited time baseline provides no information about its formation history or relation to large-scale galactic dynamics. We explore these questions by using an N-body + hydrodynamics simulation of a Milky-Way-like galaxy to identify stars on Sun-like orbits whose environments would produce conditions consistent with those we observe. We find that such stars are uncommon but not exceptionally rare. These stars are found predominantly near the edges of spiral arms, and lie inside kpc-scale bubbles that are created by multiple generations of star formation in the arm. We investigate the stars' trajectories and find that the duration of the stay in the bubble ranges from 20 to 90Myr. The duration is governed by the crossing time of stars across the spiral arm. This is generally shorter than the bubble lifetime, which is similar to 100 Myr as a result of the continuous gas supply provided by the arm environment.</t>
  </si>
  <si>
    <t>[Fujimoto, Yusuke; Boss, Alan P.; Nittler, Larry R.] Carnegie Inst Sci, Earth &amp; Planets Lab, 5241 Broad Branch Rd NW, Washington, DC 20015 USA; [Krumholz, Mark R.] Australian Natl Univ, Res Sch Astron &amp; Astrophys, Canberra, ACT 2611, Australia; [Krumholz, Mark R.] ARC Ctr Excellence Astron Three Dimens ASTRO 3D, Canberra, ACT 2611, Australia; [Inutsuka, Shu-ichiro] Nagoya Univ, Dept Phys, Chikusa Ku, Furo Cho, Nagoya, Aichi 4648602, Japan</t>
  </si>
  <si>
    <t>Carnegie Institution for Science; Australian National University; Nagoya University</t>
  </si>
  <si>
    <t>Fujimoto, Y (corresponding author), Carnegie Inst Sci, Earth &amp; Planets Lab, 5241 Broad Branch Rd NW, Washington, DC 20015 USA.</t>
  </si>
  <si>
    <t>yfujimoto@carnegiescience.edu</t>
  </si>
  <si>
    <t>Inutsuka, Shu-ichiro/I-7024-2014</t>
  </si>
  <si>
    <t>Krumholz, Mark/0000-0003-3893-854X; Fujimoto, Yusuke/0000-0002-2107-1460</t>
  </si>
  <si>
    <t>Australian Research Council [FT180100375]; JSPS KAKENHI [16H02160, 18H05436, 18H05437]; Australian Government; Australian Research Council [FT180100375] Funding Source: Australian Research Council</t>
  </si>
  <si>
    <t>Australian Research Council(Australian Research Council); JSPS KAKENHI(Ministry of Education, Culture, Sports, Science and Technology, Japan (MEXT)Japan Society for the Promotion of ScienceGrants-in-Aid for Scientific Research (KAKENHI)); Australian Government(Australian Government); Australian Research Council(Australian Research Council)</t>
  </si>
  <si>
    <t>MRK acknowledges support from the Australian Research Council through Future Fellowship FT180100375. SI is supported by JSPS KAKENHI Grant Numbers 16H02160, 18H05436, and 18H05437. Simulations were carried out on the Cray XC50 at the Center for Computational Astrophysics (CfCA) of the National Astronomical Observatory of Japan, the Gadi at the National Computational Infrastructure (NCI), which is supported by the Australian Government, and Oakforest-PACS provided by Multidisciplinary Cooperative Research Program in Center for Computational Sciences, University of Tsukuba.</t>
  </si>
  <si>
    <t>0035-8711</t>
  </si>
  <si>
    <t>1365-2966</t>
  </si>
  <si>
    <t>MON NOT R ASTRON SOC</t>
  </si>
  <si>
    <t>Mon. Not. Roy. Astron. Soc.</t>
  </si>
  <si>
    <t>10.1093/mnras/staa2778</t>
  </si>
  <si>
    <t>OP0HD</t>
  </si>
  <si>
    <t>WOS:000587755500069</t>
  </si>
  <si>
    <t>Supply, A; Boutin, J; Vergely, JL; Kolodziejczyk, N; Reverdin, G; Reul, N; Tarasenko, A</t>
  </si>
  <si>
    <t>Supply, Alexandre; Boutin, Jacqueline; Vergely, Jean-Luc; Kolodziejczyk, Nicolas; Reverdin, Gilles; Reul, Nicolas; Tarasenko, Anastasiia</t>
  </si>
  <si>
    <t>New insights into SMOS sea surface salinity retrievals in the Arctic Ocean</t>
  </si>
  <si>
    <t>REMOTE SENSING OF ENVIRONMENT</t>
  </si>
  <si>
    <t>SMOS; Sea surface salinity; Arctic Ocean</t>
  </si>
  <si>
    <t>WATER; TEMPERATURE; MODEL; MISSION</t>
  </si>
  <si>
    <t>Since 2010, the Soil Moisture and Ocean Salinity (SMOS) satellite mission monitors the earth emission at L-Band. It provides the longest time series of Sea Surface Salinity (SSS) from space over the global ocean. However, the SSS retrieval at high latitudes is a challenge because of the low sensitivity L-Band radiometric measurements to SSS in cold waters and to the contamination of SMOS measurements by the vicinity of continents, of sea ice and of Radio Frequency Interferences. In this paper, we assess the quality of weekly SSS fields derived from swath ordered instantaneous SMOS SSS (so called Level 2) distributed by the European Space Agency. These products are filtered according to new criteria. We use the pseudo-dielectric constant retrieved from SMOS brightness temperatures to filter SSS pixels polluted by sea ice. We identify that the dielectric constant model and the sea surface temperature auxiliary parameter used as prior information in the SMOS SSS retrieval induce significant systematic errors at low temperatures. We propose a novel empirical correction to mitigate those sources of errors at high latitudes. Comparisons with in-situ measurements ranging from 1 to 11 m depths spotlight huge vertical stratification in fresh regions. This emphasizes the need to consider in-situ salinity as close as possible to the sea surface when validating L-band radiometric SSS which are representative of the first top centimeter. SSS Standard deviation of differences (STDD) between weekly SMOS SSS and in-situ near surface salinity significantly decrease after applying the SSS correction, from 1.46 pss to 1.28 pss. The correlation between new SMOS SSS and in-situ near surface salinity reaches 0.94. SMOS estimates better capture SSS variability in the Arctic Ocean in comparison to TOPAZ reanalysis (STDD between TOPAZ and in-situ SSS = 1.86 pss), particularly in river plumes with very large SSS spatial gradients.</t>
  </si>
  <si>
    <t>[Supply, Alexandre; Boutin, Jacqueline; Reverdin, Gilles] Sorbonne Univ, Inst Pierre Simon Laplace, Lab Oceanog &amp; Climat Experimentat &amp; Approches Num, CNRS,IRD,MNHN, Paris, France; [Vergely, Jean-Luc] ACRI St, Guyancourt, France; [Kolodziejczyk, Nicolas; Reul, Nicolas; Tarasenko, Anastasiia] Univ Brest, Lab Oceanog Phys &amp; Spatiale, IFREMER, CNRS,IRD, Brest, France; [Tarasenko, Anastasiia] Arctic &amp; Antarctic Res Inst, St Petersburg, Russia</t>
  </si>
  <si>
    <t>Sorbonne Universite; Centre National de la Recherche Scientifique (CNRS); CNRS - National Institute for Earth Sciences &amp; Astronomy (INSU); Universite Paris Saclay; Universite Paris Cite; Museum National d'Histoire Naturelle (MNHN); Institut de Recherche pour le Developpement (IRD); Ifremer; Universite de Bretagne Occidentale; Institut de Recherche pour le Developpement (IRD); Centre National de la Recherche Scientifique (CNRS); Arctic &amp; Antarctic Research Institute</t>
  </si>
  <si>
    <t>Supply, A (corresponding author), Sorbonne Univ, Inst Pierre Simon Laplace, Lab Oceanog &amp; Climat Experimentat &amp; Approches Num, CNRS,IRD,MNHN, Paris, France.</t>
  </si>
  <si>
    <t>alexandre.supply@locean.upmc.fr</t>
  </si>
  <si>
    <t>Kolodziejczyk, Nicolas/P-3553-2015; reul, nicolas/C-4895-2009; Tarasenko, Anastasiia/AAF-3257-2021; Kolodziejczyk, Nicolas/ABG-2605-2021</t>
  </si>
  <si>
    <t>reul, nicolas/0000-0003-4881-2967; Tarasenko, Anastasiia/0000-0001-9749-1974; Kolodziejczyk, Nicolas/0000-0002-0751-1351</t>
  </si>
  <si>
    <t>CNES-TOSCA 'SMOS-Ocean', CNES Centre Aval de Traitement des Donnees SMOS (CATDS); ESA 'Expert Support Laboratory for level 2 Ocean Salinity' projects; Ministry of Science and Higher Education of the Russian Federation [RFMEFI61617X0076]; SU</t>
  </si>
  <si>
    <t>CNES-TOSCA 'SMOS-Ocean', CNES Centre Aval de Traitement des Donnees SMOS (CATDS); ESA 'Expert Support Laboratory for level 2 Ocean Salinity' projects; Ministry of Science and Higher Education of the Russian Federation; SU(Sabanci University)</t>
  </si>
  <si>
    <t>AS is supported by a SU Ph.D. grant. This work was supported by CNES-TOSCA 'SMOS-Ocean', CNES Centre Aval de Traitement des Donnees SMOS (CATDS) and ESA 'Expert Support Laboratory for level 2 Ocean Salinity' projects. AT acknowledges financial support from the Ministry of Science and Higher Education of the Russian Federation, project RFMEFI61617X0076.</t>
  </si>
  <si>
    <t>ELSEVIER SCIENCE INC</t>
  </si>
  <si>
    <t>STE 800, 230 PARK AVE, NEW YORK, NY 10169 USA</t>
  </si>
  <si>
    <t>0034-4257</t>
  </si>
  <si>
    <t>1879-0704</t>
  </si>
  <si>
    <t>REMOTE SENS ENVIRON</t>
  </si>
  <si>
    <t>Remote Sens. Environ.</t>
  </si>
  <si>
    <t>10.1016/j.rse.2020.112027</t>
  </si>
  <si>
    <t>Environmental Sciences; Remote Sensing; Imaging Science &amp; Photographic Technology</t>
  </si>
  <si>
    <t>Environmental Sciences &amp; Ecology; Remote Sensing; Imaging Science &amp; Photographic Technology</t>
  </si>
  <si>
    <t>NQ9VW</t>
  </si>
  <si>
    <t>WOS:000571215100003</t>
  </si>
  <si>
    <t>Francis, D; Mattingly, KS; Temimi, M; Massom, R; Heil, P</t>
  </si>
  <si>
    <t>Francis, Diana; Mattingly, Kyle S.; Temimi, Marouane; Massom, Rob; Heil, Petra</t>
  </si>
  <si>
    <t>On the crucial role of atmospheric rivers in the two major Weddell Polynya events in 1973 and 2017 in Antarctica</t>
  </si>
  <si>
    <t>SCIENCE ADVANCES</t>
  </si>
  <si>
    <t>SEA-ICE; MELT; CYCLONE; IMPACT; WATER</t>
  </si>
  <si>
    <t>This study reports the occurrence of intense atmospheric rivers (ARs) during the two large Weddell Polynya events in November 1973 and September 2017 and investigates their role in the opening events via their enhancement of sea ice melt. Few days before the polynya openings, persistent ARs maintained a sustained positive total energy flux at the surface, resulting in sea ice thinning and a decline in sea ice concentration in the Maud Rise region. The ARs were associated with anomalously high amounts of total precipitable water and cloud liquid water content exceeding 3 SDs above the climatological mean. The above-normal integrated water vapor transport (IVT above the 99th climatological percentile), as well as opaque cloud bands, warmed the surface (+10 degrees C in skin and air temperature) via substantial increases (+250 W m(-2)) in downward longwave radiation and advection of warm air masses, resulting in sea ice melt and inhibited nighttime refreezing.</t>
  </si>
  <si>
    <t>[Francis, Diana] Khalifa Univ Sci &amp; Technol, POB 54224, Abu Dhabi, U Arab Emirates; [Mattingly, Kyle S.] Rutgers State Univ, Inst Earth Ocean &amp; Atmospher Sci, New Brunswick, NJ 08901 USA; [Temimi, Marouane] Stevens Inst Technol, Dept Civil Environm &amp; Ocean Engn CEOE, Hoboken, NJ 07030 USA; [Massom, Rob; Heil, Petra] Univ Tasmania, Australian Antarctic Div, Private Bag 80, Hobart, Tas 7001, Australia; [Massom, Rob; Heil, Petra] Univ Tasmania, Australian Antarctic Program Partnership, Private Bag 80, Hobart, Tas 7001, Australia</t>
  </si>
  <si>
    <t>Khalifa University of Science &amp; Technology; Rutgers University System; Rutgers University New Brunswick; Stevens Institute of Technology; University of Tasmania; Australian Antarctic Division; University of Tasmania</t>
  </si>
  <si>
    <t>Francis, D (corresponding author), Khalifa Univ Sci &amp; Technol, POB 54224, Abu Dhabi, U Arab Emirates.</t>
  </si>
  <si>
    <t>diana.francis@ku.ac.ae</t>
  </si>
  <si>
    <t>Mattingly, Kyle/HMP-7305-2023; Temimi, Marouane/HRD-9058-2023; FRANCIS, Diana/N-3729-2018</t>
  </si>
  <si>
    <t>Temimi, Marouane/0000-0003-0006-2685; FRANCIS, Diana/0000-0002-7587-0006; Heil, Petra/0000-0003-2078-0342; Mattingly, Kyle/0000-0002-7384-0903; Massom, Robert/0000-0003-1533-5084</t>
  </si>
  <si>
    <t>Masdar Abu Dhabi Future Energy Company, United Arab Emirates [8434000221]; NASA Earth and Space Science Fellowship [NNX16A022H]; Australian Antarctic Division; Australian Government's Australian Antarctic Partnership Program; [4116]</t>
  </si>
  <si>
    <t>Masdar Abu Dhabi Future Energy Company, United Arab Emirates; NASA Earth and Space Science Fellowship; Australian Antarctic Division; Australian Government's Australian Antarctic Partnership Program;</t>
  </si>
  <si>
    <t>This work was supported by Masdar Abu Dhabi Future Energy Company, United Arab Emirates, grant 8434000221. K.S.M. was supported by a NASA Earth and Space Science Fellowship (NASA grant number NNX16A022H). The contribution of R.M. and P.H. was supported by the Australian Antarctic Division and by the Australian Government's Australian Antarctic Partnership Program and contributes to AAS Project 4116.</t>
  </si>
  <si>
    <t>2375-2548</t>
  </si>
  <si>
    <t>SCI ADV</t>
  </si>
  <si>
    <t>Sci. Adv.</t>
  </si>
  <si>
    <t>eabc2695</t>
  </si>
  <si>
    <t>10.1126/sciadv.abc2695</t>
  </si>
  <si>
    <t>OV4HV</t>
  </si>
  <si>
    <t>Green Submitted, gold, Green Published</t>
  </si>
  <si>
    <t>WOS:000592174000024</t>
  </si>
  <si>
    <t>Hull, J; Ewart, IJ</t>
  </si>
  <si>
    <t>Hull, Joanna; Ewart, Ian J.</t>
  </si>
  <si>
    <t>Conservation data parameters for BIM-enabled heritage asset management</t>
  </si>
  <si>
    <t>AUTOMATION IN CONSTRUCTION</t>
  </si>
  <si>
    <t>BIM; Asset information model; Heritage BIM; Socio-technical; Digital data management; Asset management</t>
  </si>
  <si>
    <t>INFORMATION; MAINTENANCE</t>
  </si>
  <si>
    <t>Key BIM concepts such as parametric modelling, database formulation and structured information management could offer huge benefits and efficiencies to the built historic environment in the operation and maintenance phase (O&amp;M) of a building's lifecycle (lifecycle BIM), such as heritage asset management, and particularly conservation repair and maintenance (CRM) programming. Despite these potential benefits, practical examples of the use of BIM for O&amp;M in a heritage context are limited in the published literature. This paper considers known barriers to the general implementation of lifecycle BIM, in particular the identification of critical information requirements, and introduces an Antarctic case study that sought to establish a framework of data parameters, limited specifically to BIM-enabled heritage asset management. Research findings suggest that while developing a framework of conservation data parameters is a relatively simple task, it is the retrospective compilation of historic building information for the development of a structured Asset Information Model (AIM) that presents more of a challenge. Furthermore, it is highlighted that adoption of the information management process is critically affected by socio-technical dimensions, and that working practices within the heritage sector need to be carefully aligned to a BIM philosophy for successful implementation. The key challenges and findings of this research should be considered when developing guidance for the implementation of BIM-enabled heritage asset management.</t>
  </si>
  <si>
    <t>[Hull, Joanna; Ewart, Ian J.] Univ Reading, Sch Built Environm, Reading RG6 6AH, Berks, England</t>
  </si>
  <si>
    <t>University of Reading</t>
  </si>
  <si>
    <t>Ewart, IJ (corresponding author), Univ Reading, Sch Built Environm, Reading RG6 6AH, Berks, England.</t>
  </si>
  <si>
    <t>i.j.ewart@reading.ac.uk</t>
  </si>
  <si>
    <t>Ewart, Ian/0000-0002-9502-2338</t>
  </si>
  <si>
    <t>AHRC [AH/P003982/1]</t>
  </si>
  <si>
    <t>AHRC(UK Research &amp; Innovation (UKRI)Arts &amp; Humanities Research Council (AHRC))</t>
  </si>
  <si>
    <t>This research was conducted as part of an AHRC funded research project: Heritage BIM -New ways of digital data management for the historic built environment, ref no. AH/P003982/1.</t>
  </si>
  <si>
    <t>0926-5805</t>
  </si>
  <si>
    <t>1872-7891</t>
  </si>
  <si>
    <t>AUTOMAT CONSTR</t>
  </si>
  <si>
    <t>Autom. Constr.</t>
  </si>
  <si>
    <t>10.1016/j.autcon.2020.103333</t>
  </si>
  <si>
    <t>Construction &amp; Building Technology; Engineering, Civil</t>
  </si>
  <si>
    <t>Construction &amp; Building Technology; Engineering</t>
  </si>
  <si>
    <t>OC3GN</t>
  </si>
  <si>
    <t>WOS:000579046500010</t>
  </si>
  <si>
    <t>Lin, YW; Yin, WT; Liu, GQ</t>
  </si>
  <si>
    <t>Lin, Yunwei; Yin, Wenting; Liu, Guoqin</t>
  </si>
  <si>
    <t>Development and characterisation of a novel krill oil nanostructured lipid carrier based on 1,3-glycerol distearate</t>
  </si>
  <si>
    <t>INTERNATIONAL JOURNAL OF FOOD SCIENCE AND TECHNOLOGY</t>
  </si>
  <si>
    <t>1; 3-glycerol distearate; Antarctic krill oil; nanostructured lipid carriers; particle size; polydispersity index</t>
  </si>
  <si>
    <t>EUPHAUSIA-SUPERBA; FISH-OIL; STEARIC-ACID; NANOPARTICLES; DELIVERY; OXIDATION; ULTRASONICATION; NANOCARRIERS; FABRICATION; STABILITY</t>
  </si>
  <si>
    <t>A novel nanostructured lipid carrier (NLC) loaded with Antarctic krill oil while using 1,3-glycerol distearate (GDS) as the solid lipid was prepared through ultrasonication. The NLCs were optimised for ingredient formulation by single-factor experiment on the basis of their effects on the particle size and polydispersity index (PDI) of the NLCs. 2% (w/w) lecithin and 10% lipid phase of which krill oil accounted for 50% (w/w) were applied to develop the optimised NLC dispersion. The particle size, PDI and zeta potential of this NLC were 112 nm, 0.270 and -30.8 mV, respectively, indicating good dispersion uniformity and stability. Transmission electron microscopy (TEM) revealed that the optimised NLC particles were spherical and uniformly dispersed without apparent aggregation. Differential calorimetry scanning (DSC) and X-ray diffraction (XRD) showed that the optimised NLC had less-ordered crystalline structure contributing to the high entrapment efficiency (&gt; 99%) of EPA and DHA.</t>
  </si>
  <si>
    <t>[Lin, Yunwei; Liu, Guoqin] South China Univ Technol, Sch Food Sci &amp; Engn, Guangzhou 510640, Peoples R China; [Yin, Wenting] Henan Univ Technol, Sch Food Sci &amp; Technol, 100 Lianhua Rd, Zhengzhou 450001, Peoples R China</t>
  </si>
  <si>
    <t>South China University of Technology; Henan University of Technology</t>
  </si>
  <si>
    <t>Liu, GQ (corresponding author), South China Univ Technol, Sch Food Sci &amp; Engn, Guangzhou 510640, Peoples R China.</t>
  </si>
  <si>
    <t>guoqin@scut.edu.cn</t>
  </si>
  <si>
    <t>yin, wenting/0000-0003-1863-9710; Liu, Guoqin/0000-0001-9513-1115</t>
  </si>
  <si>
    <t>0950-5423</t>
  </si>
  <si>
    <t>1365-2621</t>
  </si>
  <si>
    <t>INT J FOOD SCI TECH</t>
  </si>
  <si>
    <t>Int. J. Food Sci. Technol.</t>
  </si>
  <si>
    <t>10.1111/ijfs.14683</t>
  </si>
  <si>
    <t>Food Science &amp; Technology</t>
  </si>
  <si>
    <t>OC3PZ</t>
  </si>
  <si>
    <t>WOS:000579071800014</t>
  </si>
  <si>
    <t>Taylor, RS; DeMaster, DJ; Smith, CR; Thomas, CJ</t>
  </si>
  <si>
    <t>Taylor, Richard S.; DeMaster, David J.; Smith, Craig R.; Thomas, Carrie J.</t>
  </si>
  <si>
    <t>Evaluating the effects of regional climate trends along the West Antarctic Peninsula shelf based on the seabed distribution of naturally occurring radioisotopic tracers</t>
  </si>
  <si>
    <t>MARINE GEOLOGY</t>
  </si>
  <si>
    <t>Radiochemical flux; Seabed; Sea-ice; Climate change; Antarctica</t>
  </si>
  <si>
    <t>SEDIMENT ACCUMULATION RATES; LABILE ORGANIC-MATTER; MARGUERITE BAY; ICE-SHELF; BRANSFIELD STRAIT; MARINE ECOSYSTEM; CONTINENTAL RISE; PARTICLE-FLUX; BIOMASS; BELLINGSHAUSEN</t>
  </si>
  <si>
    <t>Measurements of Th-230, C-14, Pb-210 and Th-234 activities were made on sediment cores collected along a N-S transect exhibiting a gradient in annual sea-ice duration off the West Antarctic Peninsula. The resultant data were used to evaluate the effects of regional warming on particle flux reaching the seabed on timescales from millennial to seasonal. Shelf samples were collected at five stations, over three cruises, between February 2008 and March 2009, as part of the FOODBANCS2 Project. Sea-ice conditions (the number of days ice-free prior to core collection) were evaluated at the five stations to understand the relationship between ice abundance and particle/radionuclide flux. Based on the millennial tracer C-14, rates of sediment accumulation along the peninsula decrease southward, consistent with the observed sea-ice gradient. Th-230 data provide additional evidence on millennial timescales that sediment focusing (i.e., lateral transport) occurs to a greater extent in the northern reaches of the study area compared to the southernmost stations. The distribution of steady-state, Pb-210 flux to the seabed (representing centurial trends) displays a similar trend to C-14, showing higher radionuclide/particle flux in the northern study area (where sea-ice duration is diminished) and lower flux southward as sea-ice duration increases. Additionally, Pb-210 data suggest that lateral transport plays an important role in the sediment distributions of this radiotracer on hundred-year timescales, which is explainable by the relatively short circulation times of peninsular waters relative to Pb-210's half-life. On seasonal and annual time scales, the distribution of steady-state Th-234 flux to the seabed shows an increase in radionuclide flux at the southernmost stations. This increase in radionuclide flux on seasonal and annual time scales is consistent with the warming trend along the peninsula and the reduction in sea-ice duration over the past decade. A significant statistical relationship, however, could not be established between annual sea-ice free days and Th-234-derived particle flux to the seabed. The fluxes/distributions of long-lived particle-reactive tracers (C-14, Th-230, and Pb-210) on the West Antarctic Peninsula shelf appear to be controlled primarily by the long-term pattern of increasing annual sea-ice duration in the southward direction, whereas the fluxes of the short-lived tracer (Th-234) are consistent with the more recent decreases in sea-ice duration (associated with climate change) that have occurred over the past decade, primarily in the southern West Antarctic Peninsula stations.</t>
  </si>
  <si>
    <t>[Taylor, Richard S.; DeMaster, David J.; Thomas, Carrie J.] North Carolina State Univ, Dept Marine Earth &amp; Atmospher Sci, Raleigh, NC 27695 USA; [Smith, Craig R.] Univ Hawaii Manoa, Dept Oceanog, Honolulu, HI 96822 USA</t>
  </si>
  <si>
    <t>North Carolina State University; University of Hawaii System; University of Hawaii Manoa</t>
  </si>
  <si>
    <t>Taylor, RS (corresponding author), North Carolina State Univ, Dept Marine Earth &amp; Atmospher Sci, Raleigh, NC 27695 USA.</t>
  </si>
  <si>
    <t>rtaylor@ncsu.edu</t>
  </si>
  <si>
    <t>USA National Science Foundation [ANT-0636773, ANT-0636806]</t>
  </si>
  <si>
    <t>USA National Science Foundation(National Science Foundation (NSF))</t>
  </si>
  <si>
    <t>This research was part of the FOODBANCS2 Project, which was supported by the USA National Science Foundation, Polar Programs (Grant #: ANT-0636773, D. DeMaster and C.J. Thomas, PIs, and grant #ANT-0636806, C.R. Smith, PI). Brian Pointer assisted in the field collection of samples and in some of the initial radiochemical analyses. We are grateful to the captains and the crews of the R/V Nathanial B. Palmer and the R/V Laurence M. Gould for their impressive seamanship and assistance in the collection of the Antarctic samples. We are also grateful to the staff of the WHOI NOSAMS facility for their support and diligence in the measurement of the 14C activities.</t>
  </si>
  <si>
    <t>0025-3227</t>
  </si>
  <si>
    <t>1872-6151</t>
  </si>
  <si>
    <t>MAR GEOL</t>
  </si>
  <si>
    <t>Mar. Geol.</t>
  </si>
  <si>
    <t>10.1016/j.margeo.2020.106315</t>
  </si>
  <si>
    <t>Geosciences, Multidisciplinary; Oceanography</t>
  </si>
  <si>
    <t>Geology; Oceanography</t>
  </si>
  <si>
    <t>NY4KO</t>
  </si>
  <si>
    <t>WOS:000576360700017</t>
  </si>
  <si>
    <t>Stilwell, JD; Buckeridge, JSJS; Bevitt, JJ; Zahra, D</t>
  </si>
  <si>
    <t>Stilwell, Jeffrey D.; Buckeridge, John St. J. S.; Bevitt, Joseph J.; Zahra, David</t>
  </si>
  <si>
    <t>Fossil barnacles from the Antarctic Peninsula: refining ways of exploring the nature of rare and/or delicate specimens employing X-ray Computer Tomography (CT)</t>
  </si>
  <si>
    <t>JOURNAL OF PALEONTOLOGY</t>
  </si>
  <si>
    <t>Assessment of unique and potentially significant fossils may be considerably compromised by surrounding matrix. This paper assesses a fossil barnacle group from the mid to late Eocene of Seymour Island, off the Antarctic Peninsula, that potentially has very significant phylogenetic importance. It discusses why the specimen could be significant, and describes and applies as a proof of concept an advanced imaging technique, using X-ray Computed Tomography (CT), that was effectively employed to confirm systematic taxonomy with virtual 3-D sections through the specimen. In this case, the Antarctic barnacle's complex internal plate morphologies were resolved by advanced 3-D imaging, such that a taxonomic attribution could be made to either the Archaeobalanidae or Austrobalanidae, excluding the initial assessment of Coronulidae, which would have otherwise been allusive.</t>
  </si>
  <si>
    <t>[Stilwell, Jeffrey D.] Monash Univ, Sch Earth Atmosphere &amp; Environm, 9 Rainforest Walk, Clayton, Vic 3800, Australia; [Buckeridge, John St. J. S.] RMIT, Earth &amp; Ocean Syst Grp, GPO Box 2476, Melbourne, Vic 3001, Australia; [Buckeridge, John St. J. S.] Museums Victoria, GPO Box 666, Melbourne, Vic 3001, Australia; [Bevitt, Joseph J.; Zahra, David] Australian Nucl Sci &amp; Technol Org, New Illawara Rd, Lucas Heights, NSW 2234, Australia</t>
  </si>
  <si>
    <t>Monash University; Royal Melbourne Institute of Technology (RMIT); Melbourne Genomics Health Alliance; Melbourne Genomics Health Alliance; Australian Nuclear Science &amp; Technology Organisation</t>
  </si>
  <si>
    <t>Stilwell, JD (corresponding author), Monash Univ, Sch Earth Atmosphere &amp; Environm, 9 Rainforest Walk, Clayton, Vic 3800, Australia.</t>
  </si>
  <si>
    <t>Jeffrey.Stilwell@monash.edu; john.buckeridge@rmit.edu.au; jbv@ansto.gov.au; dzx@ansto.gov.au</t>
  </si>
  <si>
    <t>Bevitt, Joseph/0000-0002-3502-4649</t>
  </si>
  <si>
    <t>Earth, Atmosphere and Environment Allocation grant (Monash University)</t>
  </si>
  <si>
    <t>The authors wish to thank the NSTLI Biosciences Platform of ANSTO and S. Morton (Monash University) for his expertise in refining the figures in this paper. This research was supported by an Earth, Atmosphere and Environment Allocation grant (Monash University) to JDS, who originally collected the fossil barnacle as part of a joint National Science Foundation (USA) expedition to Antarctica during the 1986-87 Austral summer, when hewas conducting his MSc research at Purdue University, Indiana (USA) under the expedition leadership of W.J. Zinsmeister.</t>
  </si>
  <si>
    <t>CAMBRIDGE UNIV PRESS</t>
  </si>
  <si>
    <t>32 AVENUE OF THE AMERICAS, NEW YORK, NY 10013-2473 USA</t>
  </si>
  <si>
    <t>0022-3360</t>
  </si>
  <si>
    <t>1937-2337</t>
  </si>
  <si>
    <t>J PALEONTOL</t>
  </si>
  <si>
    <t>J. Paleontol.</t>
  </si>
  <si>
    <t>PII S0022336020000335</t>
  </si>
  <si>
    <t>10.1017/jpa.2020.33</t>
  </si>
  <si>
    <t>NV8ZJ</t>
  </si>
  <si>
    <t>WOS:000574601900005</t>
  </si>
  <si>
    <t>Yang, ZK; Yuan, LX; Xie, ZQ; Wang, J; Li, ZL; Tu, LY; Sun, LG</t>
  </si>
  <si>
    <t>Yang, Zhongkang; Yuan, Linxi; Xie, Zhouqing; Wang, Jun; Li, Zhaolei; Tu, Luyao; Sun, Liguang</t>
  </si>
  <si>
    <t>Historical records and contamination assessment of potential toxic elements (PTEs) over the past 100 years in Ny-Ålesund, Svalbard</t>
  </si>
  <si>
    <t>ENVIRONMENTAL POLLUTION</t>
  </si>
  <si>
    <t>Ny-angstrom lesund; Potential toxic elements; Contamination; Assessment; Anthropogenic activities</t>
  </si>
  <si>
    <t>RECENT ENVIRONMENTAL-CHANGE; HEAVY-METALS; SURFACE SEDIMENTS; URSUS-MARITIMUS; CLIMATE-CHANGE; FOOD-WEB; POLLUTION; LAKE; TRANSPORT; MERCURY</t>
  </si>
  <si>
    <t>Ny-angstrom lesund has been significantly impacted by anthropogenic activities (e.g. coal mining, scientific research, tourist shipping) over the past 100 years. However, the studies of potential toxic elements (PTEs) contamination in Ny-angstrom lesund currently mainly focus on surface soil or surface fiord sediments, and little is known about the history and status of PTEs contamination over the past 100 years. In this study, we collected a palaeo-notch sediment profile YN, analyzed the contents of six typical PTEs (Cu, Pb, Cd, Hg, As, Se) in the sediments, and assessed the historical pollution status in Ny-angstrom lesund using the pollution load index, geo-accumulation index and enrichment factor. The results showed that the contents of PTEs over the past 100 years increased rapidly compared with those during the interval of 9400100 BP. In addition, Pb, Cd and Hg showed a clear signal of enrichment and were the main polluters among the PTEs analyzed. The contamination was likely linked to gas-oil powered generators, coal mining, research station, tourist shipping and long-range transport of pollutants. (C) 2020 Elsevier Ltd. All rights reserved.</t>
  </si>
  <si>
    <t>[Yang, Zhongkang; Xie, Zhouqing; Sun, Liguang] Univ Sci &amp; Technol China, Dept Environm Sci &amp; Engn, Inst Polar Environm, Hefei 230026, Peoples R China; [Yang, Zhongkang; Xie, Zhouqing; Sun, Liguang] Univ Sci &amp; Technol China, Dept Environm Sci &amp; Engn, Anhui Key Lab Polar Environm &amp; Global Change, Hefei 230026, Peoples R China; [Yang, Zhongkang; Wang, Jun; Li, Zhaolei] Shandong Agr Univ, Key Lab Agr Environm Univ Shandong, Coll Resources &amp; Environm, Tai An 271000, Shandong, Peoples R China; [Yuan, Linxi] Xian Jiaotong Liverpool Univ, Dept Hlth &amp; Environm Sci, Suzhou 215123, Peoples R China; [Tu, Luyao] Univ Bern, Oeschger Ctr Climate Change Res, Bern, Switzerland; [Tu, Luyao] Univ Bern, Inst Geog, Bern, Switzerland</t>
  </si>
  <si>
    <t>Chinese Academy of Sciences; University of Science &amp; Technology of China, CAS; Chinese Academy of Sciences; University of Science &amp; Technology of China, CAS; Shandong Agricultural University; Xi'an Jiaotong-Liverpool University; University of Bern; University of Bern</t>
  </si>
  <si>
    <t>Sun, LG (corresponding author), Univ Sci &amp; Technol China, Dept Environm Sci &amp; Engn, Inst Polar Environm, Hefei 230026, Peoples R China.;Sun, LG (corresponding author), Univ Sci &amp; Technol China, Dept Environm Sci &amp; Engn, Anhui Key Lab Polar Environm &amp; Global Change, Hefei 230026, Peoples R China.</t>
  </si>
  <si>
    <t>slg@ustc.edu.cn</t>
  </si>
  <si>
    <t>Yuan, Linxi/Y-9313-2019</t>
  </si>
  <si>
    <t>Yuan, Linxi/0000-0002-1043-8933; Tu, Luyao/0000-0001-9593-556X</t>
  </si>
  <si>
    <t>Natural Science Foundation of China (NSFC) [41941014]; Chinese Polar Environment Comprehensive Investigation &amp; Assessment Programmes [CHINARE2017-0201, CHINARE2017-04-04]; External Cooperation Program of BIC, CAS [211134KYSB20130012]</t>
  </si>
  <si>
    <t>Natural Science Foundation of China (NSFC)(National Natural Science Foundation of China (NSFC)); Chinese Polar Environment Comprehensive Investigation &amp; Assessment Programmes; External Cooperation Program of BIC, CAS</t>
  </si>
  <si>
    <t>The research was supported by Natural Science Foundation of China (NSFC) (41941014), Chinese Polar Environment Comprehensive Investigation &amp; Assessment Programmes (CHINARE2017-0201, CHINARE2017-04-04) and the External Cooperation Program of BIC, CAS (Project No.211134KYSB20130012). Samples provided by the Polar Sediment Repository of Polar Research Institute of China (PRIC). Samples Information and Data were issued by the Resourcesharing Platform of Polar Samples (http://birds.chinare.org.cn) maintained by Polar Research Institute of China (PRIC) and Chinese National Arctic &amp; Antarctic Data Center (CN-NADC). We thank the Chinese Arctic and Antarctic Administration and PRIC for logistical support in field. We also thank the Governor of Svalbard for permission to carry out fieldwork.</t>
  </si>
  <si>
    <t>0269-7491</t>
  </si>
  <si>
    <t>1873-6424</t>
  </si>
  <si>
    <t>ENVIRON POLLUT</t>
  </si>
  <si>
    <t>Environ. Pollut.</t>
  </si>
  <si>
    <t>10.1016/i.envpol.2020.115205</t>
  </si>
  <si>
    <t>NT5DF</t>
  </si>
  <si>
    <t>WOS:000572960600025</t>
  </si>
  <si>
    <t>Hao, YF; Meng, WY; Li, YM; Han, X; Lu, HL; Wang, P; Yang, RQ; Zhang, QH; Jiang, GB</t>
  </si>
  <si>
    <t>Hao, Yanfen; Meng, Wenying; Li, Yingming; Han, Xu; Lu, Huili; Wang, Pu; Yang, Ruiqiang; Zhang, Qinghua; Jiang, Guibin</t>
  </si>
  <si>
    <t>Concentrations and distribution of novel brominated flame retardants in the atmosphere and soil of Ny-Alesund and London Island, Svalbard, Arctic</t>
  </si>
  <si>
    <t>JOURNAL OF ENVIRONMENTAL SCIENCES</t>
  </si>
  <si>
    <t>Novel brominated flame retardants; Arctic; Soil; Air; Soil-atmosphere partitioning</t>
  </si>
  <si>
    <t>POLYBROMINATED DIPHENYL ETHERS; PERSISTENT ORGANIC POLLUTANTS; HUMAN EXPOSURE; POLYCHLORINATED-BIPHENYLS; DECHLORANE PLUS; AIR; INDOOR; DEPOSITION; LEGACY; PBDES</t>
  </si>
  <si>
    <t>Novel brominated flame retardants (NBFRs) were investigated in Arctic air and soil samples collected from Ny-Alesund and London Island, Svalbard, during Chinese scientific research expeditions to the Arctic during 2014-2015. The concentrations of Sigma(9)NBERs in the Arctic air and soil were 4.9-8.7 pg/m(3) (average 6.8 pg/m(3)) and 101-201 pg/g dw (average 150 pg/g dw), respectively. The atmospheric concentration of hexabromobenzene (HBB) was significantly correlated with that of pentabromotoluene (PBT) and pentabromobenzene (PBBz), suggesting similar source and environmental fate in the Arctic air. No significant spatial difference was observed among the different sampling sites, both for air and soil samples, indicating that the effects of the scientific research stations on the occurrence of NBFRs in the Arctic were minor. The fugacities from soil to air of pentabromoethylbenzene (PBEB), 2,3-dibromopropyl 2,4,6-tribromophenyl ether (DPTE), and decabromodiphenylethane 1,2-bis (pentabromophenyl) ethane (DBDPE) were lower than the equilibrium value, indicating a nonequilibrium state of these compounds between air and soil, the dominant impact of deposition and the net transport from air to soil. The correlation analysis between the measured and predicted soil-atmosphere coefficients based on the absorption model showed that the impact of the soil organic matter on the distribution of NBFRs in the Arctic region was minor. To the best of our knowledge, this work is one of the limited reports on atmospheric NBFRs in the Arctic and the first study to investigate the occurrence and fate of NBFRs in the Arctic soil. (C) 2020 The Research Center for Eco-Environmental Sciences, Chinese Academy of Sciences. Published by Elsevier B.V.</t>
  </si>
  <si>
    <t>[Hao, Yanfen; Li, Yingming; Han, Xu; Lu, Huili; Wang, Pu; Yang, Ruiqiang; Zhang, Qinghua; Jiang, Guibin] Chinese Acad Sci, Res Ctr Ecoenvironm Sci, State Key Lab Environm Chem &amp; Ecotoxicol, Beijing 100085, Peoples R China; [Hao, Yanfen; Han, Xu; Wang, Pu; Yang, Ruiqiang; Zhang, Qinghua; Jiang, Guibin] Univ Chinese Acad Sci, Beijing 100049, Peoples R China; [Meng, Wenying] Shenzhen Ctr Dis Control &amp; Prevent, Shenzhen 518055, Peoples R China</t>
  </si>
  <si>
    <t>Chinese Academy of Sciences; Research Center for Eco-Environmental Sciences (RCEES); Chinese Academy of Sciences; University of Chinese Academy of Sciences, CAS; Shenzhen Center for Disease Control &amp; Prevention (SZCDC)</t>
  </si>
  <si>
    <t>Li, YM (corresponding author), Chinese Acad Sci, Res Ctr Ecoenvironm Sci, State Key Lab Environm Chem &amp; Ecotoxicol, Beijing 100085, Peoples R China.</t>
  </si>
  <si>
    <t>ymli@rcees.ac.cn</t>
  </si>
  <si>
    <t>Zhang, Qinghua/L-7652-2019; ZHANG, XUCHEN/KBB-7989-2024</t>
  </si>
  <si>
    <t>Zhang, Qinghua/0000-0001-9086-7000; Han, Xu/0000-0002-7382-5770</t>
  </si>
  <si>
    <t>National Key Research and Development Program of China [2018YFC0830802]; National Natural Science Foundation of China [21477155, 91743206]; Sanming Project of Medicine in Shenzhen [SZSM201811070]</t>
  </si>
  <si>
    <t>National Key Research and Development Program of China; National Natural Science Foundation of China(National Natural Science Foundation of China (NSFC)); Sanming Project of Medicine in Shenzhen</t>
  </si>
  <si>
    <t>This work was supported by National Key Research and Development Program of China (No. 2018YFC0830802), National Natural Science Foundation of China (Nos. 21477155 and 91743206) and the Sanming Project of Medicine in Shenzhen (No. SZSM201811070). We appreciate the support of Chinese Arctic and Antarctic Administration and Polar Research Institute of China for the arrangement during Chinese Arctic Expeditions.</t>
  </si>
  <si>
    <t>1001-0742</t>
  </si>
  <si>
    <t>1878-7320</t>
  </si>
  <si>
    <t>J ENVIRON SCI</t>
  </si>
  <si>
    <t>J. Environ. Sci.</t>
  </si>
  <si>
    <t>10.1016/j.jes.2020.04.031</t>
  </si>
  <si>
    <t>NO1AV</t>
  </si>
  <si>
    <t>WOS:000569218700020</t>
  </si>
  <si>
    <t>Bastías-Mercado, F; González, J; Oliveros, V</t>
  </si>
  <si>
    <t>Bastias-Mercado, Francisco; Gonzalez, Javiera; Oliveros, Veronica</t>
  </si>
  <si>
    <t>Volumetric and compositional estimation of the Choiyoi Magmatic Province and its comparison with other Silicic Large Igneous Provinces</t>
  </si>
  <si>
    <t>JOURNAL OF SOUTH AMERICAN EARTH SCIENCES</t>
  </si>
  <si>
    <t>Permian; Subduction magmatism; Lithological evolution; Southwestern Gondwana</t>
  </si>
  <si>
    <t>U-PB SHRIMP; TAUPO VOLCANIC ZONE; LA PAMPA PROVINCE; ARGENTINA IMPLICATIONS; SOUTHWESTERN GONDWANA; ANTARCTIC PENINSULA; MESOZOIC GRANITOIDS; PERMIAN VOLCANISM; TRACE-ELEMENT; NEW-ZEALAND</t>
  </si>
  <si>
    <t>The Choiyoi Magmatic Province (ChMP) is a major feature of southern South America comprising volcanic and plutonic rocks from the Early Permian to the Early Triassic (286-247 Ma), prior to the Andean subduction. Its outcrops are exposed from northern Chile (similar to 20 degrees S) down to southwestern Argentina in Patagonia (similar to 44 degrees S), and from the Andean region to the foreland in southeastern Argentina. These rocks can be subdivided in three main regions: Andes, La Pampa Permian-Triassic Magmatic Corridor (CMPT-LP) and North Patagonia. Despite the three regions have similar lithological composition and timing, the deformation style and geochemical features of the CMPT-LP rocks suggest that they may represent an event of magmatism distinct from the Andes region. On the other hand, the rocks from North Patagonia and the Andes regions are considered to be part of the same geotectonic setting, the Orogenic Choiyoi, even though North Patagonia exhibits a more complex deformation pattern. A compilation of published ages and lithological data for all the units that compose the ChMP, allowed an estimation of its areal extent (909,250 km(2)), the volume of its volcanic products, and the compositional variation through time. The volcanic products of Choiyoi Magmatic Province (ChMP-V) are composed of 51% rhyolite, 26% dacite, 22% andesite and 1% basalts, but the early stages of the volcanism were dominated by andesitic products. The plutonic rocks make up the 25% of the total area of the ChMP and they are dominated by granites (similar to 65%) and granodiorites (similar to 30%), although the units representing the early stages of the ChMP are composed up to 60% of granodiorites, tonalites and diorites. It is thus evident that the Choiyoi magmatism, in its whole extension, transitioned from dominantly intermediate to more rhyolitic at its final stages. When considering the ChMP-V, their estimated volume (947,553 km(3)) and time span are akin to a Silicic Large Igneous Province (SLIP). However, their lithological composition through time and especially the large amount of intermediate rocks in the first stage of the ChMP-V differ from typical SLIPs, in which rhyolitic and bimodal (rhyolite-basalt) compositions dominate. The largest preserved silicic province identified so far, the Okhotsk-Chukotka Volcanic Belt (OCVB) in Siberia, has nonetheless a compositional pattern very similar to the ChMP-V with an early stage in which the magmatism was dominantly intermediate in composition (similar to 47% of outcrops), followed by a more volumetric and mostly rhyolitic stage. The fact that the OCVB and other silicic provinces related to convergent margins, such as the Sikote-Alin Belt or the Taupo Volcanic Zone have a similar evolution than the ChMP-V, suggests that the Choiyoi Magmatic Province could have been partly generated in a subduction zone setting.</t>
  </si>
  <si>
    <t>[Bastias-Mercado, Francisco; Gonzalez, Javiera; Oliveros, Veronica] Univ Concepcion, Dept Ciencias Tierra, Barrio Univ S-N, Concepcion, Chile</t>
  </si>
  <si>
    <t>Universidad de Concepcion</t>
  </si>
  <si>
    <t>Oliveros, V (corresponding author), Univ Concepcion, Dept Ciencias Tierra, Barrio Univ S-N, Concepcion, Chile.</t>
  </si>
  <si>
    <t>voliveros@udec.cl</t>
  </si>
  <si>
    <t>Gonzalez, Javiera/IXN-1015-2023</t>
  </si>
  <si>
    <t>Gonzalez, Javiera/0000-0001-9123-9110; Oliveros, Veronica/0000-0002-9455-7736; Bastias Mercado, Francisco Alonso/0000-0003-3602-8075</t>
  </si>
  <si>
    <t>Fondecyt [1120715]; Universidad de Concepcion grant [218.040.025-1.0]; Doctoral fellowship of the National Agency for Research and Development (ANID) [21150502]</t>
  </si>
  <si>
    <t>Fondecyt(Comision Nacional de Investigacion Cientifica y Tecnologica (CONICYT)CONICYT FONDECYT); Universidad de Concepcion grant; Doctoral fellowship of the National Agency for Research and Development (ANID)</t>
  </si>
  <si>
    <t>This work was funded by the Fondecyt Grant 1120715 (VO), the Universidad de Concepcion grant 218.040.025-1.0 (VO) and the Doctoral fellowship of the National Agency for Research and Development (ANID), grant 21150502 (JG).</t>
  </si>
  <si>
    <t>0895-9811</t>
  </si>
  <si>
    <t>J S AM EARTH SCI</t>
  </si>
  <si>
    <t>J. South Am. Earth Sci.</t>
  </si>
  <si>
    <t>10.1016/j.jsames.2020.102749</t>
  </si>
  <si>
    <t>NS6IZ</t>
  </si>
  <si>
    <t>WOS:000572364000002</t>
  </si>
  <si>
    <t>Riley, TR; Flowerdew, MJ; Millar, IL; Whitehouse, MJ</t>
  </si>
  <si>
    <t>Riley, Teal R.; Flowerdew, Michael J.; Millar, Ian L.; Whitehouse, Martin J.</t>
  </si>
  <si>
    <t>Triassic magmatism and metamorphism in the Antarctic Peninsula: Identifying the extent and timing of the Peninsula Orogeny</t>
  </si>
  <si>
    <t>Gondwana; Orthogneiss; Calc-alkaline; Zircon; U-Pb geochronology</t>
  </si>
  <si>
    <t>EASTERN PALMER LAND; U-TH-PB; HF ISOTOPE; SHEAR ZONE; BREAK-UP; GEOCHRONOLOGY; ROCKS; PATAGONIA; EVOLUTION; GONDWANA</t>
  </si>
  <si>
    <t>The mid to Late Triassic marks an episode of magmatism, deformation and metamorphism along the proto-Pacific margin of the Antarctic Peninsula and Patagonia. Calc-alkaline magmatism at similar to 227 Ma developed in a convergent margin setting across the central Antarctic Peninsula and North Patagonian Massif. Two distinct deformation and metamorphic events have been identified at similar to 221 Ma and similar to 207 Ma based on new U-Pb zircon ages from a metamorphic orthogneiss complex, investigated for the first time, from the elevated plateau region of central Palmer Land. These two events are interpreted to date the timing of the multi-phase Peninsula Orogeny, which correlates with the Chonide Event of central Patagonia. The onset of deformation in the Antarctic Peninsula is linked to tectonic events in central Patagonia and is associated with non-collisional slab dynamic processes during flat slab subduction in the Late Triassic. No consistent tectonic regime is evident during the midto Late Triassic episodes of deformation and metamorphism, but an initial period of extension/transtension (mid-Triassic) and a compressional regime in the Late Triassic is favoured in the Antarctic Peninsula and Patagonia. The newly acquired metamorphic ages provide no clear evidence for a segmented terrane model for the Antarctic Peninsula, as Late Triassic metamorphic ages are identified from across the central and eastern domains. New U-Pb zircon ages are also presented from a suite of strongly foliated granitoids that cross-cut the Triassic orthogneisses. They are dated in the interval 140-136 Ma and represent an episode of Early Cretaceous magmatism, transtensional deformation and widespread metamorphism across northwest and central Palmer Land.</t>
  </si>
  <si>
    <t>[Riley, Teal R.] British Antarctic Survey, Madingley Rd, Cambridge CB3 0ET, England; [Flowerdew, Michael J.] CASP, Madingley Rd, Cambridge CB3 0UD, England; [Millar, Ian L.] British Geol Survey, Nottingham NG12 5GG, England; [Whitehouse, Martin J.] Swedish Museum Nat Hist, Box 50007, SE-10405 Stockholm, Sweden</t>
  </si>
  <si>
    <t>UK Research &amp; Innovation (UKRI); Natural Environment Research Council (NERC); NERC British Antarctic Survey; University of Cambridge; UK Research &amp; Innovation (UKRI); Natural Environment Research Council (NERC); NERC British Geological Survey; Swedish Museum of Natural History</t>
  </si>
  <si>
    <t>Riley, TR (corresponding author), British Antarctic Survey, Madingley Rd, Cambridge CB3 0ET, England.</t>
  </si>
  <si>
    <t>trr@bas.ac.uk</t>
  </si>
  <si>
    <t>Whitehouse, Martin J/E-1425-2013; Millar, Ian L/F-1541-2010; Flowerdew, Michael/AAL-3534-2021</t>
  </si>
  <si>
    <t>Flowerdew, Michael/0000-0002-9710-2593; Riley, Teal/0000-0002-3333-5021</t>
  </si>
  <si>
    <t>Natural Environmental Research Council; NERC [bgs06001, bas0100029] Funding Source: UKRI</t>
  </si>
  <si>
    <t>Natural Environmental Research Council(UK Research &amp; Innovation (UKRI)Natural Environment Research Council (NERC)); NERC(UK Research &amp; Innovation (UKRI)Natural Environment Research Council (NERC))</t>
  </si>
  <si>
    <t>This study is part of the British Antarctic Survey Polar Science for Planet Earth programme, funded by the Natural Environmental Research Council. This paper has benefited from the carefully considered comments of Andres Folguera and Cesar Navarrete. Bradley Morrell and the air operations staff at Rothera Research Station in Antarctica are thanked for their field support. Kerstin Lind ' en is thanked for her assistance at the NordSIM facility. This is NordSIM contribution number 652.</t>
  </si>
  <si>
    <t>10.1016/j.jsames.2020.102732</t>
  </si>
  <si>
    <t>NS6KI</t>
  </si>
  <si>
    <t>WOS:000572367500003</t>
  </si>
  <si>
    <t>García, MFT; Calderón, M; de Arellano, CR; Hervé, F; Opitz, J; Theye, T; Fanning, CM; Pankhurst, RJ; González-Guillot, M; Fuentes, F; Babinski, M</t>
  </si>
  <si>
    <t>Torres Garcia, M. F.; Calderon, M.; Ramirez de Arellano, C.; Herve, F.; Opitz, J.; Theye, T.; Fanning, C. M.; Pankhurst, R. J.; Gonzalez-Guillot, M.; Fuentes, F.; Babinski, M.</t>
  </si>
  <si>
    <t>Trace element composition of amphibole and petrogenesis of hornblendites and plutonic suites of Cretaceous magmatic arcs developed in the Fuegian Andes, southernmost South America</t>
  </si>
  <si>
    <t>LITHOS</t>
  </si>
  <si>
    <t>Fuegian Batholith; Ushuaia Pluton; Cretaceous magmatism; Homblendites; Amphibole; Rocas Verdes Basin</t>
  </si>
  <si>
    <t>MAGALLANES FORELAND BASIN; FIELD STRENGTH ELEMENTS; TIERRA-DEL-FUEGO; PATAGONIAN BATHOLITH; MARGINAL BASIN; EXPERIMENTAL CALIBRATION; ANTARCTIC PENINSULA; TECTONIC EVOLUTION; CORDILLERA DARWIN; CRUSTAL PRESSURES</t>
  </si>
  <si>
    <t>The evolution of continental crust in convergent margins can be explored in southernmost South America (54-56 degrees S). Plutonic rocks of the Fuegian Batholith and the rear-arc satellite Ushuaia Pluton were emplaced within the magmatic arc and the Fuegian fold-and-thrust belt, respectively. They record subduction zone processes in two distinct tectonic settings during the evolution of the Rocas Verdes Basin. We report new U-Pb zircon geochronology, bulk rock chemistry, Sr-Nd isotope data, and EPMA and in-situ LA-ICP-MS analyses of amphibole from 'hornblendites' and gabbroic-granitoid suites in order to evaluate the origin and evolution of the magmatic plumbing systems in the upper plate of the subduction zone. Textural relationships and amphibole compositions in hornblendite indicate crystallization at lower crustal depths with pressures of 7-8 kbar in the Fuegian Batholith and of 5-6 kbar in the Ushuaia Pluton. Lower Cretaceous suites of hornblendite and talc-alkaline homblendegabbro, diorite and tonalite in the Fuegian Batholith have eNdt values ranging between +2 and +4. They were emplaced within an island arc coeval with mid-oceanic type spreading in the Rocas Verdes back-arc basin. Isotope ratios and amphibole compositions in hornblendite indicate crystallization from primitive and hydrous sub-alkaline basaltic melts with relatively low LREE/HREE and low alkali contents. The Late Cretaceous plutons in the fold-and-thrust belt were emplaced after the tectonic juxtaposition of Rocas Verdes ophiolitic complexes. The Ushuaia Pluton, consisting of clinopyroxene-hornblende cumulates, hornblende-gabbro, diorite and monzodiorite, was emplaced during the waning stage of Late Cretaceous magmatism. In this case hornblendite amphiboles show high contents of alkalis, LREE and incompatible elements with a strong crustal affinity (Th, Ba, Rb). The enriched incompatible trace element patterns indicate their derivation from K-rich transitional magmas formed in supra-subduction settings. Chemical variations in amphibole from homblendites and spatially related plutonic rocks are evaluated in terms of fluid flux from the subducted slab and partial melting of the subarc mantle, ultimately controlled by the thermal state of the subducted slab and convergence rates. (C) 2020 Elsevier B.V. All rights reserved.</t>
  </si>
  <si>
    <t>[Torres Garcia, M. F.; Calderon, M.; Ramirez de Arellano, C.; Herve, F.] Univ Andres Bello, Carrera Geol, Sazie 2119, Santiago, Chile; [Herve, F.] Univ Chile, Dept Geol, Plaza Ercilla 803, Santiago, Chile; [Opitz, J.; Theye, T.] Univ Stuttgart, Inst Anorgan Chem, Pfaffenwaldring 55, D-70569 Stuttgart, Germany; [Fanning, C. M.] Australian Natl Univ, Res Sch Earth Sci, Canberra, ACT 0200, Australia; [Pankhurst, R. J.] British Geol Survey, Nottingham NG12 5GG, England; [Gonzalez-Guillot, M.] Consejo Nacl Invest Cient &amp; Tecn, Ctr Austral Invest Cient CADIC, B Houssay 200 V9410BFD, Ushuaia, Argentina; [Gonzalez-Guillot, M.] Univ Nacl Tierra del Fuego, Inst Ciencias Polares Ambiente &amp; Recursos Nat, Fuegia Basquet 251 V9410BFD, Ushuaia, Argentina; [Fuentes, F.] Univ Cent, Fac Ingn, Carrera Geol, Santiago, Chile; [Babinski, M.] Univ Sao Paulo, Inst Geociencias, Rua Lago 562,Cidade Univ, BR-05508080 Sao Paulo, Brazil</t>
  </si>
  <si>
    <t>Universidad Andres Bello; Universidad de Chile; University of Stuttgart; Australian National University; UK Research &amp; Innovation (UKRI); Natural Environment Research Council (NERC); NERC British Geological Survey; Consejo Nacional de Investigaciones Cientificas y Tecnicas (CONICET); Universidad Central de Chile; Universidade de Sao Paulo</t>
  </si>
  <si>
    <t>García, MFT (corresponding author), Univ Andres Bello, Carrera Geol, Sazie 2119, Santiago, Chile.</t>
  </si>
  <si>
    <t>mfernanda.torres.g@gmail.com</t>
  </si>
  <si>
    <t>Herve, Francisco/HDO-6628-2022; Babinski, Marly/B-9403-2013; Fanning, C. Mark/I-6449-2016</t>
  </si>
  <si>
    <t>Babinski, Marly/0000-0003-2444-2404; Torres Garcia, Fernanda/0000-0002-0212-9778</t>
  </si>
  <si>
    <t>Fondecyt [1161818]; Anillo Antartico projects [ARTG-04, ACT-105]; NERC [bgs06003] Funding Source: UKRI</t>
  </si>
  <si>
    <t>Fondecyt(Comision Nacional de Investigacion Cientifica y Tecnologica (CONICYT)CONICYT FONDECYT); Anillo Antartico projects; NERC(UK Research &amp; Innovation (UKRI)Natural Environment Research Council (NERC))</t>
  </si>
  <si>
    <t>This work was supported by Fondecyt grant 1161818. Several samples were collected during the development of the Anillo Antartico projects ARTG-04 and ACT-105 in which Andres Gomez, Fernando Poblete and Moyra Montes participated. We are grateful to Captain Hugo Cardenas and the crew of the Marypaz II for their support during several field campaigns in the Patagonian fjords. Constructive comments by Michel Gregoire, an anonymous reviewer and Co-Editor-inChief Greg Shellnut helped to significantly improve the manuscript.</t>
  </si>
  <si>
    <t>0024-4937</t>
  </si>
  <si>
    <t>1872-6143</t>
  </si>
  <si>
    <t>Lithos</t>
  </si>
  <si>
    <t>10.1016/j.lithos.2020.105656</t>
  </si>
  <si>
    <t>NR8PM</t>
  </si>
  <si>
    <t>WOS:000571822300014</t>
  </si>
  <si>
    <t>Shamaei, F; Bergström, M; Li, F; Taylor, R; Kujala, P</t>
  </si>
  <si>
    <t>Shamaei, Farhang; Bergstrom, Martin; Li, Fang; Taylor, Rocky; Kujala, Pentti</t>
  </si>
  <si>
    <t>Local pressures for ships in ice: Probabilistic analysis of full-scale line-load data</t>
  </si>
  <si>
    <t>MARINE STRUCTURES</t>
  </si>
  <si>
    <t>Arctic shipping; Arctic ships; Ice loads; Ice pressure; Ship design tools; Event-maximum method</t>
  </si>
  <si>
    <t>Ships operating in ice might be exposed to significant ice loading. Using a probabilistic semiempirical method known as the event-maximum method, the long-term maximum level of ice loading on a ship can be estimated based on parent distributions of short-term full-scale ice load measurements. The event-maximum method is used to model the relationship between extreme local ice pressures and impact area by estimating parameters corresponding to the inverse slope (alpha) and intercept (x(0)) for the line of best fit for the tail of ranked peak pressure data versus the natural logarithm of the Weibull plotting position. These best-fit lines are assumed to follow an exponential distribution and associated alpha and x(0) values are produced for different local design areas. This allows for the determination of alpha-area curves, which reflects the relationship between ice pressure and the local design area. Previous studies have determined alpha-area curves for different geographical areas such as the Beaufort Sea and South Bering Sea, representing different ice types including both first-year and multi-year ice. In this study, two separate sets of full-scale ice load measurements having been considered, namely measurements from the Kara Sea and the Barents Sea, as well as measurements from the Antarctic Ocean. Using these two datasets, two new alpha-area curves have been generated that represent among other operating areas (the Kara Sea and the Barents Sea), operating modes (icebreaker assisted operation) and impact areas (aft shoulder) not covered by other curves. Earlier formulations of the event-maximum method are based on local design areas in which the width and height of areas are defined by the size of instrumented rectangular panel areas (or combinations of those areas) on the bow of the vessel from which the data were collected. In that approach, ice thickness is not directly considered since the height of individual panels is based on the dimensions of instrumented areas and moreover, detailed ice thickness records were not available for those data sets. In the present study, an alternative approach has been developed to extend the event maximum method for use with ship line-load data. In this approach ice pressures are calculated by dividing the ice force measured on frames by the corresponding line-load area (A(LL)), which is the product of the width (W) that is based on frame spacing and an assumed line-load height (H) corresponding to 30% of the maximum prevailing ice thickness, as per best design practice, along the lines of the FinnishSwedish ice class rules. Data already presented as line-loads (in units of force per unit width), are converted to pressures by dividing line-loads by height H. The event definition used in the present approach is defined as the maximum pressure corresponding to 10- or 20-min intervals, asopposed to the impact event definition used in earlier works. In applying this extended method to develop new alpha-area curves, valuable insights into the relationship between local peak ice pressure and prevailing ice thickness have been gained for the above-mentioned full-scale measurements. The determined curves indicate a negative correlation between prevailing ice thickness and maximum local nominal ice pressure. Finally, it has been demonstrated that it is feasible to apply such curves in combination with the principle of the event-maximum method to estimate the maximum nominal ice pressure expected for a ship given a specified transit distance in sea ice with different prevailing thicknesses. [GRAPHICS] .</t>
  </si>
  <si>
    <t>[Shamaei, Farhang; Bergstrom, Martin; Li, Fang; Kujala, Pentti] Aalto Univ, Sch Engn, Aalto, Finland; [Taylor, Rocky] Mem Univ Newfoundland, Fac Engn &amp; Appl Sci, St John, NF, Canada</t>
  </si>
  <si>
    <t>Aalto University; Memorial University Newfoundland</t>
  </si>
  <si>
    <t>Bergström, M (corresponding author), Aalto Univ, Sch Engn, Marine Technol, POB 15300, Aalto 00076, Finland.</t>
  </si>
  <si>
    <t>farhang.shamaei@aalto.fi; martin.bergstrom@aalto.fi; fang.li@aalto.fi; rstaylor@mun.ca; pentti.kujala@aalto.fi</t>
  </si>
  <si>
    <t>Li, Fang/B-4861-2018; Kujala, Pentti JS/B-3780-2011</t>
  </si>
  <si>
    <t>Li, Fang/0000-0003-0589-9644; Bergstrom, Martin/0000-0001-7758-3038</t>
  </si>
  <si>
    <t>Lloyd's Register Foundation, a charitable foundation; European Union [723526]; H2020 Societal Challenges Programme [723526] Funding Source: H2020 Societal Challenges Programme</t>
  </si>
  <si>
    <t>Lloyd's Register Foundation, a charitable foundation; European Union(European Union (EU)); H2020 Societal Challenges Programme(Horizon 2020European Union (EU)H2020 Societal Challenges Programme)</t>
  </si>
  <si>
    <t>This project has received funding from the Lloyd's Register Foundation, a charitable foundation, helping to protect life and property by supporting engineering-related education, public engagement and the application of research www.lrfoundation.org.uk.The project has also received funding from the European Union's Horizon 2020 research and innovation programme under Grant Agreement number: 723526 (Project name: SEDNA - Safe maritime operations under extreme conditions: the Arctic case).</t>
  </si>
  <si>
    <t>0951-8339</t>
  </si>
  <si>
    <t>1873-4170</t>
  </si>
  <si>
    <t>MAR STRUCT</t>
  </si>
  <si>
    <t>Mar. Struct.</t>
  </si>
  <si>
    <t>10.1016/j.marstruc.2020.102822</t>
  </si>
  <si>
    <t>Engineering, Marine; Engineering, Civil</t>
  </si>
  <si>
    <t>Engineering</t>
  </si>
  <si>
    <t>NR4FI</t>
  </si>
  <si>
    <t>WOS:000571518900001</t>
  </si>
  <si>
    <t>Petrizzo, MR; Huber, BT; Falzoni, F; MacLeod, KG</t>
  </si>
  <si>
    <t>Petrizzo, Maria Rose; Huber, Brian T.; Falzoni, Francesca; MacLeod, Kenneth G.</t>
  </si>
  <si>
    <t>Changes in biogeographic distribution patterns of southern mid-to high latitude planktonic foraminifera during the Late Cretaceous hot to cool greenhouse climate transition</t>
  </si>
  <si>
    <t>CRETACEOUS RESEARCH</t>
  </si>
  <si>
    <t>Planktonic foraminifera; Biozonation; Paleoecology; Biogeography; Climate; Circum-Antarctic; Late Cretaceous</t>
  </si>
  <si>
    <t>CENOMANIAN-TURONIAN BOUNDARY; SEA-SURFACE TEMPERATURES; EXMOUTH PLATEAU; STABLE-ISOTOPE; CARBON-ISOTOPE; CALCAREOUS NANNOFOSSIL; EVOLUTIONARY HISTORY; NW AUSTRALIA; HOLE 762C; OCEAN</t>
  </si>
  <si>
    <t>The biogeographic distribution of planktonic foraminifera from southern mid-to high latitudes region are discussed to identify links between species distribution patterns and the changes in Late Cretaceous climate. We present relative abundance data for planktonic foraminifera spanning from the hot greenhouse climate of the Turonian to the cooler green-house of the Maastrichtian based on study of Ocean Drilling Program (ODP) holes 690C (Maud Rise), 7006 (Northeast Georgia Rise), 1138A (Kerguelen Plateau) and 762C (Exmouth Plateau). These drill sites were located between 47 degrees and 65 S paleolatitude in the southern South Atlantic and southern Indian Ocean where there is a good record of changes in vertical gradients and sea surface temperatures (SSTs) and shifts are well expressed due to amplification of global climatic variations in the circum-Antarctic region. The stratigraphic distribution of planktonic foraminiferal marker species that consistently occur at all sites enables construction of a new biozonation scheme that is applicable to the southern mid -to high latitude region. Quantitative data from planktonic foraminifera are used to examine variation in assemblage composition, permitting interpretation of changes in the patterns of surface water stratification. In addition, temporal biogeographic patterns are documented from the stratigraphic record of endemic species of the Southern Ocean and of species displaying poleward or equatorward migration. Results indicate that the broadest latitudinal expansion of the Tethyan tropical climatic belt coincided with the highest paleotemperatures of the Turonian Santonian. The onset of significant sea surface temperature cooling in the late Santonian early Campanian led to a progressive increase in the latitudinal temperature gradient and greater biogeographic differentiation among planktonic foraminiferal assemblages. These trends resulted in the establishment of a Transitional Bioprovince with Tethyan and Austral affinities in the southern latitudes that persisted through the Campanian and Maastrichtian and the development of a well-defined Austral Bioprovince that is observed by the early Maastrichtian at paleolatitudes south of 60 degrees S. (C) 2020 Elsevier Ltd. All rights reserved.</t>
  </si>
  <si>
    <t>[Petrizzo, Maria Rose; Falzoni, Francesca] Univ Milan, Dipartimento Sci Terra A Desio, Via Mangiagalli 34, I-20133 Milan, Italy; [Huber, Brian T.] Smithsonian Natl Museum Nat Hist, Dept Paleobiol, MRC NHB 121, Washington, DC 20013 USA; [MacLeod, Kenneth G.] Univ Missouri Columbia, Dept Geol Sci, 101 Geol Sci Bldg, Columbia, MO 65211 USA</t>
  </si>
  <si>
    <t>University of Milan; Smithsonian Institution; Smithsonian National Museum of Natural History; University of Missouri System; University of Missouri Columbia</t>
  </si>
  <si>
    <t>Petrizzo, MR (corresponding author), Univ Milan, Dipartimento Sci Terra A Desio, Via Mangiagalli 34, I-20133 Milan, Italy.</t>
  </si>
  <si>
    <t>mrose.petrizzo@unimi.it; huberb@si.edu; francesca.falzoni1@gmail.com; MacLeodK@missouri.edu</t>
  </si>
  <si>
    <t>Petrizzo, Maria Rose/M-8672-2013; MacLeod, Kenneth/GWU-8940-2022</t>
  </si>
  <si>
    <t>Falzoni, Francesca/0000-0002-5694-9827</t>
  </si>
  <si>
    <t>Italian Ministry of Education, University and Research (Ministero dell'Istruzione, dell'Universita e della Ricerca MIUR); Smithsonian Institution's Department of Paleobiology</t>
  </si>
  <si>
    <t>We warmly thank the editor Eduardo Koutsoukos and two anonymous reviewers for their helpful comments and suggestions. This study was supported by the Italian Ministry of Education, University and Research (Ministero dell'Istruzione, dell'Universita e della Ricerca MIUR), grant FFABR 2017 to M.R. Petrizzo. Financial support to B.T. Huber was provided by the Smithsonian Institution's Department of Paleobiology. The Ocean Drilling Program (ODP) and the International Ocean Discovery Program (IODP) are thanked for providing samples analyzed in this study.</t>
  </si>
  <si>
    <t>0195-6671</t>
  </si>
  <si>
    <t>1095-998X</t>
  </si>
  <si>
    <t>CRETACEOUS RES</t>
  </si>
  <si>
    <t>Cretac. Res.</t>
  </si>
  <si>
    <t>10.1016/j.cretres.2020.104547</t>
  </si>
  <si>
    <t>Geology; Paleontology</t>
  </si>
  <si>
    <t>NN4NR</t>
  </si>
  <si>
    <t>WOS:000568766700004</t>
  </si>
  <si>
    <t>Xie, ZY; Wang, Z; Magand, O; Thollot, A; Ebinghaus, R; Mi, WY; Dommergue, A</t>
  </si>
  <si>
    <t>Xie, Zhiyong; Wang, Zhen; Magand, Olivier; Thollot, Alban; Ebinghaus, Ralf; Mi, Wenying; Dommergue, Aurelien</t>
  </si>
  <si>
    <t>Occurrence of legacy and emerging organic contaminants in snow at Dome C in the Antarctic</t>
  </si>
  <si>
    <t>Organophosphate esters; PAH; PFAS; Snow; Antarctic</t>
  </si>
  <si>
    <t>POLYCYCLIC AROMATIC-HYDROCARBONS; ORGANOPHOSPHATE FLAME RETARDANTS; POLYFLUOROALKYL SUBSTANCES PFASS; LONG-RANGE TRANSPORT; PERFLUOROALKYL SUBSTANCES; PERFLUORINATED ACIDS; SPATIAL-DISTRIBUTION; TEMPORAL VARIATIONS; FILDES PENINSULA; RESEARCH STATION</t>
  </si>
  <si>
    <t>Concentrations of 9 organophosphate esters (OPEs), 16 perfluoroalkylated substances (PFASs) and 17 polycyclic aromatic hydrocarbons (PAHs) were investigated in surface snow samples collected at Dome C on the Antarctic Plateau in summer 2016. Tris(1-chloro-2-propyl) phosphate (TCPP), tris-(2-chloroethyl) phosphate (TCEP) and tri-n-butylphosphate (TnBP) were the dominant compounds of OPEs, with mean concentrations of 8157 +/- 4860, 1128 +/- 928 and 1232 +/- 1147 pg/L. Perfluorooctanoic acid (PFOA, mean: 358 +/- 71 pg/L) was the dominant compound of PFASs, and following by perfluoro-n-hexanoic acid (PFHxA, mean: 222 +/- 97 pg/L), perfluoro-n-heptanoic acid (PFHpA, 183 +/- 60 pg/L) and perfluoro-n-pentanoic acid (PFPeA, 175 +/- 105 pg/L). 2-(Heptafluoropropoxy)propanoic acid (HFPO-DA, mean: 9.2 +/- 2.6 pg/L) was determined in the Antarctic for the first time. Significantly positive correlations were observed between HFPO-DA and the short-chain PFASs, implying they have similar emission sources and long-range transport potential. High levels of 2-methylnaphthalene and 1-methylnaphthalene, as well as the ratios of PAH congeners indicated PAHs were attributable mostly to combustion origin. Occurrence and profiles of the indicators of OPEs, PFASs and PAHs, as well as air mass back-trajectory analysis provided direct evidences of human activities on Concordia station and posed obvious impacts on local environments in the Antarctic. Nevertheless, the exchange processes among different environmental matrices may drive the long-range transport and redistribution of the legacy and emerging Organic contaminants from coast to inland in the Antarctic. (C) 2020 The Authors. Published by Elsevier B.V.</t>
  </si>
  <si>
    <t>[Xie, Zhiyong; Ebinghaus, Ralf] Helmholtz Zentrum Geesthacht, Ctr Mat &amp; Coastal Res, Inst Coastal Res, D-21502 Geesthacht, Germany; [Wang, Zhen] Natl Marine Environm Monitoring Ctr, Dalian, Peoples R China; [Magand, Olivier; Thollot, Alban; Dommergue, Aurelien] Univ Grenoble Alpes, CNRS, IRD, Inst Geosci Environm,Grenoble INP, Grenoble, France; [Mi, Wenying] MINJIE Inst Environm Sci &amp; Hlth Res, D-21502 Geesthacht, Germany</t>
  </si>
  <si>
    <t>Helmholtz Association; Helmholtz-Zentrum Hereon; National Marine Environmental Monitoring Center; Institut de Recherche pour le Developpement (IRD); Communaute Universite Grenoble Alpes; Universite Grenoble Alpes (UGA); Institut National Polytechnique de Grenoble; Centre National de la Recherche Scientifique (CNRS)</t>
  </si>
  <si>
    <t>Xie, ZY (corresponding author), Helmholtz Zentrum Geesthacht, Ctr Mat &amp; Coastal Res, Inst Coastal Res, D-21502 Geesthacht, Germany.</t>
  </si>
  <si>
    <t>zhiyong.xie@hzg.de</t>
  </si>
  <si>
    <t>dommergue, aurelien/HLP-6539-2023</t>
  </si>
  <si>
    <t>dommergue, aurelien/0000-0002-8185-9604</t>
  </si>
  <si>
    <t>IPEV (GMOstral-1028 program); European Union's Horizon 2020 research and innovation programme via project iCUPE (Integrative and Comprehensive Understanding on Polar Environments) [689443]</t>
  </si>
  <si>
    <t>IPEV (GMOstral-1028 program); European Union's Horizon 2020 research and innovation programme via project iCUPE (Integrative and Comprehensive Understanding on Polar Environments)</t>
  </si>
  <si>
    <t>All authors deeply thank all overwintering staff and French Polar Institute Paul-Emile Victor (IPEV) staff who helped with the setup and maintenance of this experiment at Concordia site, in the framework of GMOStral-1028 IPEV program. Logistical and financial supports are provided by IPEV (GMOstral-1028 program) from 2012. Jing Li (HZG) is acknowledged for plotting air mass back trajectories. We would also like to thank the reviewers for their insightful and constructive feedback, which has helped improving the clarity and utility of the final manuscript. This work has received funding from the European Union's Horizon 2020 research and innovation programme under grant agreement No 689443 via project iCUPE (Integrative and Comprehensive Understanding on Polar Environments).</t>
  </si>
  <si>
    <t>10.1016/j.scitotenv.2020.140200</t>
  </si>
  <si>
    <t>NN5EZ</t>
  </si>
  <si>
    <t>WOS:000568813100004</t>
  </si>
  <si>
    <t>Wu, XG; Chen, AF; Yuan, ZJ; Kang, H; Xie, ZQ</t>
  </si>
  <si>
    <t>Wu, Xiaoguo; Chen, Afeng; Yuan, Zijiao; Kang, Hui; Xie, Zhouqing</t>
  </si>
  <si>
    <t>Atmospheric organochlorine pesticides (OCPs) and polychlorinated biphenyls (PCBs) in the Antarctic marginal seas: Distribution, sources and transportation</t>
  </si>
  <si>
    <t>CHEMOSPHERE</t>
  </si>
  <si>
    <t>OCPs; PCBs; Atmosphere; Antarctica marginal Seas</t>
  </si>
  <si>
    <t>PERSISTENT ORGANIC POLLUTANTS; ARCTIC-OCEAN; SPATIAL-DISTRIBUTION; AIR; POPS; CHINA; HEXACHLOROBENZENE; ENVIRONMENT; AUSTRALIA; SHANGHAI</t>
  </si>
  <si>
    <t>From November 2013 to March 2014, air samples were collected in the Antarctic marginal seas during the 30th Chinese Antarctic research expedition. Organochlorine pesticides (OCPs) and polychlorinated biphenyls (PCBs) were analyzed in these samples. The mean concentrations were observed for hexachlorobenzene (HCB) &gt;Sigma PCBs &gt;Sigma hexachlorocyclohexanes(HCHs) &gt;Sigma dichlorodiphenyltrichloroethane (DDTs)&gt;Sigma chlordanes. High levels of HCB were found near east Antarctica and in the Ross Sea, reflecting the re-emission of HCB from environmental reservoirs of these regions. Parent DDTs (p,p'- and o,p'-DDT) were rarely detected, suggesting that atmospheric DDT was predominantly influencedby weathered DDT from some secondarysources. However, fresh inputs of DDTs could not be excluded because there were still some samples with high proportions of parent DDTs. HCHs only were detected in the South Indian Ocean (near Australia), andthis result might be related to the intense emissions of HCHs from southern Australia. Ratios of trans-chlordane/cis-chlordanein most samples were lower than that in technical chlordane, reflecting the main influence of weathered chlordane. High levels of Sigma PCBs were found in the Ross Sea, suggesting an intense re-emission of PCBs. Furthermore, atmospheric PCBs near the Antarctic Peninsula were also relatively high, this finding might be attributed to the emissions of PCBs from nearby Antarctic research stations. Comparing with the Arctic, transport of OCPs and PCBs towards Antarctica is more difficult. The Antarctic marginal seas would act as both barriers and buffer zonesduring the transportation processes. (C) 2020 Elsevier Ltd. All rights reserved.</t>
  </si>
  <si>
    <t>[Wu, Xiaoguo; Chen, Afeng; Kang, Hui; Xie, Zhouqing] Univ Sci &amp; Technol China, Inst Polar Environm, Dept Environm Sci &amp; Engn, Hefei 230026, Anhui, Peoples R China; [Wu, Xiaoguo; Chen, Afeng; Kang, Hui; Xie, Zhouqing] Univ Sci &amp; Technol China, Anhui Key Lab Polar Environm &amp; Global Change, Dept Environm Sci &amp; Engn, Hefei 230026, Anhui, Peoples R China; [Wu, Xiaoguo; Chen, Afeng; Yuan, Zijiao] Anhui Normal Univ, Coll Environm Sci &amp; Engn, Anhui Prov Engn Lab Water &amp; Soil Pollut Control &amp;, Wuhu 241002, Anhui, Peoples R China; [Wu, Xiaoguo] Oregon State Univ, Dept Environm &amp; Mol Toxicol, Corvallis, OR 97331 USA</t>
  </si>
  <si>
    <t>Chinese Academy of Sciences; University of Science &amp; Technology of China, CAS; Chinese Academy of Sciences; University of Science &amp; Technology of China, CAS; Anhui Normal University; Oregon State University</t>
  </si>
  <si>
    <t>Xie, ZQ (corresponding author), Univ Sci &amp; Technol China, Dept Environm Sci &amp; Engn, Hefei, Anhui, Peoples R China.</t>
  </si>
  <si>
    <t>zqxie@ustc.edu.cn</t>
  </si>
  <si>
    <t>National Natural Science Foundation of China [41203075, 41676173]; Natural Science Foundation of Anhui Province, China [1708085MD88, 1808085QD98]; China Scholarship Council</t>
  </si>
  <si>
    <t>National Natural Science Foundation of China(National Natural Science Foundation of China (NSFC)); Natural Science Foundation of Anhui Province, China(Natural Science Foundation of Anhui Province); China Scholarship Council(China Scholarship Council)</t>
  </si>
  <si>
    <t>This study was supported by grants from the National Natural Science Foundation of China (Project Nos. 41203075, 41676173), the Natural Science Foundation of Anhui Province, China (Project Nos.1708085MD88, 1808085QD98), and China Scholarship Council (to Xiaoguo Wu).</t>
  </si>
  <si>
    <t>0045-6535</t>
  </si>
  <si>
    <t>1879-1298</t>
  </si>
  <si>
    <t>Chemosphere</t>
  </si>
  <si>
    <t>10.1016/j.chemosphere.2020.127359</t>
  </si>
  <si>
    <t>NK0QP</t>
  </si>
  <si>
    <t>WOS:000566446500092</t>
  </si>
  <si>
    <t>Hellmann, JL; Hopp, T; Burkhardt, C; Kleine, T</t>
  </si>
  <si>
    <t>Hellmann, Jan L.; Hopp, Timo; Burkhardt, Christoph; Kleine, Thorsten</t>
  </si>
  <si>
    <t>Origin of volatile element depletion among carbonaceous chondrites</t>
  </si>
  <si>
    <t>EARTH AND PLANETARY SCIENCE LETTERS</t>
  </si>
  <si>
    <t>tellurium; mass-dependent isotope fractionation; chondrule formation; CI-like matrix; two-component model; chondrule-matrix complementarity</t>
  </si>
  <si>
    <t>ISOTOPE FRACTIONATION; CHONDRULE FORMATION; IRON-METEORITES; SOLAR-SYSTEM; ZN ISOTOPES; TELLURIUM; COMPLEMENTARITY; HETEROGENEITY; TIMESCALES; ACCRETION</t>
  </si>
  <si>
    <t>Compared to the composition of CI chondrites and the Sun, all other carbonaceous chondrites are variably depleted in volatile elements. However, the origin of these depletions, and how they are related to volatile loss during high-temperature processes within the solar nebula, are unclear. To better understand the processes that caused volatile element fractionations among carbonaceous chondrites, we obtained mass-dependent Te isotopic compositions and Te concentrations for a comprehensive set of samples from the major carbonaceous chondrite groups. The chondrites exhibit well-resolved inter-group Te isotope variations towards lighter isotopic compositions for increasingly volatile-depleted samples. The Te isotopic compositions and concentrations are also correlated with the mass fraction of matrix and with nucleosynthetic epsilon Cr-54 anomalies. Combined, these correlations indicate mixing between volatilerich, isotopically heavy, and Cr-54-rich CI-like matrix with volatile-poor, isotopically light, and Cr-54-poorer chondrules or chondrule precursors. The Te-Cr isotopic correlation suggests that all carbonaceous chondrites contain CI-like matrix, and that chondrules and this CI-like matrix formed from isotopically distinct material originating from different regions of the disk. The only samples plotting off the Te-Cr correlation are CR chondrites, indicating that CR chondrules formed from different precursor material than chondrules from other carbonaceous chondrites, either because they formed at greater heliocentric distance and/or at a later time. Plots of volatile element abundances versus matrix mass fraction reveal that chondrules/chondrule precursors display CI-chondritic ratios for volatile elements with 50% condensation temperatures below similar to 750 K, with an overall abundance of similar to 0.13 x CI. Mixing between these two components, therefore, naturally results in CI-like ratios for these elements in all carbonaceous chondrites, in spite of different degrees of volatile depletion. A corollary of this observation is that the CI-like ratios of volatile elements in the bulk silicate Earth may result from the accretion of volatile-depleted materials and do not require accretion of CI chondrites themselves. (C) 2020 Elsevier B.V. All rights reserved.</t>
  </si>
  <si>
    <t>[Hellmann, Jan L.; Hopp, Timo; Burkhardt, Christoph; Kleine, Thorsten] Univ Munster, Inst Planetol, Wilhelm Klemm Str 10, D-48149 Munster, Germany; [Hopp, Timo] Univ Chicago, Dept Geophys Sci, Origins Lab, 5734 South Ellis Ave, Chicago, IL 60637 USA; [Hopp, Timo] Univ Chicago, Enrico Fermi Inst, 5734 South Ellis Ave, Chicago, IL 60637 USA</t>
  </si>
  <si>
    <t>University of Munster; University of Chicago; University of Chicago</t>
  </si>
  <si>
    <t>Hellmann, JL (corresponding author), Univ Munster, Inst Planetol, Wilhelm Klemm Str 10, D-48149 Munster, Germany.</t>
  </si>
  <si>
    <t>jan.hellmann@uni-muenster.de</t>
  </si>
  <si>
    <t>Kleine, Thorsten/S-2792-2017</t>
  </si>
  <si>
    <t>Hopp, Timo/0000-0002-4056-5431; Hellmann, Jan L./0000-0001-5365-492X; Burkhardt, Christoph/0000-0002-6952-5783</t>
  </si>
  <si>
    <t>NSF; NASA; Deutsche Forschungsgemeinschaft (DFG, German Research Foundation) [263649064 - TRR 170]</t>
  </si>
  <si>
    <t>NSF(National Science Foundation (NSF)); NASA(National Aeronautics &amp; Space Administration (NASA)); Deutsche Forschungsgemeinschaft (DFG, German Research Foundation)(German Research Foundation (DFG))</t>
  </si>
  <si>
    <t>Constructive reviews by two anonymous reviewers, and the efficient editorial handling by R. Dasgupta are gratefully acknowledged. Some of the meteorite samples for this study were provided by NASA, the Field Museum in Chicago, and the Institut de Physique du Globe de Paris in France, which is also gratefully acknowledged. We also thank A. Bischoff and E.H. Haiderer for providing the two CI chondrites Orgueil and Ivuna.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Funded by the Deutsche Forschungsgemeinschaft (DFG, German Research Foundation) - Project - ID 263649064 - TRR 170. This is TRR170 publication No. 106.</t>
  </si>
  <si>
    <t>0012-821X</t>
  </si>
  <si>
    <t>1385-013X</t>
  </si>
  <si>
    <t>EARTH PLANET SC LETT</t>
  </si>
  <si>
    <t>Earth Planet. Sci. Lett.</t>
  </si>
  <si>
    <t>10.1016/j.epsl.2020.116508</t>
  </si>
  <si>
    <t>NK2OP</t>
  </si>
  <si>
    <t>WOS:000566576500010</t>
  </si>
  <si>
    <t>Shin, JY; Kim, S; Zhao, X; Yoo, KC; Yu, Y; Lee, JI; Lee, MK; Yoon, HI</t>
  </si>
  <si>
    <t>Shin, Ji Young; Kim, Sunghan; Zhao, Xiang; Yoo, Kyu-Cheul; Yu, Yongjae; Lee, Jae Il; Lee, Min Kyung; Yoon, Ho Il</t>
  </si>
  <si>
    <t>Particle-size dependent magnetic properties of Scotia Sea sediments since the Last Glacial Maximum: Glacial ice-sheet discharge controlling magnetic proxies</t>
  </si>
  <si>
    <t>PALAEOGEOGRAPHY PALAEOCLIMATOLOGY PALAEOECOLOGY</t>
  </si>
  <si>
    <t>Magnetic property; Particle-size dependence; Southern Ocean; Glacial period; Iceberg-rafted debris</t>
  </si>
  <si>
    <t>SOUTHERN-OCEAN; GRAIN-SIZE; TERRIGENOUS SEDIMENT; ANTARCTIC PENINSULA; RAFTED DETRITUS; ATLANTIC SECTOR; INDIAN-OCEAN; ROSS SEA; DUST; SUSCEPTIBILITY</t>
  </si>
  <si>
    <t>The strong glacial-interglacial similarity between the magnetic susceptibility (MS) of Southern Ocean sediments and Antarctic ice core dust records has often been used to reconstruct Southern Hemisphere atmospheric variability. Although evaluation of various magnetic properties is essential for identifying the magnetic carriers linked to sedimentological variation, detailed magnetic studies are not sufficient in the Scotia Sea. Here we investigate the bulk and particle-size dependent magnetic properties of Scotia Sea sediments over the past similar to 22 kyr, to determine the main sediment transport mechanism driving bulk magnetic proxies including MS. In bulk sediments, MS is highest during the last glacial period and is accompanied by an increase in the concentration and grain size of ferrimagnetic and antiferromagnetic minerals. For magnetic mineral assemblages, coarse detrital magnetite is dominant. Of three particle-size fractions ( &gt; 63, 16-63, and &lt; 16 mu m), the coarse silt fraction (16-63 mu m) is responsible for the magnetic properties of bulk glacial sediments. Such dominant contribution of coarse silts rules out a major input of dust, which is expected as finer silt and clay. The silt fraction exhibits a co-varying magnetic mineral concentration with that of the sand fraction ( &gt; 63 mu m) throughout the last deglaciation, indicating a close linkage between their input mechanisms. Thus, the sediment particles ranging from sand to coarse silt, which control the bulk glacial magnetic proxies, are most plausibly transported by iceberg-rafted debris (IRD). As hematite is relatively concentrated in the sand fraction, the hematite contribution in the bulk sediment can highlight IRD-related magnetic signals rather than magnetite. The bulk hematite contribution simultaneously varies with the deglacial influx of coarse IRD particles ( &gt; 1 mm) in Scotia Sea sediments, although their glacial inconsistency possibly suggests a different IRD input mechanism during the advancement and retreat of the ice sheet. Consequently, the glacial increase in the bulk magnetic concentration indicates vigorous iceberg calving activity in the Scotia Sea and further suggests the coupled cryosphere-atmosphere system.</t>
  </si>
  <si>
    <t>[Shin, Ji Young] Korea Inst Ocean Sci &amp; Technol, Deep Sea Mineral Resources Res Ctr, Busan 49111, South Korea; [Shin, Ji Young; Kim, Sunghan; Yoo, Kyu-Cheul; Lee, Jae Il; Lee, Min Kyung; Yoon, Ho Il] Korea Polar Res Inst, Incheon 21990, South Korea; [Zhao, Xiang] Australian Natl Univ, Res Sch Earth Sci, Canberra, ACT 0200, Australia; [Yu, Yongjae] Chungnam Natl Univ, Dept Astron Space Sci &amp; Geol, Daejeon 34134, South Korea</t>
  </si>
  <si>
    <t>Korea Institute of Ocean Science &amp; Technology (KIOST); Korea Polar Research Institute (KOPRI); Australian National University; Chungnam National University</t>
  </si>
  <si>
    <t>Kim, S (corresponding author), Korea Polar Res Inst, Incheon 21990, South Korea.</t>
  </si>
  <si>
    <t>delongksh@kopri.re.kr</t>
  </si>
  <si>
    <t>zhao, xiang/P-5590-2016; Kim, Sunghan/CAG-2289-2022</t>
  </si>
  <si>
    <t>Shin, Ji Young/0000-0003-1646-9922; Yu, Yongjae/0000-0002-2005-2778</t>
  </si>
  <si>
    <t>Geological Research Division; KOPRI project [PE20180]</t>
  </si>
  <si>
    <t>Geological Research Division; KOPRI project(Korea Polar Research Institute of Marine Research Placement (KOPRI))</t>
  </si>
  <si>
    <t>We would like to thank the crew and scientific party of the R/V Yuzhmorgeologiya for all their help during the gravity coring on board. FORC and IRM measurements were made in KIGAM, South Korea, through instrumental support from the Geological Research Division. We appreciate the handling editor (Dr. Paul Hesse) and two anonymous reviewers for their important and constructive comments to improve the manuscript. This research was supported by KOPRI project (PE20180).</t>
  </si>
  <si>
    <t>0031-0182</t>
  </si>
  <si>
    <t>1872-616X</t>
  </si>
  <si>
    <t>PALAEOGEOGR PALAEOCL</t>
  </si>
  <si>
    <t>Paleogeogr. Paleoclimatol. Paleoecol.</t>
  </si>
  <si>
    <t>10.1016/j.palaeo.2020.109906</t>
  </si>
  <si>
    <t>Geography, Physical; Geosciences, Multidisciplinary; Paleontology</t>
  </si>
  <si>
    <t>Physical Geography; Geology; Paleontology</t>
  </si>
  <si>
    <t>NJ0GQ</t>
  </si>
  <si>
    <t>WOS:000565723200003</t>
  </si>
  <si>
    <t>Orr, A; Hosking, JS; Delon, A; Hoffmann, L; Spang, R; Moffat-Griffin, T; Keeble, J; Abraham, NL; Braesicke, P</t>
  </si>
  <si>
    <t>Orr, Andrew; Hosking, J. Scott; Delon, Aymeric; Hoffmann, Lars; Spang, Reinhold; Moffat-Griffin, Tracy; Keeble, James; Abraham, Nathan Luke; Braesicke, Peter</t>
  </si>
  <si>
    <t>Polar stratospheric clouds initiated by mountain waves in a global chemistry-climate model: a missing piece in fully modelling polar stratospheric ozone depletion</t>
  </si>
  <si>
    <t>GRAVITY-WAVES; ANTARCTIC PENINSULA; PART I; CIRCULATION; TEMPERATURES; SIMULATIONS; SCANDINAVIA; IMPACT; RECORD; FLOW</t>
  </si>
  <si>
    <t>An important source of polar stratospheric clouds (PSCs), which play a crucial role in controlling polar stratospheric ozone depletion, is the temperature fluctuations induced by mountain waves. These enable stratospheric temperatures to fall below the threshold value for PSC formation in regions of negative temperature perturbations or cooling phases induced by the waves even if the synoptic-scale temperatures are too high. However, this formation mechanism is usually missing in global chemistry-climate models because these temperature fluctuations are neither resolved nor parameterised. Here, we investigate in detail the episodic and localised wintertime stratospheric cooling events produced over the Antarctic Peninsula by a parameterisation of mountain-wave-induced temperature fluctuations inserted into a 30-year run of the global chemistry-climate configuration of the UM-UKCA (Unified Model - United Kingdom Chemistry and Aerosol) model. Comparison of the probability distribution of the parameterised cooling phases with those derived from climatologies of satellite-derived AIRS brightness temperature measurements and high-resolution radiosonde temperature soundings from Rothera Research Station on the Antarctic Peninsula shows that they broadly agree with the AIRS observations and agree well with the radiosonde observations, particularly in both cases for the cold tails of the distributions. It is further shown that adding the parameterised cooling phase to the resolved and synoptic-scale temperatures in the UM-UKCA model results in a considerable increase in the number of instances when minimum temperatures fall below the formation temperature for PSCs made from ice water during late austral autumn and early austral winter and early austral spring, and without the additional cooling phase the temperature rarely falls below the ice frost point temperature above the Antarctic Peninsula in the model Similarly, it was found that the formation potential for PSCs made from ice water was many times larger if the additional cooling is included. For PSCs made from nitric acid trihydrate (NAT) particles it was only during October that the additional cooling is required for temperatures to fall below the NAT formation temperature threshold (despite more NAT PSCs occurring during other months). The additional cooling phases also resulted in an increase in the surface area density of NAT particles throughout the winter and early spring, which is important for chlorine activation. The parameterisation scheme was finally shown to make substantial differences to the distribution of total column ozone during October, resulting from a shift in the position of the polar vortex.</t>
  </si>
  <si>
    <t>[Orr, Andrew; Hosking, J. Scott; Moffat-Griffin, Tracy] British Antarctic Survey, Cambridge, England; [Delon, Aymeric] Ecole Normale Super Paris Saclay, Paris, France; [Hoffmann, Lars] Forschungszentrum Julich, Julich Supercomp Ctr, Julich, Germany; [Spang, Reinhold] Forschungszentrum Julich, Inst Energie &amp; Klimaforsch, Stratosphare, IEK 7, Julich, Germany; [Keeble, James; Abraham, Nathan Luke] Univ Cambridge, Natl Ctr Atmospher Sci NCAS, Cambridge, England; [Keeble, James; Abraham, Nathan Luke] Univ Cambridge, Dept Chem, Cambridge, England; [Braesicke, Peter] Karlsruher Inst Technol, Inst Meteorol &amp; Klimaforsch, Karlsruhe, Germany</t>
  </si>
  <si>
    <t>UK Research &amp; Innovation (UKRI); Natural Environment Research Council (NERC); NERC British Antarctic Survey; Universite Paris Saclay; Helmholtz Association; Research Center Julich; Helmholtz Association; Research Center Julich; University of Cambridge; University of Cambridge; Helmholtz Association; Karlsruhe Institute of Technology</t>
  </si>
  <si>
    <t>Orr, A (corresponding author), British Antarctic Survey, Cambridge, England.</t>
  </si>
  <si>
    <t>anmcr@bas.ac.uk</t>
  </si>
  <si>
    <t>Hoffmann, Lars/ABI-3746-2020; Braesicke, Peter/D-8330-2016; Hosking, Scott/D-3437-2013; Spang, Reinhold/A-2738-2013</t>
  </si>
  <si>
    <t>Hoffmann, Lars/0000-0003-3773-4377; Braesicke, Peter/0000-0003-1423-0619; Abraham, Nathan Luke/0000-0003-3750-3544; Keeble, James/0000-0003-2714-1084; Hosking, Scott/0000-0002-3646-3504; Spang, Reinhold/0000-0002-2483-5761</t>
  </si>
  <si>
    <t>Natural Environment Research Council (NERC); NERC through NCAS; NERC [bas0100032, ncas10014, NE/H022988/1] Funding Source: UKRI</t>
  </si>
  <si>
    <t>Natural Environment Research Council (NERC)(UK Research &amp; Innovation (UKRI)Natural Environment Research Council (NERC)); NERC through NCAS(UK Research &amp; Innovation (UKRI)Natural Environment Research Council (NERC)); NERC(UK Research &amp; Innovation (UKRI)Natural Environment Research Council (NERC))</t>
  </si>
  <si>
    <t>This work was undertaken as part of the Polar Science for Planet Earth Programme of the British Antarctic Survey and funded by the Natural Environment Research Council (NERC). James Keeble and Nathan Luke Abraham thank NERC through NCAS for financial support.</t>
  </si>
  <si>
    <t>OCT 31</t>
  </si>
  <si>
    <t>10.5194/acp-20-12483-2020</t>
  </si>
  <si>
    <t>OJ0ZA</t>
  </si>
  <si>
    <t>Green Accepted, Green Published, Green Submitted, gold</t>
  </si>
  <si>
    <t>WOS:000583695900002</t>
  </si>
  <si>
    <t>Bax, N; Sands, CJ; Gogarty, B; Downey, RV; Moreau, CVE; Moreno, B; Held, C; Paulsen, ML; McGee, J; Haward, M; Barnes, DKA</t>
  </si>
  <si>
    <t>Bax, Narissa; Sands, Chester J.; Gogarty, Brendan; Downey, Rachel, V; Moreau, Camille V. E.; Moreno, Bernabe; Held, Christoph; Paulsen, Maria L.; McGee, Jeffrey; Haward, Marcus; Barnes, David K. A.</t>
  </si>
  <si>
    <t>Perspective: Increasing blue carbon around Antarctica is an ecosystem service of considerable societal and economic value worth protecting</t>
  </si>
  <si>
    <t>Antarctic Treaty System; biodiversity conservation; blue carbon; carbon sequestration</t>
  </si>
  <si>
    <t>SEA-ICE LOSSES; SHELF; GAINS; CO2; MECHANISMS; STORAGE</t>
  </si>
  <si>
    <t>Precautionary conservation and cooperative global governance are needed to protect Antarctic blue carbon: the world's largest increasing natural form of carbon storage with high sequestration potential. As patterns of ice loss around Antarctica become more uniform, there is an underlying increase in carbon capture-to-storage-to-sequestration on the seafloor. The amount of carbon captured per unit area is increasing and the area available to blue carbon is also increasing. Carbon sequestration could further increase under moderate (+1 degrees C) ocean warming, contrary to decreasing global blue carbon stocks elsewhere. For example, in warmer waters, mangroves and seagrasses are in decline and benthic organisms are close to their physiological limits, so a 1 degrees C increase in water temperature could push them above their thermal tolerance (e.g. bleaching of coral reefs). In contrast, on the basis of past change and current research, we expect that Antarctic blue carbon could increase by orders of magnitude. The Antarctic seafloor is biophysically unique and the site of carbon sequestration, the benthos, faces less anthropogenic disturbance than any other ocean continental shelf environment. This isolation imparts both vulnerability to change, and an avenue to conserve one of the world's last biodiversity refuges. In economic terms, the value of Antarctic blue carbon is estimated at between 0.65 pound and 1.76 pound billion (similar to 2.27 billion USD) for sequestered carbon in the benthos around the continental shelf. To balance biodiversity protection against society's economic objectives, this paper builds on a proposal incentivising protection by building a 'non-market framework' via the 2015 Paris Agreement to the United Nations Framework Convention on Climate Change. This could be connected and coordinated through the Antarctic Treaty System to promote and motivate member states to value Antarctic blue carbon and maintain scientific integrity and conservation for the positive societal values ingrained in the Antarctic Treaty System.</t>
  </si>
  <si>
    <t>[Bax, Narissa; Haward, Marcus] Univ Tasmania, Inst Marine &amp; Antarctic Studies, Hobart, Tas 7004, Australia; [Sands, Chester J.; Barnes, David K. A.] British Antarctic Survey, Cambridge, England; [Gogarty, Brendan; McGee, Jeffrey] Univ Tasmania, Fac Law, Hobart, Tas, Australia; [Downey, Rachel, V] Australian Natl Univ, Canberra, ACT, Australia; [Moreau, Camille V. E.] Univ Libre Bruxelles, Brussels, Belgium; [Moreno, Bernabe] Univ Cient Sur, Lima, Peru; [Held, Christoph] Alfred Wegener Inst, Bremerhaven, Germany; [Paulsen, Maria L.] Aarhus Univ, Aarhus, Denmark</t>
  </si>
  <si>
    <t>University of Tasmania; UK Research &amp; Innovation (UKRI); Natural Environment Research Council (NERC); NERC British Antarctic Survey; University of Tasmania; Australian National University; Universite Libre de Bruxelles; Universidad Cientifica del Sur (CIENTIFICA); Helmholtz Association; Alfred Wegener Institute, Helmholtz Centre for Polar &amp; Marine Research; Aarhus University</t>
  </si>
  <si>
    <t>Bax, N (corresponding author), Univ Tasmania, Inst Marine &amp; Antarctic Studies, Hobart, Tas 7004, Australia.</t>
  </si>
  <si>
    <t>narissa.bax@utas.edu.au</t>
  </si>
  <si>
    <t>Downey, Rachel/Q-4156-2019; McGee, Jeffrey/K-7322-2015; Haward, Marcus/G-3369-2014</t>
  </si>
  <si>
    <t>McGee, Jeffrey/0000-0002-2093-5896; Paulsen, Maria Lund/0000-0002-1474-7258; Downey, Rachel/0000-0001-9275-8879; Moreau, Camille/0000-0002-0981-7442; Sands, Chester/0000-0003-1028-0328; Haward, Marcus/0000-0003-4775-0864; Moreno, Bernabe/0000-0002-9751-6307; Bax, Narissa/0000-0002-4338-1080</t>
  </si>
  <si>
    <t>NERC [bas0100036] Funding Source: UKRI</t>
  </si>
  <si>
    <t>10.1111/gcb.15392</t>
  </si>
  <si>
    <t>OCT 2020</t>
  </si>
  <si>
    <t>PC7RU</t>
  </si>
  <si>
    <t>Green Published, Green Accepted</t>
  </si>
  <si>
    <t>WOS:000584470200001</t>
  </si>
  <si>
    <t>Pethybridge, HR; Fulton, EA; Hobday, AJ; Blanchard, J; Bulman, CM; Butler, IR; Cheung, WWL; Dutra, LXC; Gorton, R; Hutton, T; Matear, R; Lozano-Montes, H; Plagányi, EE; Villanueva, C; Zhang, XB</t>
  </si>
  <si>
    <t>Pethybridge, Heidi R.; Fulton, Elizabeth A.; Hobday, Alistair J.; Blanchard, Julia; Bulman, Catherine M.; Butler, Ian R.; Cheung, William W. L.; Dutra, Leo X. C.; Gorton, Rebecca; Hutton, Trevor; Matear, Richard; Lozano-Montes, Hector; Plaganyi, Eva E.; Villanueva, Cecilia; Zhang, Xuebin</t>
  </si>
  <si>
    <t>Contrasting Futures for Australia's Fisheries Stocks Under IPCC RCP8.5 Emissions - A Multi-Ecosystem Model Approach</t>
  </si>
  <si>
    <t>forecasting; climate change; model uncertainty; fisheries management; adaptive management; ensemble modeling</t>
  </si>
  <si>
    <t>CLIMATE-CHANGE IMPACTS; MARINE FISHERIES; MANAGEMENT IMPLICATIONS; CHANGING CLIMATE; FISHING EFFORT; OCEAN; TOOLS; UNCERTAINTIES; RECRUITMENT; PROJECTIONS</t>
  </si>
  <si>
    <t>Climate-driven trends in ocean temperature and primary productivity are projected to differ greatly across the globe, triggering variable levels of concern for marine biota and ecosystems. Quantifying these changes, and the complex ways in which resource-dependent communities will need to respond, is inherently difficult. Existing uncertainty about the structure, function and responses of marine ecosystems, means that a multi-model or ensemble model approach is the most prudent means of assessing the potential ecosystem responses to climate change. In this study, climate-ecological projections of 13 marine ecosystem models for regions around Australia were evaluated. Model types included dynamic food web, spatial whole of ecosystem, intermediate complexity, species distribution, and size spectrum models and were all forced by high-resolution ocean model data. Each Australian region and fishery will face its own challenges in terms of ecosystem shifts and fisheries management responses over the next 30 years. Across regions, demersal systems appear to be more strongly affected by climate change than pelagic systems, with invertebrate species in shallow waters likely to respond first and to a larger degree. With the assistance of qualitative confidence evaluations, the multi-model approach was useful for identifying the likely state of concern for each functional group and thus adaptive management and research priorities. Largest model discrepancies were found between the regional ecosystem models that represent trophic interactions and the species distribution models, with implications for future assessments and adaption planning. Study results highlight that fisheries and their management will need to foster pro-active and flexible adaptation options to make the most of coming opportunities and to minimize risks or negative outcomes.</t>
  </si>
  <si>
    <t>[Pethybridge, Heidi R.; Fulton, Elizabeth A.; Hobday, Alistair J.; Bulman, Catherine M.; Dutra, Leo X. C.; Gorton, Rebecca; Hutton, Trevor; Matear, Richard; Lozano-Montes, Hector; Plaganyi, Eva E.; Zhang, Xuebin] CSIRO Oceans &amp; Atmosphere, Hobart, Tas, Australia; [Fulton, Elizabeth A.; Hobday, Alistair J.; Blanchard, Julia; Butler, Ian R.; Dutra, Leo X. C.; Plaganyi, Eva E.; Villanueva, Cecilia] Univ Tasmania, Ctr Marine Socioecol, Hobart, Tas, Australia; [Blanchard, Julia; Villanueva, Cecilia] Univ Tasmania, Inst Marine &amp; Antarctic Studies, Hobart, Tas, Australia; [Butler, Ian R.] Australian Fisheries Management Author, Canberra, ACT, Australia; [Butler, Ian R.] Australian Bur Agr &amp; Resource Econ &amp; Sci, Canberra, ACT, Australia; [Cheung, William W. L.] Univ British Columbia, Inst Oceans &amp; Fisheres, Vancouver, BC, Canada</t>
  </si>
  <si>
    <t>Commonwealth Scientific &amp; Industrial Research Organisation (CSIRO); University of Tasmania; University of Tasmania; University of British Columbia</t>
  </si>
  <si>
    <t>Pethybridge, HR (corresponding author), CSIRO Oceans &amp; Atmosphere, Hobart, Tas, Australia.</t>
  </si>
  <si>
    <t>Heidi.Pethybridge@csiro.au</t>
  </si>
  <si>
    <t>matear, richard J/C-5133-2011; Dutra, Leo/R-6256-2019; Cheung, William/F-5104-2013; Fulton, Beth/A-2871-2008; Pethybridge, Heidi/AEO-8594-2022; Butler, Ian R/A-6277-2012; Plaganyi, Eva E/C-5130-2011; Blanchard, Julia L/E-4919-2010; Lozano-Montes, Hector M/E-5034-2014; Hobday, Alistair/A-1460-2012; Pethybridge, Heidi/AAI-9824-2021; Zhang, Xuebin/A-3405-2012; Bulman, Catherine/A-9795-2012</t>
  </si>
  <si>
    <t>Pethybridge, Heidi/0000-0002-7291-5766; Plaganyi, Eva E/0000-0002-4740-4200; Zhang, Xuebin/0000-0003-1731-3524; Gorton, Rebecca/0000-0002-5290-3506; Bulman, Catherine/0000-0002-8997-4615; Blanchard, Julia/0000-0003-0532-4824; Dutra, Leo/0000-0002-5781-3956</t>
  </si>
  <si>
    <t>Australian Fisheries Research and Development Corporation [2016-2018/138]</t>
  </si>
  <si>
    <t>Australian Fisheries Research and Development Corporation</t>
  </si>
  <si>
    <t>This is a synthesis of work undertaken for the Australian Fisheries Research and Development Corporation project 2016-2018/138.</t>
  </si>
  <si>
    <t>OCT 30</t>
  </si>
  <si>
    <t>10.3389/fmars.2020.577964</t>
  </si>
  <si>
    <t>OQ9GX</t>
  </si>
  <si>
    <t>WOS:000589085400001</t>
  </si>
  <si>
    <t>Butler, CL; Lucieer, VL; Wotherspoon, SJ; Johnson, CR</t>
  </si>
  <si>
    <t>Butler, Claire L.; Lucieer, Vanessa L.; Wotherspoon, Simon J.; Johnson, Craig R.</t>
  </si>
  <si>
    <t>Multi-decadal decline in cover of giant kelp Macrocystis pyrifera at the southern limit of its Australian range</t>
  </si>
  <si>
    <t>MARINE ECOLOGY PROGRESS SERIES</t>
  </si>
  <si>
    <t>Macrocystis pyrifera; Climate change; Sea surface temperature; Range contraction; Ocean warming hotspot; Population dynamics; El Nino-Southern Oscillation</t>
  </si>
  <si>
    <t>INTERANNUAL VARIABILITY; EL-NINO; CONTINENTAL-SHELF; TIDAL CURRENTS; NORTHERN CHILE; WAVE EXPOSURE; LARGE-SCALE; IN-SITU; GROWTH; LAMINARIALES</t>
  </si>
  <si>
    <t>Knowledge of long-term and multi-scale trends in ecological systems is a vital component in understanding their dynamics. We used Landsat satellite imagery to develop the first long-term (1986-2015) data set describing the cover of dense surface canopies of giant kelp Macrocystis pyrifera around the entire coastline of Tasmania, Australia, and assessed the extent to which potential environmental drivers explain the dynamics of surface canopies at multiple spatial and temporal scales. Broad-scale temporal patterns in canopy cover are correlated with El Nino-Southern Oscillation events, while regional patterns are related to sea surface temperature and nutrient regimes are associated with the East Australian Current. Regression models developed to predict the presence or absence of giant kelp canopy emphasise the importance of sea surface temperature in these systems. Long-term decline in canopy cover is clearly evident in most regions, and in light of increasing thermal stress associated with a changing ocean climate, this raises concern for the future of this species as a major habitat-forming kelp in Australia and some other regions worldwide. Given that Tasmania represents the stronghold of the range of this species in Australia, but is a geographic trap in that there is no suitable habitat for M. pyrifera to the south, our findings support the Federal listing of giant kelp communities in Australia as an endangered marine community type.</t>
  </si>
  <si>
    <t>[Butler, Claire L.; Lucieer, Vanessa L.; Wotherspoon, Simon J.; Johnson, Craig R.] Univ Tasmania, Inst Marine &amp; Antarctic Studies, Hobart, Tas 7004, Australia</t>
  </si>
  <si>
    <t>Butler, CL (corresponding author), Univ Tasmania, Inst Marine &amp; Antarctic Studies, Hobart, Tas 7004, Australia.</t>
  </si>
  <si>
    <t>claire.butler@utas.edu.au</t>
  </si>
  <si>
    <t>Wotherspoon, Simon J/B-2390-2013; lucieer, vanessa l/D-1697-2009</t>
  </si>
  <si>
    <t>Wotherspoon, Simon J/0000-0002-6947-4445; Butler, Claire L./0000-0002-4602-0395</t>
  </si>
  <si>
    <t>INTER-RESEARCH</t>
  </si>
  <si>
    <t>OLDENDORF LUHE</t>
  </si>
  <si>
    <t>NORDBUNTE 23, D-21385 OLDENDORF LUHE, GERMANY</t>
  </si>
  <si>
    <t>0171-8630</t>
  </si>
  <si>
    <t>1616-1599</t>
  </si>
  <si>
    <t>MAR ECOL PROG SER</t>
  </si>
  <si>
    <t>Mar. Ecol.-Prog. Ser.</t>
  </si>
  <si>
    <t>OCT 29</t>
  </si>
  <si>
    <t>10.3354/meps13510</t>
  </si>
  <si>
    <t>Ecology; Marine &amp; Freshwater Biology; Oceanography</t>
  </si>
  <si>
    <t>Environmental Sciences &amp; Ecology; Marine &amp; Freshwater Biology; Oceanography</t>
  </si>
  <si>
    <t>QL7AN</t>
  </si>
  <si>
    <t>Green Accepted, Green Published, hybrid</t>
  </si>
  <si>
    <t>WOS:000621235800001</t>
  </si>
  <si>
    <t>[Anonymous]</t>
  </si>
  <si>
    <t>MELTING SEA ICE CHILLS EVEN ANTARCTIC WATERS</t>
  </si>
  <si>
    <t>NATURE</t>
  </si>
  <si>
    <t>Editorial Material</t>
  </si>
  <si>
    <t>Biotechnology</t>
  </si>
  <si>
    <t>Technique allows scientists to complete a timeline for gene activity in a single cell. Technique allows scientists to complete a timeline for gene activity in a single cell.</t>
  </si>
  <si>
    <t>0028-0836</t>
  </si>
  <si>
    <t>1476-4687</t>
  </si>
  <si>
    <t>Nature</t>
  </si>
  <si>
    <t>OK6JX</t>
  </si>
  <si>
    <t>WOS:000584755500004</t>
  </si>
  <si>
    <t>Fan, LL; Guan, HD; Cai, WJ; Rofe, CP; Xu, JJ</t>
  </si>
  <si>
    <t>Fan, Lingli; Guan, Huade; Cai, Wenju; Rofe, C. P.; Xu, Jianjun</t>
  </si>
  <si>
    <t>A 7-Year Lag Precipitation Teleconnection in South Australia and Its Possible Mechanism</t>
  </si>
  <si>
    <t>FRONTIERS IN EARTH SCIENCE</t>
  </si>
  <si>
    <t>precipitation prediction; southern annular mode; sea temperature; supergyre; drought; Goyder’ s line</t>
  </si>
  <si>
    <t>INDIAN-OCEAN DIPOLE; NORTH-ATLANTIC OSCILLATION; EL-NINO; RAINFALL VARIABILITY; ANNULAR MODE; SEASONAL RAINFALL; EXTRATROPICAL CIRCULATION; ANTARCTIC OSCILLATION; SURFACE-TEMPERATURE; ENSO TELECONNECTION</t>
  </si>
  <si>
    <t>Precipitation teleconnections with large-scale ocean-atmosphere oscillation systems provide useful information for water management. Here, we present a 7-year lag response in South Australia (SA) precipitation to the Southern Annular Mode (SAM) in a positive Interdecadal Pacific Oscillation (IPO) phase. This teleconnection between a positive SAM phase and increased SA precipitation, and vice versa, statistically consists of three sequential steps: a 27-season lag positive correlation between sea subsurface potential temperature (SSPT) to the south of SA and SAM, a zero-season lag positive correlation between sea surface temperature (SST) and SSPT, and a 2-season positive lag correlation between SA precipitation and sea surface temperature. Physically, this teleconnection seems to be associated with a supergyre circulation of the southern hemisphere oceans, which transfers SAM signal via subsurface potential sea temperature in the central south Pacific to the south of SA in 27 seasons during the positive IPO phase. Practically, this teleconnection provides a 7-year-lead drought precursor for rain-fed agriculture planning in SA. However, the teleconnection disappears in negative IPO phases. The oceanic pathway via the supergyre suggested in this study provides a basis to predict when this 7-year teleconnection may resume in the future based on observation and/or modeling.</t>
  </si>
  <si>
    <t>[Fan, Lingli; Xu, Jianjun] Guangdong Ocean Univ, South China Sea Inst Marine Meteorol, Coll Ocean &amp; Meteorol, Zhanjiang, Peoples R China; [Fan, Lingli; Guan, Huade; Rofe, C. P.] Flinders Univ S Australia, Coll Sci &amp; Engn, Natl Ctr Groundwater Res &amp; Training, Bedford Pk, SA, Australia; [Cai, Wenju] Ocean Univ China, Inst Adv Ocean Studies, Key Lab Phys Oceanog, Qingdao, Peoples R China; [Cai, Wenju] Qingdao Natl Lab Marine Sci &amp; Technol, Qingdao, Peoples R China; [Cai, Wenju] CSIRO Oceans &amp; Atmosphere, Ctr Southern Hemisphere Oceans Res CSHOR, Hobart, SA, Australia</t>
  </si>
  <si>
    <t>Guangdong Ocean University; Flinders University South Australia; Ocean University of China; Laoshan Laboratory; Commonwealth Scientific &amp; Industrial Research Organisation (CSIRO)</t>
  </si>
  <si>
    <t>Guan, HD (corresponding author), Flinders Univ S Australia, Coll Sci &amp; Engn, Natl Ctr Groundwater Res &amp; Training, Bedford Pk, SA, Australia.</t>
  </si>
  <si>
    <t>huade.guan@flinders.edu.au</t>
  </si>
  <si>
    <t>Cai, Wei-Jun/C-1361-2013; Guan, Huade/E-9262-2015</t>
  </si>
  <si>
    <t>Guan, Huade/0000-0001-5425-6974</t>
  </si>
  <si>
    <t>National Key Research and Development Program of China [2018YFC1506002, 2018YFA0605604]; Centre for Southern Hemisphere Oceans Research</t>
  </si>
  <si>
    <t>National Key Research and Development Program of China; Centre for Southern Hemisphere Oceans Research(Commonwealth Scientific &amp; Industrial Research Organisation (CSIRO))</t>
  </si>
  <si>
    <t>This study was partly funded by the National Key Research and Development Program of China NO 2018YFC1506002 and NO 2018YFA0605604. Early development of the research idea was benefited from the National Centre for Groundwater Research and Training (Australia) SR08000001. WC was supported by the Centre for Southern Hemisphere Oceans Research, a joint research center between QNLM and CSIRO. Craig T. Simmons, Jochen Kaempf, and Matthias Tomczak (deceased) from Flinders University joined discussion at the early stage of this work. Two reviewers and Editor Stahl's constructive comments improved this manuscript. All data used in this paper are available in the relevant organizations described in the data section.</t>
  </si>
  <si>
    <t>2296-6463</t>
  </si>
  <si>
    <t>FRONT EARTH SC-SWITZ</t>
  </si>
  <si>
    <t>Front. Earth Sci.</t>
  </si>
  <si>
    <t>10.3389/feart.2020.553506</t>
  </si>
  <si>
    <t>OS3NG</t>
  </si>
  <si>
    <t>WOS:000590071400001</t>
  </si>
  <si>
    <t>Casagrande, F; de Souza, RB; Nobre, P; Marquez, AL</t>
  </si>
  <si>
    <t>Casagrande, Fernanda; de Souza, Ronald Buss; Nobre, Paulo; Marquez, Andre Lanfer</t>
  </si>
  <si>
    <t>An inter-hemispheric seasonal comparison of polar amplification using radiative forcing of a quadrupling CO2 experiment</t>
  </si>
  <si>
    <t>EARTH SYSTEM MODEL; ANTARCTIC SEA-ICE; CLIMATE-CHANGE; ARCTIC AMPLIFICATION; FRESH-WATER; OCEAN; TEMPERATURE; SIMULATION; CMIP5; PERFORMANCE</t>
  </si>
  <si>
    <t>The numerical climate simulations from the Brazilian Earth System Model (BESM) are used here to investigate the response of the polar regions to a forced increase in CO2 (Abrupt-4 x CO2) and compared with Coupled Model Intercomparison Project phase 5 (CMIP5) and 6 (CMIP6) simulations. The main objective here is to investigate the seasonality of the surface and vertical warming as well as the coupled processes underlying the polar amplification, such as changes in sea ice cover. Polar regions are described as the most climatically sensitive areas of the globe, with an enhanced warming occurring during the cold seasons. The asymmetry between the two poles is related to the thermal inertia and the coupled ocean-atmosphere processes involved. While at the northern high latitudes the amplified warming signal is associated with a positive snow-and sea ice-albedo feedback, for southern high latitudes the warming is related to a combination of ozone depletion and changes in the wind pattern. The numerical experiments conducted here demonstrated very clear evidence of seasonality in the polar amplification response as well as linkage with sea ice changes. In winter, for the northern high latitudes (southern high latitudes), the range of simulated polar warming varied from 10 to 39K (-0.5 to 13 K). In summer, for northern high latitudes (southern high latitudes), the simulated warming varies from 0 to 23K (0.5 to 14 K). The vertical profiles of air temperature indicated stronger warming at the surface, particularly for the Arctic region, suggesting that the albedo-sea ice feedback overlaps with the warming caused by meridional transport of heat in the atmosphere. The latitude of the maximum warming was inversely correlated with changes in the sea ice within the model's control run. Three climate models were identified as having high polar amplification for the Arctic cold season (DJF): IPSL-CM6A-LR (CMIP6), HadGEM2-ES (CMIP5) and CanESM5 (CMIP6). For the Antarctic, in the cold season (JJA), the climate models identified as having high polar amplification were IPSLCM6A-LR (CMIP6), CanESM5(CMIP6) and FGOALS-s2 (CMIP5). The large decrease in sea ice concentration is more evident in models with great polar amplification and for the same range of latitude (75-90 degrees N). Also, we found, for models with enhanced warming, expressive changes in the sea ice annual amplitude with outstanding ice-free conditions from May to December (EC-Earth3-Veg) and June to December (HadGEM2-ES). We suggest that the large bias found among models can be related to the differences in each model to represent the feedback process and also as a consequence of each distinct sea ice initial condition. The polar amplification phenomenon has been observed previously and is expected to become stronger in the coming decades. The consequences for the atmospheric and ocean circulation are still subject to intense debate in the scientific community.</t>
  </si>
  <si>
    <t>[Casagrande, Fernanda; Nobre, Paulo; Marquez, Andre Lanfer] Natl Inst Space Res INPE, Earth Syst Numer Modeling Div, BR-12630000 Cachoeira Paulista, SP, Brazil; [de Souza, Ronald Buss] Natl Inst Space Res INPE, Earth Syst Numer Modeling Div, BR-12227010 Jose Dos Campos, Brazil</t>
  </si>
  <si>
    <t>Casagrande, F (corresponding author), Natl Inst Space Res INPE, Earth Syst Numer Modeling Div, BR-12630000 Cachoeira Paulista, SP, Brazil.</t>
  </si>
  <si>
    <t>fernanda.casagrande@inpe.br</t>
  </si>
  <si>
    <t>Souza, Ronald Buss de/R-5867-2016; de Souza, Ronald Buss/AAP-7586-2021</t>
  </si>
  <si>
    <t>Souza, Ronald Buss de/0000-0003-3346-3370; de Souza, Ronald Buss/0000-0003-3346-3370; Casagrande, Fernanda/0000-0002-1679-6096</t>
  </si>
  <si>
    <t>CNPq; CAPES; FAPERGS; National Institute for Science and Technology of the Cryosphere (CNPq) [704222/2009]; National Institute for Science and Technology of the Cryosphere (FAPERGS) [17/2551-00005180]; Use and Development of the BESM Model for Studying the Ocean-Atmosphere-Cryosphere in high and medium latitudes (CAPES) [88887-145668/2017-00]; Development of the Brazilian Earth System Model - BESM; Generation of Climate Change Scenarios, Aiming at Impact Studies on Water Resources (CAPES) [88887.123929/2015-00]</t>
  </si>
  <si>
    <t>CNPq(Conselho Nacional de Desenvolvimento Cientifico e Tecnologico (CNPQ)); CAPES(Coordenacao de Aperfeicoamento de Pessoal de Nivel Superior (CAPES)); FAPERGS(Fundacao de Amparo a Ciencia e Tecnologia do Estado do Rio Grande do Sul (FAPERGS)); National Institute for Science and Technology of the Cryosphere (CNPq)(Conselho Nacional de Desenvolvimento Cientifico e Tecnologico (CNPQ)Fundacao de Apoio a Pesquisa do Distrito Federal (FAPDF)); National Institute for Science and Technology of the Cryosphere (FAPERGS); Use and Development of the BESM Model for Studying the Ocean-Atmosphere-Cryosphere in high and medium latitudes (CAPES); Development of the Brazilian Earth System Model - BESM; Generation of Climate Change Scenarios, Aiming at Impact Studies on Water Resources (CAPES)</t>
  </si>
  <si>
    <t>This research has been supported by the Brazilian agencies CNPq, CAPES and FAPERGS to the following projects: (i) National Institute for Science and Technology of the Cryosphere (CNPq 704222/2009 + FAPERGS 17/2551-00005180); (ii) Use and Development of the BESM Model for Studying the Ocean-Atmosphere-Cryosphere in high and medium latitudes (CAPES 88887-145668/2017-00); (iii) Development of the Brazilian Earth System Model - BESM and Generation of Climate Change Scenarios, Aiming at Impact Studies on Water Resources (CAPES 88887.123929/2015-00).</t>
  </si>
  <si>
    <t>10.5194/angeo-38-1123-2020</t>
  </si>
  <si>
    <t>OO5MG</t>
  </si>
  <si>
    <t>WOS:000587421800001</t>
  </si>
  <si>
    <t>Seo, S; Richter, A; Blechschmidt, AM; Bougoudis, I; Burrows, JP</t>
  </si>
  <si>
    <t>Seo, Sora; Richter, Andreas; Blechschmidt, Anne-Marlene; Bougoudis, Ilias; Burrows, John Philip</t>
  </si>
  <si>
    <t>Spatial distribution of enhanced BrO and its relation to meteorological parameters in Arctic and Antarctic sea ice regions</t>
  </si>
  <si>
    <t>ABSORPTION CROSS-SECTIONS; BROMINE EXPLOSION EVENT; TROPOSPHERIC BRO; OZONE DEPLETION; TEMPERATURE-DEPENDENCE; BOUNDARY-LAYER; SALT AEROSOL; MONOXIDE; SNOW; CHEMISTRY</t>
  </si>
  <si>
    <t>Satellite observations have shown large areas of elevated bromine monoxide (BrO) covering several thousand square kilometres over the Arctic and Antarctic sea ice regions in polar spring. These enhancements of total BrO columns result from increases in stratospheric or tropospheric bromine amounts or both, and their occurrence may be related to local meteorological conditions. In this study, the spatial distribution of the occurrence of total BrO column enhancements and the associated changes in meteorological parameters are investigated in both the Arctic and Antarctic regions using 10 years of Global Ozone Monitoring Experiment-2 (GOME-2) measurements and meteorological model data. Statistical analysis of the data presents clear differences in the meteorological conditions between the 10-year mean and episodes of enhanced total BrO columns in both polar sea ice regions. These differences show pronounced spatial patterns. In general, atmospheric low pressure, cold surface air temperature, high surface-level wind speed, and low tropopause heights were found during periods of enhanced total BrO columns. In addition, spatial patterns of prevailing wind directions related to the BrO enhancements are identified in both the Arctic and Antarctic sea ice regions. The relevance of the different meteorological parameters on the total BrO column is evaluated based on a Spearman rank correlation analysis, finding that tropopause height and surface air temperature have the largest correlations with the total BrO vertical column density. Our results demonstrate that specific meteorological parameters can have a major impact on the BrO enhancement in some areas, but in general, multiple meteorological parameters interact with each other in their influence on BrO columns.</t>
  </si>
  <si>
    <t>[Seo, Sora; Richter, Andreas; Blechschmidt, Anne-Marlene; Bougoudis, Ilias; Burrows, John Philip] Univ Bremen, Inst Environm Phys, Bremen, Germany</t>
  </si>
  <si>
    <t>University of Bremen</t>
  </si>
  <si>
    <t>Seo, S (corresponding author), Univ Bremen, Inst Environm Phys, Bremen, Germany.</t>
  </si>
  <si>
    <t>sora.seo@iup.physik.uni-bremen.de</t>
  </si>
  <si>
    <t>amplification, ³ - Arctic/AAU-6640-2020; Burrows, John Philip/AAF-8468-2019; Richter, Andreas/C-4971-2008</t>
  </si>
  <si>
    <t>Burrows, John Philip/0000-0002-6821-5580; Richter, Andreas/0000-0003-3339-212X; Seo, Sora/0000-0002-1889-4802; Bougoudis, Ilias/0000-0002-1601-5624</t>
  </si>
  <si>
    <t>Deutsche Forschungsgemeinschaft (DFG, German Research Foundation) [268020496 -TRR 172]</t>
  </si>
  <si>
    <t>Deutsche Forschungsgemeinschaft (DFG, German Research Foundation)(German Research Foundation (DFG))</t>
  </si>
  <si>
    <t>We gratefully acknowledge the funding by the Deutsche Forschungsgemeinschaft (DFG, German Research Foundation) -project no. 268020496 -TRR 172, within the Transregional Collaborative Research Center ArctiC Amplification: Climate Relevant Atmospheric and SurfaCe Processes, and Feedback Mechanisms (AC)3 in subproject C03. GOME-2 Lv1 data were provided by EUMETSAT. ERA-Interim meteorological data were provided by ECMWF. We thank the sea ice remote sensing group of Institute of Environmental Physics, University of Bremen, for providing sea ice concentration data retrieved from AMSR-E and AMSR2 (https://seaice.uni-bremen.de/start/, last access: 29 October 2019).</t>
  </si>
  <si>
    <t>10.5194/acp-20-12285-2020</t>
  </si>
  <si>
    <t>OI1FB</t>
  </si>
  <si>
    <t>WOS:000583032000001</t>
  </si>
  <si>
    <t>Contardo, J; Grimm-Seyfarth, A; Cattan, PE; Schüttler, E</t>
  </si>
  <si>
    <t>Contardo, Juan; Grimm-Seyfarth, Annegret; Cattan, Pedro E.; Schuttler, Elke</t>
  </si>
  <si>
    <t>Environmental factors regulate occupancy of free-ranging dogs on a sub-Antarctic island, Chile</t>
  </si>
  <si>
    <t>BIOLOGICAL INVASIONS</t>
  </si>
  <si>
    <t>Biological invasion; Camera-trap; Canis familiaris; Invasive species; Subsidized predator</t>
  </si>
  <si>
    <t>ROAMING DOMESTIC DOGS; ATLANTIC FOREST; LANDSCAPE-LEVEL; PROTECTED AREAS; NATIONAL-PARK; SOUTHERN END; HOME-RANGE; WILDLIFE; COMPETITION; CATS</t>
  </si>
  <si>
    <t>Domestic dogs (Canis familiaris) are the most common carnivore species in natural ecosystems worldwide. They are of considerable concern for wildlife conservation, particularly in the absence of predators. However, we are only beginning to understand the ecology of free-ranging dogs, and even less is known in sub-Antarctic environments. Here, we used camera-trap data to assess space use of free-ranging dogs on a sub-Antarctic island in the Cape Horn Biosphere Reserve, southern Chile, which lacks native terrestrial carnivores. We predicted free-ranging dogs to be associated with human settlements, trails, and roads and to prefer open habitats over forest for the ease of movement. We obtained 67 independent dog records of 62 individuals over 3909 camera-trap days from 200 sites. Single-species single-season occupancy models revealed that both rural/village dogs, as well as putative feral dogs chose peatbogs over forest, but their preference for settlements and roads was less pronounced and inconsistent among dog categories. Our findings revealed evidence for a reproducing feral dog population on Navarino Island that may be sustained by recruits from rural/village dogs, as identical sites were visited by both dog categories. However, due to a higher occupancy with proximity to human dwellings, the dependence of feral dogs on human resources remain uncontested. In light of the penetration of dogs into pristine sub-Antarctic habitats and their possible impacts on native vulnerable prey, we recommend the implementation of responsible pet-ownership regulations, as well as ethically-approved control actions for feral dogs to protect one of the planet's last wilderness areas.</t>
  </si>
  <si>
    <t>[Contardo, Juan] Univ Chile, Fac Forestry &amp; Nat Conservat, La Pintana 11315, Santiago De Chi, Chile; [Contardo, Juan; Schuttler, Elke] Univ Magallanes, Subantarctic Biocultural Conservat Program, Teniente Munoz 166, Puerto Williams, Chile; [Grimm-Seyfarth, Annegret] UFZ Helmholtz Ctr Environm Res, Dept Conservat Biol, Permoserstr 15, D-04318 Leipzig, Germany; [Cattan, Pedro E.] Univ Chile, Fac Vet Sci, La Pintana 11735, Santiago De Chi, Chile; [Schuttler, Elke] Inst Ecol &amp; Biodivers, Field Stn, Omora Pk,Teniente Munoz 166, Puerto Williams, Chile</t>
  </si>
  <si>
    <t>Universidad de Chile; Universidad de Magallanes; Helmholtz Association; Helmholtz Center for Environmental Research (UFZ); Universidad de Chile</t>
  </si>
  <si>
    <t>Contardo, J (corresponding author), Univ Chile, Fac Forestry &amp; Nat Conservat, La Pintana 11315, Santiago De Chi, Chile.</t>
  </si>
  <si>
    <t>juan.contardo@ug.uchile.cl</t>
  </si>
  <si>
    <t>CATTAN, PEDRO E/A-2780-2008; Grimm-Seyfarth, Annegret/I-9243-2019</t>
  </si>
  <si>
    <t>Grimm-Seyfarth, Annegret/0000-0003-0577-7508; Schuttler, Elke/0000-0001-9143-6237; Contardo, Juan/0000-0003-2748-8440</t>
  </si>
  <si>
    <t>Chilean National Commission for Scientific and Technological Research (PAI-CONICYT) [79140024]</t>
  </si>
  <si>
    <t>Chilean National Commission for Scientific and Technological Research (PAI-CONICYT)</t>
  </si>
  <si>
    <t>We would like to thank Lorena Saavedra for her kind help during the geoprocessing analysis and revision of dog photos. Thanks to Ramiro Crego for his valuable advice in all project phases. We would also like to thank Amy Wynia for checking the English of this manuscript. We are grateful to landowners and the Chilean Navy who allowed us to work on their lands. Camera-traps were kindly loaned from Jaime Jimenez (University of North Texas, USA) and Klaus Henle (Helmholtz Centre for Environmental Research-UFZ, Germany). Financial support was provided by the Chilean National Commission for Scientific and Technological Research (PAI-CONICYT, Call 2014, No. 79140024).</t>
  </si>
  <si>
    <t>1387-3547</t>
  </si>
  <si>
    <t>1573-1464</t>
  </si>
  <si>
    <t>BIOL INVASIONS</t>
  </si>
  <si>
    <t>Biol. Invasions</t>
  </si>
  <si>
    <t>10.1007/s10530-020-02394-3</t>
  </si>
  <si>
    <t>QK8FU</t>
  </si>
  <si>
    <t>WOS:000584996200001</t>
  </si>
  <si>
    <t>Marchetti, R; Fabregat, FN; Pallach, M; Gully, D; Giraud, E; Molinaro, A; Duda, KA; Silipo, A</t>
  </si>
  <si>
    <t>Marchetti, Roberta; Fabregat, Ferran Nieto; Pallach, Mateusz; Gully, Djamel; Giraud, Eric; Molinaro, Antonio; Duda, Katarzyna A.; Silipo, Alba</t>
  </si>
  <si>
    <t>The Peculiar Structure of Acetobacter pasteurianus CIP103108 LPS Core Oligosaccharide</t>
  </si>
  <si>
    <t>CHEMBIOCHEM</t>
  </si>
  <si>
    <t>acetic acid bacteria; Acetobacter pasteurianus; core oligosaccharide; lipopolysaccharide; NMR spectroscopy</t>
  </si>
  <si>
    <t>INFLAMMATORY ACTIVITY; INNATE IMMUNITY; LIPOPOLYSACCHARIDE; LIPOOLIGOSACCHARIDE</t>
  </si>
  <si>
    <t>Acetobacter pasteurianus, a member of the Alphaproteobacteria, is an acetic acid-producing bacterium present on sugar-rich substrates such as such as fruits, flowers and vegetables and traditionally used in the production of fermented food. The preferred living habitat associated with acid conditions makes the structure of the bacterial cell wall interesting to study, due to expected uncommon features. We have used a combination of chemical, analytical and NMR spectroscopy approaches to define the complete structure of the core oligosaccharide from A. pasteurianus CIP103108 LPS. Interestingly, the core oligosaccharide displays a high concentration of negatively charged groups, structural features that might contribute to reinforcing the bacterial membrane.</t>
  </si>
  <si>
    <t>[Marchetti, Roberta; Fabregat, Ferran Nieto; Pallach, Mateusz; Molinaro, Antonio; Silipo, Alba] Univ Naples Federico II, Dept Chem Sci, Complesso Univ Monte St Angelo, Via Cintia 4, I-80126 Naples, Italy; [Gully, Djamel; Giraud, Eric] IRD, Lab Symbioses Trop &amp; Mediterraneennes LSTM, UMR IRD SupAgro INRA UM2 CIRAD, TA A82 J, Campus Baillarguet, F-34398 Montpellier 5, France; [Duda, Katarzyna A.] German Ctr Lung Res, Airway Res Ctr North ARCN, Leibniz Lung Ctr, Jr Grp Allergobiochem Res Ctr Borstel, D-23845 Borstel, Germany; [Duda, Katarzyna A.] German Ctr Lung Res, Airway Res Ctr North ARCN, D-23845 Borstel, Germany; [Pallach, Mateusz] Stockholm Univ, Dept Organ Chem, Svante Arrhenius Vag 16C, S-10691 Stockholm, Sweden</t>
  </si>
  <si>
    <t>University of Naples Federico II; INRAE; Institut de Recherche pour le Developpement (IRD); CIRAD; Stockholm University</t>
  </si>
  <si>
    <t>Silipo, A (corresponding author), Univ Naples Federico II, Dept Chem Sci, Complesso Univ Monte St Angelo, Via Cintia 4, I-80126 Naples, Italy.</t>
  </si>
  <si>
    <t>silipo@unina.it</t>
  </si>
  <si>
    <t>Marchetti, Roberta/G-2902-2018; Duda, Katarzyna A/M-5274-2018; Giraud, Eric/GLS-1036-2022; Silipo, Alba/L-5929-2014</t>
  </si>
  <si>
    <t>silipo, alba/0000-0002-5394-6532; Giraud, Eric/0000-0002-4190-1732; NIETO-FABREGAT, FERRAN/0000-0001-9847-3030</t>
  </si>
  <si>
    <t>National Antarctic Research Program [PNRA16_00089]; H2020 Marie Skodowska-Curie ITN 2018 SweetCrossTalk grant [814102]; Marie Curie Actions (MSCA) [814102] Funding Source: Marie Curie Actions (MSCA)</t>
  </si>
  <si>
    <t>National Antarctic Research Program; H2020 Marie Skodowska-Curie ITN 2018 SweetCrossTalk grant; Marie Curie Actions (MSCA)(Marie Curie Actions)</t>
  </si>
  <si>
    <t>AS acknowledges National Antarctic Research Program, PNRA16_00089 (Linea A1), 2017-2020. A.M. and F.N.F. acknowledge H2020 Marie Skodowska-Curie ITN 2018 SweetCrossTalk grant 814102.</t>
  </si>
  <si>
    <t>WILEY-V C H VERLAG GMBH</t>
  </si>
  <si>
    <t>WEINHEIM</t>
  </si>
  <si>
    <t>POSTFACH 101161, 69451 WEINHEIM, GERMANY</t>
  </si>
  <si>
    <t>1439-4227</t>
  </si>
  <si>
    <t>1439-7633</t>
  </si>
  <si>
    <t>ChemBioChem</t>
  </si>
  <si>
    <t>JAN 5</t>
  </si>
  <si>
    <t>10.1002/cbic.202000597</t>
  </si>
  <si>
    <t>Biochemistry &amp; Molecular Biology; Chemistry, Medicinal</t>
  </si>
  <si>
    <t>Biochemistry &amp; Molecular Biology; Pharmacology &amp; Pharmacy</t>
  </si>
  <si>
    <t>PO7MU</t>
  </si>
  <si>
    <t>WOS:000584763300001</t>
  </si>
  <si>
    <t>Morozov, EG; Frey, DI; Tarakanov, RY</t>
  </si>
  <si>
    <t>Morozov, Eugene G.; Frey, Dmitry I.; Tarakanov, Roman Y.</t>
  </si>
  <si>
    <t>Flow of Antarctic Bottom water from the Vema Channel</t>
  </si>
  <si>
    <t>GEOSCIENCE LETTERS</t>
  </si>
  <si>
    <t>Vema channel; Abyssal currents; Antarctic bottom water; CTD; LADCP profiles; Bottom layer</t>
  </si>
  <si>
    <t>BOUNDARY</t>
  </si>
  <si>
    <t>We analyze measurements of bottom currents and thermohaline properties of water north of the Vema Channel with the goal to find pathway continuations of Antarctic Bottom Water flow from the Vema Channel into the Brazil Basin. The analysis is based on CTD/LADCP casts north of the Vema Channel. The flow in the deep Vema Channel consists of two branches. The deepest current flows along the bottom in the center of the channel and the other branch flows above the western wall of the channel. We found two smaller channels of the northern continuation of the deeper bottom flow. These flows become weak and almost disappear at a latitude of 25 degrees 30 ' S. The upper current flows at a depth of 4100-4200 m along the continental slope. We traced this current up to 24 degrees S over a distance exceeding 250 km. This branch transports bottom water that eventually fills the deep basins of the North Atlantic.</t>
  </si>
  <si>
    <t>[Morozov, Eugene G.; Frey, Dmitry I.; Tarakanov, Roman Y.] Russian Acad Sci, Shirshov Inst Oceanol, Nakhimovsky 36, Moscow 117997, Russia</t>
  </si>
  <si>
    <t>Morozov, EG (corresponding author), Russian Acad Sci, Shirshov Inst Oceanol, Nakhimovsky 36, Moscow 117997, Russia.</t>
  </si>
  <si>
    <t>egmorozov@mail.ru</t>
  </si>
  <si>
    <t>Tarakanov, Roman/R-3325-2016; Frey, Dmitry/AAD-3366-2021; Morozov, Eugene G/L-3023-2018</t>
  </si>
  <si>
    <t>Tarakanov, Roman/0000-0002-8711-1859; Frey, Dmitry/0000-0001-8141-9513; Morozov, Eugene/0000-0002-0251-3454</t>
  </si>
  <si>
    <t>Russian Foundation for Basic Research [20-08-00246]; [0149-2019-0004]</t>
  </si>
  <si>
    <t>Russian Foundation for Basic Research(Russian Foundation for Basic Research (RFBR)Spanish Government);</t>
  </si>
  <si>
    <t>This research was supported by the state assignment of Russia No. 0149-2019-0004 and Russian Foundation for Basic Research (Grant 20-08-00246).</t>
  </si>
  <si>
    <t>2196-4092</t>
  </si>
  <si>
    <t>GEOSCI LETT</t>
  </si>
  <si>
    <t>Geosci. Lett.</t>
  </si>
  <si>
    <t>10.1186/s40562-020-00166-4</t>
  </si>
  <si>
    <t>Geosciences, Multidisciplinary; Meteorology &amp; Atmospheric Sciences</t>
  </si>
  <si>
    <t>Geology; Meteorology &amp; Atmospheric Sciences</t>
  </si>
  <si>
    <t>OH9QK</t>
  </si>
  <si>
    <t>WOS:000582923700001</t>
  </si>
  <si>
    <t>Shaw, JT; Allen, G; Pitt, J; Shah, A; Wilde, S; Stamford, L; Fan, ZY; Ricketts, H; Williams, PI; Bateson, P; Barker, P; Purvis, R; Lowry, D; Fisher, R; France, J; Coleman, M; Lewis, AC; Risk, DA; Ward, RS</t>
  </si>
  <si>
    <t>Shaw, Jacob T.; Allen, Grant; Pitt, Joseph; Shah, Adil; Wilde, Shona; Stamford, Laurence; Fan, Zhaoyang; Ricketts, Hugo; Williams, Paul I.; Bateson, Prudence; Barker, Patrick; Purvis, Ruth; Lowry, David; Fisher, Rebecca; France, James; Coleman, Max; Lewis, Alastair C.; Risk, David A.; Ward, Robert S.</t>
  </si>
  <si>
    <t>Methane flux from flowback operations at a shale gas site</t>
  </si>
  <si>
    <t>JOURNAL OF THE AIR &amp; WASTE MANAGEMENT ASSOCIATION</t>
  </si>
  <si>
    <t>ATMOSPHERIC METHANE; ENVIRONMENTAL IMPACTS; FOSSIL-FUEL; EMISSIONS; OIL; FOOTPRINT; INCREASE; PADS</t>
  </si>
  <si>
    <t>We report measurements of methane (CH4) mixing ratios and emission fluxes derived from sampling at a monitoring station at an exploratory shale gas extraction facility in Lancashire, England. Elevated ambient CH4 mixing ratios were recorded in January 2019 during a period of cold-venting associated with a nitrogen lift process at the facility. These processes are used to clear the well to stimulate flow of natural gas from the target shale. Estimates of CH4 flux during the emission event were made using three independent modeling approaches: Gaussian plume dispersion (following both a simple Gaussian plume inversion and the US EPA OTM 33-A method), and a Lagrangian stochastic transport model (WindTrax). The three methods yielded an estimated peak CH4 flux during January 2019 of approximately 70 g s(-1). The total mass of CH4 emitted during the six-day venting period was calculated to be 2.9, 4.2 +/- 1.4(1 sigma) and 7.1 +/- 2.1(1 sigma) tonnes CH4 using the simple Gaussian plume model, WindTrax, and OTM-33A methods, respectively. Whilst the flux approaches all agreed within 1 sigma uncertainty, an estimate of 4.2 (+/- 1.4) tonnes CH4 represents the most confident assessment due to the explicit modeling of advection and meteorological stability permitted using the WindTrax model. This mass is consistent with fluxes calculated by the Environment Agency (in the range 2.7 to 6.8 tonnes CH4), using emission data provided by the shale site operator to the regulator. This study provides the first CH4 emission estimate for a nitrogen lift process and the first-reported flux monitoring of a UK shale gas site, and contributes to the evaluation of the environmental impacts of shale gas operations worldwide. This study also provides forward guidance on future monitoring applications and flux calculation in transient emission events. Implications: This manuscript discusses atmospheric measurements near to the UK's first hydraulic fracturing facility, which has very high UK public, media, and policy interest. The focus of this manuscript is on a single week of data in which a large venting event at the shale gas site saw emissions of similar to 4 tonnes of methane to atmosphere, in breach of environmental permits. These results are likely to beresults are likely to be reported by the media and may influence future policy decisions concerning the UK hydraulic fracturing industry.</t>
  </si>
  <si>
    <t>[Shaw, Jacob T.; Allen, Grant; Pitt, Joseph; Shah, Adil; Fan, Zhaoyang; Ricketts, Hugo; Williams, Paul I.; Bateson, Prudence; Barker, Patrick] Univ Manchester, Dept Earth &amp; Environm Sci, Ctr Atmospher Sci, Manchester M13 9PL, Lancs, England; [Wilde, Shona] Univ York, Dept Chem, Wolfson Atmospher Chem Labs, Heslington, England; [Stamford, Laurence] Univ Manchester, Dept Chem Engn &amp; Analyt Sci, Manchester, Lancs, England; [Ricketts, Hugo; Williams, Paul I.] Univ Manchester, Natl Ctr Atmospher Sci, Manchester, Lancs, England; [Purvis, Ruth; Lewis, Alastair C.] Univ York, Natl Ctr Atmospher Sci, Heslington, England; [Lowry, David; Fisher, Rebecca; France, James; Coleman, Max] Royal Holloway Univ London, Sch Earth Sci, Egham, Surrey, England; [France, James] NERC, British Antarctic Survey, Cambridge, England; [Risk, David A.] St Francis Xavier Univ, Dept Earth Sci, Antigonish, NS, Canada; [Ward, Robert S.] British Geol Survey, Ctr Environm Sci, Nottingham, England; [Pitt, Joseph] SUNY Stony Brook, Stony Brook, NY 11790 USA</t>
  </si>
  <si>
    <t>University of Manchester; University of York - UK; University of Manchester; UK Research &amp; Innovation (UKRI); Natural Environment Research Council (NERC); NERC National Centre for Atmospheric Science; University of Manchester; University of York - UK; University of London; Royal Holloway University London; UK Research &amp; Innovation (UKRI); Natural Environment Research Council (NERC); NERC British Antarctic Survey; Saint Francis Xavier University - Canada; UK Research &amp; Innovation (UKRI); Natural Environment Research Council (NERC); NERC British Geological Survey; State University of New York (SUNY) System; State University of New York (SUNY) Stony Brook</t>
  </si>
  <si>
    <t>Shaw, JT (corresponding author), Univ Manchester, Dept Earth &amp; Environm Sci, Ctr Atmospher Sci, Manchester M13 9PL, Lancs, England.</t>
  </si>
  <si>
    <t>jacob.shaw@manchester.ac.uk; ally.lewis@ncas.ac.uk</t>
  </si>
  <si>
    <t>France, James L/L-9719-2015; Pitt, Joseph/GWM-5007-2022; Fisher, Rebecca/AAA-5352-2022; Allen, Grant/A-7737-2013; Lowry, David/GXG-1235-2022; Lowry, David/JCE-0619-2023; Allen, Grant/AAF-7097-2021; Williams, Paul I/C-2663-2013; Ricketts, Hugo/D-4049-2013</t>
  </si>
  <si>
    <t>Pitt, Joseph/0000-0002-8660-5136; Allen, Grant/0000-0002-7070-3620; Allen, Grant/0000-0002-7070-3620; Williams, Paul I/0000-0002-8973-4718; Coleman, Max/0000-0002-5709-6141; LOWRY, DAVID/0000-0002-8535-0346; Fisher, Rebecca/0000-0002-9262-5467; Ricketts, Hugo/0000-0002-1708-2431; Shah, Adil/0000-0002-5692-3715; Stamford, Laurence/0000-0002-0973-7338; Shaw, Jacob/0000-0003-3558-3894; Wilde, Shona Elizabeth/0000-0002-0429-4347</t>
  </si>
  <si>
    <t>Department for Business, Energy and Industrial Strategy [GA/18F/017/NEE6617R]; Natural Environment Research Council [NE/R01809X/1]; NERC [bas0100032, NE/R017360/1, NE/R017026/1, NE/N015835/1, NE/P003737/1, NE/R017638/1, NE/N015584/1, NE/R017492/1, NE/R01809X/1, bgs06003] Funding Source: UKRI</t>
  </si>
  <si>
    <t>Department for Business, Energy and Industrial Strategy; Natural Environment Research Council(UK Research &amp; Innovation (UKRI)Natural Environment Research Council (NERC)); NERC(UK Research &amp; Innovation (UKRI)Natural Environment Research Council (NERC))</t>
  </si>
  <si>
    <t>This work was supported by the Department for Business, Energy and Industrial Strategy [GA/18F/017/NEE6617R]; Natural Environment Research Council [NE/R01809X/1].</t>
  </si>
  <si>
    <t>1096-2247</t>
  </si>
  <si>
    <t>2162-2906</t>
  </si>
  <si>
    <t>J AIR WASTE MANAGE</t>
  </si>
  <si>
    <t>J. Air Waste Manage. Assoc.</t>
  </si>
  <si>
    <t>10.1080/10962247.2020.1811800</t>
  </si>
  <si>
    <t>Engineering, Environmental; Environmental Sciences; Meteorology &amp; Atmospheric Sciences</t>
  </si>
  <si>
    <t>Engineering; Environmental Sciences &amp; Ecology; Meteorology &amp; Atmospheric Sciences</t>
  </si>
  <si>
    <t>PC2YR</t>
  </si>
  <si>
    <t>hybrid, Green Accepted</t>
  </si>
  <si>
    <t>WOS:000582930600001</t>
  </si>
  <si>
    <t>Strassburg, BBN; Iribarrem, A; Beyer, HL; Cordeiro, CL; Crouzeilles, R; Jakovac, CC; Junqueira, AB; Lacerda, E; Latawiec, AE; Balmford, A; Brooks, TM; Butchart, SHM; Chazdon, RL; Erb, KH; Brancalion, P; Buchanan, G; Cooper, D; Díaz, S; Donald, PF; Kapos, V; Leclère, D; Miles, L; Obersteiner, M; Plutzar, C; Scaramuzza, CAD; Scarano, FR; Visconti, P</t>
  </si>
  <si>
    <t>Strassburg, Bernardo B. N.; Iribarrem, Alvaro; Beyer, Hawthorne L.; Cordeiro, Carlos Leandro; Crouzeilles, Renato; Jakovac, Catarina C.; Braga Junqueira, Andre; Lacerda, Eduardo; Latawiec, Agnieszka E.; Balmford, Andrew; Brooks, Thomas M.; Butchart, Stuart H. M.; Chazdon, Robin L.; Erb, Karl-Heinz; Brancalion, Pedro; Buchanan, Graeme; Cooper, David; Diaz, Sandra; Donald, Paul F.; Kapos, Valerie; Leclere, David; Miles, Lera; Obersteiner, Michael; Plutzar, Christoph; Scaramuzza, Carlos Alberto de M.; Scarano, Fabio R.; Visconti, Piero</t>
  </si>
  <si>
    <t>Global priority areas for ecosystem restoration</t>
  </si>
  <si>
    <t>LAND-USE CHANGE; CARBON STOCKS; BIODIVERSITY; SOIL; BENEFITS; INTENSIFICATION; DEFORESTATION; MANAGEMENT; EXPANSION; EMISSIONS</t>
  </si>
  <si>
    <t>Extensive ecosystem restoration is increasingly seen as being central to conserving biodiversity(1) and stabilizing the climate of the Earth(2). Although ambitious national and global targets have been set, global priority areas that account for spatial variation in benefits and costs have yet to be identified. Here we develop and apply a multicriteria optimization approach that identifies priority areas for restoration across all terrestrial biomes, and estimates their benefits and costs. We find that restoring 15% of converted lands in priority areas could avoid 60% of expected extinctions while sequestering 299 gigatonnes of CO2-30% of the total CO2 increase in the atmosphere since the Industrial Revolution. The inclusion of several biomes is key to achieving multiple benefits. Cost effectiveness can increase up to 13-fold when spatial allocation is optimized using our multicriteria approach, which highlights the importance of spatial planning. Our results confirm the vast potential contributions of restoration to addressing global challenges, while underscoring the necessity of pursuing these goals synergistically.</t>
  </si>
  <si>
    <t>[Strassburg, Bernardo B. N.; Iribarrem, Alvaro; Cordeiro, Carlos Leandro; Crouzeilles, Renato; Jakovac, Catarina C.; Braga Junqueira, Andre; Lacerda, Eduardo; Latawiec, Agnieszka E.] Pontificia Univ Catolica Rio de Janeiro, Dept Geog &amp; Environm, Rio Conservat &amp; Sustainabil Sci Ctr, Rio de Janeiro, Brazil; [Strassburg, Bernardo B. N.; Iribarrem, Alvaro; Cordeiro, Carlos Leandro; Crouzeilles, Renato; Jakovac, Catarina C.; Braga Junqueira, Andre; Lacerda, Eduardo; Latawiec, Agnieszka E.; Chazdon, Robin L.; Scaramuzza, Carlos Alberto de M.] Int Inst Sustainabil, Rio De Janeiro, Brazil; [Strassburg, Bernardo B. N.; Crouzeilles, Renato; Scarano, Fabio R.] Univ Fed Rio de Janeiro, Programa Pos Grad Ecol, Rio De Janeiro, Brazil; [Strassburg, Bernardo B. N.] Bot Garden Res Inst Rio de Janeiro, Rio De Janeiro, Brazil; [Beyer, Hawthorne L.] Univ Queensland, Sch Biol Sci, St Lucia, Qld, Australia; [Jakovac, Catarina C.] Wageningen Univ, Forest Ecol &amp; Management Grp, Wageningen, Netherlands; [Braga Junqueira, Andre] Univ Autonoma Barcelona, Inst Ciencia &amp; Tecnol Ambientals, Barcelona, Spain; [Lacerda, Eduardo] Fluminense Fed Univ, Dept Geog, Niteroi, RJ, Brazil; [Latawiec, Agnieszka E.] Agr Univ Krakow, Fac Prod &amp; Power Engn, Dept Prod Engn Logist &amp; Appl Comp Sci, Krakow, Poland; [Latawiec, Agnieszka E.] Univ East Anglia, Sch Environm Sci, Norwich, Norfolk, England; [Balmford, Andrew; Butchart, Stuart H. M.; Donald, Paul F.] Univ Cambridge, Dept Zool, Cambridge, England; [Brooks, Thomas M.] Int Union Conservat Nat IUCN, Gland, Switzerland; [Brooks, Thomas M.] Univ Philippines, World Agroforestry Ctr ICRAF, Los Banos, Philippines; [Brooks, Thomas M.] Univ Tasmania, Inst Marine &amp; Antarctic Studies, Hobart, Tas, Australia; [Butchart, Stuart H. M.; Donald, Paul F.] BirdLife Int, Cambridge, England; [Chazdon, Robin L.] Univ Connecticut, Dept Ecol &amp; Evolutionary Biol, Storrs, CT USA; [Chazdon, Robin L.] World Resources Inst, Global Restorat Initiat, Washington, DC 20006 USA; [Chazdon, Robin L.] Univ Sunshine Coast, Trop Forests &amp; People Res Ctr, Sunshine Coast, Qld, Australia; [Erb, Karl-Heinz; Plutzar, Christoph] Univ Nat Resources &amp; Life Sci Vienna, Inst Social Ecol, Vienna, Austria; [Brancalion, Pedro] Univ Sao Paulo, Luiz de Queiroz Coll Agr, Dept Forest Sci, Piracicaba, Brazil; [Buchanan, Graeme; Donald, Paul F.] Royal Soc Protect Birds, RSPB Ctr Conservat Sci, Edinburgh, Midlothian, Scotland; [Cooper, David] Secretariat Convent Biol Divers SCBD, Montreal, PQ, Canada; [Diaz, Sandra] Consejo Nacl Invest Cient &amp; Tecn, Inst Multidisciplinario Biol Vegetal, Cordoba, Argentina; [Diaz, Sandra] Univ Nacl Cordoba, Cordoba, Argentina; [Kapos, Valerie; Miles, Lera] UN Environm World Conservat Monitoring Ctr, Cambridge, England; [Leclere, David; Obersteiner, Michael; Visconti, Piero] Int Inst Appl Syst Anal IIASA, Ecosyst Serv Management ESM Program, Laxenburg, Austria; [Obersteiner, Michael] Univ Oxford, Ctr Environm, Environm Change Inst, Oxford, England; [Plutzar, Christoph] Univ Vienna, Div Conservat Biol Vegetat Ecol &amp; Landscape Ecol, Vienna, Austria</t>
  </si>
  <si>
    <t>Pontificia Universidade Catolica do Rio de Janeiro; Universidade Federal do Rio de Janeiro; University of Queensland; Wageningen University &amp; Research; Autonomous University of Barcelona; Universidade Federal Fluminense; Agricultural University Krakow; University of East Anglia; University of Cambridge; University of the Philippines System; University of the Philippines Los Banos; University of the Philippines Open University; CGIAR; World Agroforestry (ICRAF); University of Tasmania; BirdLife International; University of Connecticut; University of the Sunshine Coast; BOKU University; Universidade de Sao Paulo; Royal Society for Protection of Birds; Consejo Nacional de Investigaciones Cientificas y Tecnicas (CONICET); National University of Cordoba; International Institute for Applied Systems Analysis (IIASA); University of Oxford; University of Vienna</t>
  </si>
  <si>
    <t>Strassburg, BBN (corresponding author), Pontificia Univ Catolica Rio de Janeiro, Dept Geog &amp; Environm, Rio Conservat &amp; Sustainabil Sci Ctr, Rio de Janeiro, Brazil.;Strassburg, BBN (corresponding author), Int Inst Sustainabil, Rio De Janeiro, Brazil.;Strassburg, BBN (corresponding author), Univ Fed Rio de Janeiro, Programa Pos Grad Ecol, Rio De Janeiro, Brazil.;Strassburg, BBN (corresponding author), Bot Garden Res Inst Rio de Janeiro, Rio De Janeiro, Brazil.</t>
  </si>
  <si>
    <t>b.strassburg@iis-rio.org</t>
  </si>
  <si>
    <t>Junqueira, Andre Braga/M-1142-2016; Brancalion, Pedro/D-6995-2012; Jakovac, Catarina/P-7599-2018; Visconti, Piero/A-3253-2009; Plutzar, Christoph/J-6055-2015; Díaz, Sandra/Q-9804-2018; Scarano, Fabio Rubio/F-6620-2012; Butchart, Stuart/AAJ-1852-2021; Obersteiner, Michael/ADG-8592-2022; Crouzeilles, Renato/J-6122-2014; Beyer, Hawthorne/F-8050-2013; Miles, Lera/C-7334-2009</t>
  </si>
  <si>
    <t>Junqueira, Andre Braga/0000-0003-3681-1705; Brancalion, Pedro/0000-0001-8245-4062; Jakovac, Catarina/0000-0002-8130-852X; Visconti, Piero/0000-0001-6823-2826; Díaz, Sandra/0000-0003-0012-4612; Scarano, Fabio Rubio/0000-0003-3355-9882; Butchart, Stuart/0000-0002-1140-4049; Obersteiner, Michael/0000-0001-6981-2769; Beyer, Hawthorne/0000-0002-5430-0784; Leclere, David/0000-0002-8658-1509; Miles, Lera/0000-0003-0377-5904</t>
  </si>
  <si>
    <t>[Serra-1709-19329]</t>
  </si>
  <si>
    <t>B.B.N.S. acknowledges that this work was supported by the Serrapilheira Institute (grant number Serra-1709-19329). We acknowledge inputs from the Secretariat of the Convention of Biological Diversity and experts from the Intergovernmental Science-Policy Platform on Biodiversity and Ecosystem Services. We are very grateful for the support provided by F. Gomes, J. Krieger, I. Leite, R. Capellao, G. Duarte, L. Martinez, L. Oliveira and D. Rocha in the preparation of this manuscript.</t>
  </si>
  <si>
    <t>10.1038/s41586-020-2784-9</t>
  </si>
  <si>
    <t>QF8ST</t>
  </si>
  <si>
    <t>WOS:000617160800001</t>
  </si>
  <si>
    <t>Tyler, NA; Ziolkowski, LA</t>
  </si>
  <si>
    <t>Tyler, Natalie A.; Ziolkowski, Lori A.</t>
  </si>
  <si>
    <t>Endolithic Microbial Carbon Cycling in East Antarctica</t>
  </si>
  <si>
    <t>ASTROBIOLOGY</t>
  </si>
  <si>
    <t>Extremophiles; Endoliths; Radiocarbon; Lipids</t>
  </si>
  <si>
    <t>MCMURDO DRY VALLEYS; CRYPTOENDOLITHIC MICROBIOTA; FOSSIL FORMATION; COMMUNITIES; MICROORGANISMS; BIOMASS; BACTERIAL; LIFE; TURNOVER; PATTERNS</t>
  </si>
  <si>
    <t>Antarctica is an ideal analogue for studying the limits of life. Despite severe temperature fluctuations and desiccating conditions, life is commonly found colonizing the structural cavities within Antarctic rocks (i.e., endoliths). Previous studies have speculated that the slow cycling of endoliths in the McMurdo Dry Valleys may be the limit of life on Earth. However, very little is known about the in situ activities of these communities-especially in regions outside the McMurdo Dry Valleys where endoliths are thought to be cycling carbon very slowly (e.g., hundreds of years). Here, we show that East Antarctic endoliths found on nunataks are cycling carbon quickly and are therefore quite active. Through radiocarbon (C-14) analyses of the viable cell membrane (as phospholipid-derived fatty acids [PLFA]), we found that the Delta C-14 composition of these microbial communities was on average predominantly modern, with a few samples signaling older carbon in the system. These findings indicate that endoliths inhabiting inland Antarctic nunataks are cycling carbon on decadal timescales, which support the notion that endoliths in Antarctica are cycling carbon quickly. This work provides new insights into the potential variability of Antarctic endolith activities and demonstrates that, despite the climatic extremes that exist farther inland on the most inhospitable continent on Earth, indigenous life can thrive.</t>
  </si>
  <si>
    <t>[Tyler, Natalie A.] Univ Alaska Fairbanks, Water &amp; Environm Res Ctr, Inst Northern Engn, 1764 Tanana Loop, Fairbanks, AK 99775 USA; [Ziolkowski, Lori A.] Univ South Carolina, Sch Earth Ocean &amp; Environm, Columbia, SC 29208 USA</t>
  </si>
  <si>
    <t>University of Alaska System; University of Alaska Fairbanks; University of South Carolina System; University of South Carolina Columbia</t>
  </si>
  <si>
    <t>Tyler, NA (corresponding author), Univ Alaska Fairbanks, Water &amp; Environm Res Ctr, Inst Northern Engn, 1764 Tanana Loop, Fairbanks, AK 99775 USA.</t>
  </si>
  <si>
    <t>ak.natyler@gmail.com</t>
  </si>
  <si>
    <t>Baillet Latour International Polar Foundation</t>
  </si>
  <si>
    <t>This work was supported by funding from the Baillet Latour International Polar Foundation awarded to L.A.Z.</t>
  </si>
  <si>
    <t>MARY ANN LIEBERT, INC</t>
  </si>
  <si>
    <t>NEW ROCHELLE</t>
  </si>
  <si>
    <t>140 HUGUENOT STREET, 3RD FL, NEW ROCHELLE, NY 10801 USA</t>
  </si>
  <si>
    <t>1531-1074</t>
  </si>
  <si>
    <t>1557-8070</t>
  </si>
  <si>
    <t>Astrobiology</t>
  </si>
  <si>
    <t>FEB 1</t>
  </si>
  <si>
    <t>10.1089/ast.2019.2109</t>
  </si>
  <si>
    <t>Astronomy &amp; Astrophysics; Biology; Geosciences, Multidisciplinary</t>
  </si>
  <si>
    <t>Astronomy &amp; Astrophysics; Life Sciences &amp; Biomedicine - Other Topics; Geology</t>
  </si>
  <si>
    <t>QC6JW</t>
  </si>
  <si>
    <t>WOS:000586839000001</t>
  </si>
  <si>
    <t>Chu, XZ; Nishimura, Y; Xu, ZH; Yu, ZB; Plane, JMC; Gardner, CS; Ogawa, Y</t>
  </si>
  <si>
    <t>Chu, Xinzhao; Nishimura, Yukitoshi; Xu, Zhonghua; Yu, Zhibin; Plane, John M. C.; Gardner, Chester S.; Ogawa, Yasunobu</t>
  </si>
  <si>
    <t>First Simultaneous Lidar Observations of Thermosphere-Ionosphere Fe and Na (TIFe and TINa) Layers at McMurdo (77.84°S, 166.67°E), Antarctica With Concurrent Measurements of Aurora Activity, Enhanced Ionization Layers, and Converging Electric Field</t>
  </si>
  <si>
    <t>GEOPHYSICAL RESEARCH LETTERS</t>
  </si>
  <si>
    <t>MIDLATITUDE INTERMEDIATE; DUST PARTICLES; COSMIC DUST; SPORADIC-E; SODIUM; IONS; RECOMBINATION; TEMPERATURE; MESOSPHERE; CHEMISTRY</t>
  </si>
  <si>
    <t>We report the first simultaneous, common-volume lidar observations of thermosphere-ionosphere Fe (TIFe) and Na (TINa) layers in Antarctica. We also report the observational discovery of nearly one-to-one correspondence between TIFe and aurora activity, enhanced ionization layers, and converging electric fields. Distinctive TIFe layers have a peak density of similar to 384 cm(-3) and the TIFe mixing ratio peaks around 123 km, similar to 5 times the mesospheric layer maximum. All evidence shows that Fe+ ion-neutralization is the major formation mechanism of TIFe layers. The TINa mixing ratio often exhibits a broad peak at TIFe altitudes, providing evidence for in situ production via Na+ neutralization. However, the tenuous TINa layers persist long beyond TIFe disappearance and reveal gravity wave perturbations, suggesting a dynamic background of neutral Na, but not Fe, above 110 km. The striking differences between distinct TIFe and diffuse TINa suggest differential transport between Fe and Na, possibly due to mass separation.</t>
  </si>
  <si>
    <t>[Chu, Xinzhao] Univ Colorado, Cooperat Inst Res Environm Sci, Boulder, CO 80309 USA; [Chu, Xinzhao] Univ Colorado, Dept Aerosp Engn Sci, Boulder, CO 80309 USA; [Nishimura, Yukitoshi] Boston Univ, Dept Elect &amp; Comp Engn, Boston, MA 02215 USA; [Nishimura, Yukitoshi] Boston Univ, Ctr Space Phys, Boston, MA 02215 USA; [Xu, Zhonghua] Virginia Polytech Inst &amp; State Univ, Bradley Dept Elect &amp; Comp Engn, Blacksburg, VA 24061 USA; [Yu, Zhibin] Harbin Inst Technol, Shenzhen, Peoples R China; [Plane, John M. C.] Univ Leeds, Sch Chem, Leeds, W Yorkshire, England; [Gardner, Chester S.] Univ Illinois, Dept Elect &amp; Comp Engn, 1406 W Green St, Urbana, IL 61801 USA; [Ogawa, Yasunobu] Natl Inst Polar Res, Tokyo, Japan</t>
  </si>
  <si>
    <t>University of Colorado System; University of Colorado Boulder; University of Colorado System; University of Colorado Boulder; Boston University; Boston University; Virginia Polytechnic Institute &amp; State University; Harbin Institute of Technology; University of Leeds; University of Illinois System; University of Illinois Urbana-Champaign; Research Organization of Information &amp; Systems (ROIS); National Institute of Polar Research (NIPR) - Japan</t>
  </si>
  <si>
    <t>Chu, XZ (corresponding author), Univ Colorado, Cooperat Inst Res Environm Sci, Boulder, CO 80309 USA.;Chu, XZ (corresponding author), Univ Colorado, Dept Aerosp Engn Sci, Boulder, CO 80309 USA.</t>
  </si>
  <si>
    <t>xinzhao.chu@colorado.edu</t>
  </si>
  <si>
    <t>Yu, Zhibin/GZA-3374-2022; CHU, XINZHAO/I-5670-2015; Plane, John/C-7444-2015</t>
  </si>
  <si>
    <t>Yu, Zhibin/0000-0001-5128-809X; CHU, XINZHAO/0000-0001-6147-1963; Plane, John/0000-0003-3648-6893</t>
  </si>
  <si>
    <t>National Science Foundation (NSF) [OPP-1246405, OPP-1443726]; NSF [ANT-1643700, AGS-1907698]; Japanese Antarctic Research Expedition program; National Aeronautics and Space Administration (NASA) [80NSSC18K0657]; Air Force Office of Scientific Research (AFOSR) [FA9559-16-1-0364]; European Research Council [291332-CODITA]</t>
  </si>
  <si>
    <t>National Science Foundation (NSF)(National Science Foundation (NSF)National Research Foundation of Korea); NSF(National Science Foundation (NSF)); Japanese Antarctic Research Expedition program; National Aeronautics and Space Administration (NASA)(National Aeronautics &amp; Space Administration (NASA)); Air Force Office of Scientific Research (AFOSR)(United States Department of DefenseAir Force Office of Scientific Research (AFOSR)); European Research Council(European Research Council (ERC))</t>
  </si>
  <si>
    <t>We acknowledge Dongming Chang for lidar data collection during Antarctic winter 2018. We appreciate the staff of United States Antarctic Program, McMurdo Station, Antarctica New Zealand, and Scott Base for their superb support. The McMurdo lidar projects were supported by the National Science Foundation (NSF) grants OPP-1246405 and OPP-1443726. The aurora imager is supported by NSF ANT-1643700 (PI: Dr. Gerrard) and Japanese Antarctic Research Expedition program (PI: Dr. Ebihara), and the data were obtained from AQVN made by NIPR/PEDSC: . We are grateful to the Australian Bureau of Meteorology, Space Weather Services for providing Scott Base ionosonde data. The work of YN was supported by National Aeronautics and Space Administration (NASA) 80NSSC18K0657, NSF AGS-1907698, and Air Force Office of Scientific Research (AFOSR) FA9559-16-1-0364. JMCP was supported by European Research Council (project 291332-CODITA).</t>
  </si>
  <si>
    <t>0094-8276</t>
  </si>
  <si>
    <t>1944-8007</t>
  </si>
  <si>
    <t>GEOPHYS RES LETT</t>
  </si>
  <si>
    <t>Geophys. Res. Lett.</t>
  </si>
  <si>
    <t>OCT 28</t>
  </si>
  <si>
    <t>e2020GL090181</t>
  </si>
  <si>
    <t>10.1029/2020GL090181</t>
  </si>
  <si>
    <t>ON1VF</t>
  </si>
  <si>
    <t>WOS:000586497000051</t>
  </si>
  <si>
    <t>Deng, QY; Li, F; Yan, JG; Xiao, ZY; Ye, M; Xiao, C; Barriot, JP</t>
  </si>
  <si>
    <t>Deng, Qingyun; Li, Fei; Yan, Jianguo; Xiao, Zhiyong; Ye, Mao; Xiao, Chi; Barriot, Jean-Pierre</t>
  </si>
  <si>
    <t>The Thermal Evolution of Mercury Over the Past ∼4.2 Ga as Revealed by Relaxation States of Mantle Plugs Beneath Impact Basins</t>
  </si>
  <si>
    <t>basins' relaxation states; basins' formation ages; thermal conduction; impact bombardment</t>
  </si>
  <si>
    <t>HISTORY; CONSTRAINTS; TOPOGRAPHY; CHRONOLOGY; SURFACE; MOON</t>
  </si>
  <si>
    <t>We investigated the relaxation states of 11 large impact basins on Mercury based on an updated crustal thickness map, finding that the pre-Tolstojan basins have comparable instead of varied relaxation states, suggesting that Moho temperature (Temp(Moho) ) did not decrease substantially from similar to 4.2 to 3.8 Ga. At the same time, mantle uplift beneath the Caloris basin is the least degraded, therefore implying a sharp decrease of Temp(Moho) similar to 3.8 Ga. These findings contrast with our thermal evolution models that predict a fast decrease of Temp(Moho) between similar to 4.2 and 3.8 Ga. Therefore, the discrepancies in the cooling rate suggest that the relatively elevated bombardment history between similar to 4.2 and 3.8 Ga might have input additional energy to Mercury and substantially decreased the cooling rate.</t>
  </si>
  <si>
    <t>[Deng, Qingyun; Li, Fei; Yan, Jianguo; Ye, Mao; Xiao, Chi; Barriot, Jean-Pierre] Wuhan Univ, State Key Lab Informat Engn Surveying Mapping &amp; R, Wuhan, Peoples R China; [Li, Fei] Wuhan Univ, Chinese Antarctic Ctr Surveying &amp; Mapping, Wuhan, Peoples R China; [Xiao, Zhiyong] Sun Yat Sen Univ, Sch Atmospher Sci, Planetary Environm &amp; Astrobiol Lab, Zhuhai, Peoples R China; [Xiao, Zhiyong] Macau Univ Sci &amp; Technol, Space Sci Inst, State Key Lab Lune &amp; Planetary Sci, Macau, Peoples R China; [Xiao, Zhiyong] Chinese Acad Sci, Ctr Excellence Comparat Planetol, Hefei, Peoples R China; [Barriot, Jean-Pierre] Geodesy Observ Tahiti, Tahiti, French Polynesi, France</t>
  </si>
  <si>
    <t>Wuhan University; Wuhan University; Sun Yat Sen University; Macau University of Science &amp; Technology; Chinese Academy of Sciences</t>
  </si>
  <si>
    <t>Li, F; Yan, JG (corresponding author), Wuhan Univ, State Key Lab Informat Engn Surveying Mapping &amp; R, Wuhan, Peoples R China.;Li, F (corresponding author), Wuhan Univ, Chinese Antarctic Ctr Surveying &amp; Mapping, Wuhan, Peoples R China.</t>
  </si>
  <si>
    <t>fli@whu.edu.cn; jgyan@whu.edu.cn</t>
  </si>
  <si>
    <t>Barriot, Jean-Pierre/AAD-6709-2021; Xiao, Zhiyong/P-2376-2016; Xiao, Chi/AFD-1063-2022</t>
  </si>
  <si>
    <t>Barriot, Jean-Pierre/0000-0002-2112-9685; Xiao, Zhiyong/0000-0002-5026-6937; Yan, Jianguo/0000-0003-2612-4776; Ye, Mao/0000-0002-7273-5984</t>
  </si>
  <si>
    <t>Strategic Priority Research Program of Chinese Academy of Sciences [XDB 41000000]; National Natural Science Foundation of China [U1831132, 41864010]; Fundamental Research Funds for the Central Universities [2042019kf0191]; Innovation Group of Natural Fund of Hubei Province [2018CFA087]; DAR grant in planetology from the French Space Agency (CNES)</t>
  </si>
  <si>
    <t>Strategic Priority Research Program of Chinese Academy of Sciences(Chinese Academy of Sciences); National Natural Science Foundation of China(National Natural Science Foundation of China (NSFC)); Fundamental Research Funds for the Central Universities(Fundamental Research Funds for the Central Universities); Innovation Group of Natural Fund of Hubei Province; DAR grant in planetology from the French Space Agency (CNES)</t>
  </si>
  <si>
    <t>We thank the MESSENGER science teams and their hard work in producing the gravity and topography data that are used in this study. Z. X. is supported by the Strategic Priority Research Programof Chinese Academy of Sciences (Grant No. XDB 41000000), F. L is supported by the National Natural Science Foundation of China (41864010), and J. Y. is supported by the National Natural Science Foundation of China (U1831132), the Fundamental Research Funds for the Central Universities (2042019kf0191) and Innovation Group of Natural Fund of Hubei Province (2018CFA087). J. P. B. is funded by a DAR grant in planetology from the French Space Agency (CNES). Several figures were created with the Generic Mapping Tools (GMT) software (Wessel &amp; Smith, 1991). We thank J. A. Balcerski and an anonymous reviewer for their careful reviews and constructive comments for improving this manuscript.</t>
  </si>
  <si>
    <t>e2020GL089051</t>
  </si>
  <si>
    <t>10.1029/2020GL089051</t>
  </si>
  <si>
    <t>WOS:000586497000055</t>
  </si>
  <si>
    <t>Haumann, FA; Moorman, R; Riser, SC; Smedsrud, LH; Maksym, T; Wong, APS; Wilson, EA; Drucker, R; Talley, LD; Johnson, KS; Key, RM; Sarmiento, JL</t>
  </si>
  <si>
    <t>Haumann, F. Alexander; Moorman, Ruth; Riser, Stephen C.; Smedsrud, Lars H.; Maksym, Ted; Wong, Annie P. S.; Wilson, Earle A.; Drucker, Robert; Talley, Lynne D.; Johnson, Kenneth S.; Key, Robert M.; Sarmiento, Jorge L.</t>
  </si>
  <si>
    <t>Supercooled Southern Ocean Waters</t>
  </si>
  <si>
    <t>Southern Ocean; supercooling; sea ice; ice shelf; observations; convection</t>
  </si>
  <si>
    <t>ANTARCTIC SEA-ICE; FRAZIL-ICE; PROFILING FLOATS; POLYNYA; STALACTITES; EVOLUTION; MOORINGS; GROWTH; SHELF</t>
  </si>
  <si>
    <t>In cold polar waters, temperatures sometimes drop below the freezing point, a process referred to as supercooling. However, observational challenges in polar regions limit our understanding of the spatial and temporal extent of this phenomenon. We here provide observational evidence that supercooled waters are much more widespread in the seasonally ice-covered Southern Ocean than previously reported. In 5.8% of all analyzed hydrographic profiles south of 55 degrees S, we find temperatures below the surface freezing point (potential supercooling), and half of these have temperatures below the local freezing point (in situ supercooling). Their occurrence doubles when neglecting measurement uncertainties. We attribute deep coastal-ocean supercooling to melting of Antarctic ice shelves and surface-induced supercooling in the seasonal sea-ice region to wintertime sea-ice formation. The latter supercooling type can extend down to the permanent pycnocline due to convective sinking plumes-an important mechanism for vertical tracer transport and water-mass structure in the polar ocean.</t>
  </si>
  <si>
    <t>[Haumann, F. Alexander; Moorman, Ruth; Key, Robert M.; Sarmiento, Jorge L.] Princeton Univ, Atmospher &amp; Ocean Sci Program, Princeton, NJ 08544 USA; [Haumann, F. Alexander] British Antarctic Survey, Cambridge, England; [Riser, Stephen C.; Wong, Annie P. S.; Drucker, Robert] Univ Washington, Sch Oceanog, Seattle, WA 98195 USA; [Smedsrud, Lars H.] Univ Bergen, Geophys Inst, Bergen, Norway; [Smedsrud, Lars H.] Bjerknes Ctr Climate Res, Bergen, Norway; [Smedsrud, Lars H.] Univ Ctr Svalbard, Longyearbyen, Svalbard; [Maksym, Ted] Woods Hole Oceanog Inst, Dept Appl Ocean Phys &amp; Engn, Woods Hole, MA 02543 USA; [Wilson, Earle A.] CALTECH, Environm Sci &amp; Engn, Pasadena, CA USA; [Talley, Lynne D.] Univ Calif San Diego, Scripps Inst Oceanog, La Jolla, CA 92093 USA; [Johnson, Kenneth S.] Monterey Bay Aquarium Res Inst, Moss Landing, CA USA</t>
  </si>
  <si>
    <t>Princeton University; National Oceanic Atmospheric Admin (NOAA) - USA; UK Research &amp; Innovation (UKRI); Natural Environment Research Council (NERC); NERC British Antarctic Survey; University of Washington; University of Washington Seattle; University of Bergen; Bjerknes Centre for Climate Research; Woods Hole Oceanographic Institution; California Institute of Technology; University of California System; University of California San Diego; Scripps Institution of Oceanography; Monterey Bay Aquarium Research Institute</t>
  </si>
  <si>
    <t>Haumann, FA (corresponding author), Princeton Univ, Atmospher &amp; Ocean Sci Program, Princeton, NJ 08544 USA.;Haumann, FA (corresponding author), British Antarctic Survey, Cambridge, England.</t>
  </si>
  <si>
    <t>alexander.haumann@gmail.com</t>
  </si>
  <si>
    <t>Haumann, Alexander/J-6679-2014; Johnson, Kenneth/F-9742-2011</t>
  </si>
  <si>
    <t>Haumann, Alexander/0000-0002-8218-977X; Johnson, Kenneth/0000-0001-5513-5584; Wilson, Earle/0000-0003-2329-5115; Talley, Lynne/0000-0003-1574-729X; Moorman, Ruth/0000-0001-5054-1559; Wong, Annie P. S./0000-0003-3305-1640; Smedsrud, Lars H./0000-0001-7391-0740</t>
  </si>
  <si>
    <t>Swiss National Science Foundation (SNSF; Schweizerischer Nationalfonds zur Forderung der wissenschaftlichen Forschung) [P2EZP2_175162, P400P2_186681]; National Science Foundation (NSF) Southern Ocean Carbon and Climate Observations and Modeling (SOCCOM) Project under the NSF [PLR-1425989]; U.S. Argo grant; NOAA [NA15OAR4320063]; Fulbright Foundation; Swiss National Science Foundation (SNF) [P2EZP2_175162, P400P2_186681] Funding Source: Swiss National Science Foundation (SNF); NERC [bas0100033] Funding Source: UKRI</t>
  </si>
  <si>
    <t>Swiss National Science Foundation (SNSF; Schweizerischer Nationalfonds zur Forderung der wissenschaftlichen Forschung); National Science Foundation (NSF) Southern Ocean Carbon and Climate Observations and Modeling (SOCCOM) Project under the NSF(National Science Foundation (NSF)); U.S. Argo grant; NOAA(National Oceanic Atmospheric Admin (NOAA) - USA); Fulbright Foundation; Swiss National Science Foundation (SNF)(Swiss National Science Foundation (SNSF)); NERC(UK Research &amp; Innovation (UKRI)Natural Environment Research Council (NERC))</t>
  </si>
  <si>
    <t>F. A. H. was supported by the Swiss National Science Foundation (SNSF; Schweizerischer Nationalfonds zur Forderung der wissenschaftlichen Forschung) grant numbers P2EZP2_175162 and P400P2_186681. This work was supported by the National Science Foundation (NSF) Southern Ocean Carbon and Climate Observations and Modeling (SOCCOM) Project under the NSF Award PLR-1425989. R. M. would like to thank the National Oceanic and Atmospheric Administration (NOAA) GFDL for mentorship and computational support. S. R. was also supported by the U.S. Argo grant and NOAA grant NA15OAR4320063 to the University of Washington. L. H. S. thanks the Fulbright Foundation for the U.S.Norway Arctic Chair grant. We are deeply thankful to the large number of scientists, technicians, and funding agencies contributing to these databases, being responsible for the collection and quality control of the high-quality data that form the basis of this work. We thank Josh Plant for his initial notification on very low temperatures observed in some of the float profiles. We would also like to thank the students, teachers, and schools who are participating in the SOCCOM Adopt-a-Float program. Four of the floats used in this study were adopted and have a clear signal of supercooling. These participants are listed in Table S1.</t>
  </si>
  <si>
    <t>e2020GL090242</t>
  </si>
  <si>
    <t>10.1029/2020GL090242</t>
  </si>
  <si>
    <t>WOS:000586497000057</t>
  </si>
  <si>
    <t>Moffat-Griffin, T; Colwell, SR; Wright, CJ; Hindley, NP; Mitchell, NJ</t>
  </si>
  <si>
    <t>Moffat-Griffin, T.; Colwell, S. R.; Wright, C. J.; Hindley, N. P.; Mitchell, N. J.</t>
  </si>
  <si>
    <t>Radiosonde Observations of a Wintertime Meridional Convergence of Gravity Waves Around 60°S in the Lower Stratosphere</t>
  </si>
  <si>
    <t>gravity waves; stratosphere; wintertime hotspot; radiosondes</t>
  </si>
  <si>
    <t>MIDDLE-ATMOSPHERE; SATELLITE-OBSERVATIONS; SOUTHERN-OCEAN; INTERMITTENCY; ANTARCTICA; ANDES; DRAG; FLOW</t>
  </si>
  <si>
    <t>Satellite observations show that there is a wintertime hotspot of gravity wave activity, located mainly over the ocean, around 60 degrees S in the stratosphere. However, the sources of the gravity waves making up this hotspot are varied and complex and remain unclear. Here we use radiosonde observations from 11 Antarctic stations and selected small islands close to 60 degrees S to examine the horizontal directional pseudo-momentum flux and energy density distributions of upward propagating gravity waves in the lower stratosphere. This paper shows, for the first time, that short vertical wavelength gravity waves in the lower stratosphere clearly propagate meridionally toward 60 degrees S during the winter months. This result supports previous studies that show that this belt of gravity wave activity over the ocean is contributed to by wave sources outside 60 degrees S.</t>
  </si>
  <si>
    <t>[Moffat-Griffin, T.; Colwell, S. R.] British Antarctic Survey, Atmosphere Ice &amp; Climate Team, Cambridge, England; [Wright, C. J.; Hindley, N. P.; Mitchell, N. J.] Univ Bath, Ctr Space Atmospher &amp; Ocean Sci, Bath, Avon, England</t>
  </si>
  <si>
    <t>UK Research &amp; Innovation (UKRI); Natural Environment Research Council (NERC); NERC British Antarctic Survey; University of Bath</t>
  </si>
  <si>
    <t>Moffat-Griffin, T (corresponding author), British Antarctic Survey, Atmosphere Ice &amp; Climate Team, Cambridge, England.</t>
  </si>
  <si>
    <t>tmof@bas.ac.uk</t>
  </si>
  <si>
    <t>; Wright, Corwin/J-4598-2014</t>
  </si>
  <si>
    <t>Mitchell, Nicholas/0000-0003-1149-8484; Wright, Corwin/0000-0003-2496-953X; Hindley, Neil/0000-0003-4377-2038</t>
  </si>
  <si>
    <t>Natural Environment Research Council [NE/R001235/1 DRAGON-WEX]; Royal Society Research Fellowship [UF160545]; Belgian Science Policy office research project [EA/34/1B, BR/143/A2/AEROCLOUD]; International Polar Foundation; Swiss Federal Institute for Forest, Snow and Landscape research; NERC [bas0100032, NE/R001391/1, NE/R001235/1] Funding Source: UKRI</t>
  </si>
  <si>
    <t>Natural Environment Research Council(UK Research &amp; Innovation (UKRI)Natural Environment Research Council (NERC)); Royal Society Research Fellowship(Royal Society); Belgian Science Policy office research project; International Polar Foundation; Swiss Federal Institute for Forest, Snow and Landscape research; NERC(UK Research &amp; Innovation (UKRI)Natural Environment Research Council (NERC))</t>
  </si>
  <si>
    <t>This work was funded by the Natural Environment Research Council on Grant NE/R001235/1 DRAGON-WEX. Wright's time was funded by a Royal Society Research Fellowship, Reference UF160545. We acknowledge the Antarctic operators who have shared their radiosonde data with us for this study. They are British Antarctic Survey, Meteo-France, Meteorological Institute of Belgium, and the Australian Antarctic Division. These data would not be possible without the hard work of those Antarctic staff who launch these radiosondes, sometimes in very poor weather conditions! We acknowledge the Royal Meteorological Institute of Belgium and Belgian Science Policy office research project Contracts EA/34/1B and BR/143/A2/AEROCLOUD for providing the radio sounding data at Princess Elisabeth Antarctica station (PEA). In addition, the radio soundings at PEA have been supported by the International Polar Foundation and the Swiss Federal Institute for Forest, Snow and Landscape research. We acknowledge that the Australian Antarctic radiosonde data are sourced from the Australian Bureau of Meteorology.</t>
  </si>
  <si>
    <t>e2020GL089740</t>
  </si>
  <si>
    <t>10.1029/2020GL089740</t>
  </si>
  <si>
    <t>WOS:000586497000040</t>
  </si>
  <si>
    <t>Paxman, GJG; Gasson, EGW; Jamieson, SSR; Bentley, MJ; Ferraccioli, F</t>
  </si>
  <si>
    <t>Paxman, Guy J. G.; Gasson, Edward G. W.; Jamieson, Stewart S. R.; Bentley, Michael J.; Ferraccioli, Fausto</t>
  </si>
  <si>
    <t>Long-Term Increase in Antarctic Ice Sheet Vulnerability Driven by Bed Topography Evolution</t>
  </si>
  <si>
    <t>paleotopography; Antarctic Ice Sheet; landscape evolution; ice sheet sensitivity; climate change</t>
  </si>
  <si>
    <t>RETREAT; LAND</t>
  </si>
  <si>
    <t>Ice sheet behavior is strongly influenced by the bed topography. However, the effect of the progressive temporal evolution of Antarctica's subglacial landscape on the sensitivity of the Antarctic Ice Sheet (AIS) to climatic and oceanic change has yet to be fully quantified. Here we investigate the evolving sensitivity of the AIS using a series of data-constrained reconstructions of Antarctic paleotopography since glacial inception at the Eocene-Oligocene transition. We use a numerical ice sheet model to subject the AIS to schematic climate and ocean warming experiments and find that bed topographic evolution causes a doubling in ice volume loss and equivalent global sea level rise. Glacial erosion is primarily responsible for enhanced ice sheet retreat via the development of increasingly low-lying and reverse sloping beds over time, particularly within near-coastal subglacial basins. We conclude that AIS sensitivity to climate and ocean forcing has been substantially amplified by long-term landscape evolution.</t>
  </si>
  <si>
    <t>[Paxman, Guy J. G.; Jamieson, Stewart S. R.; Bentley, Michael J.] Univ Durham, Dept Geog, Durham, England; [Paxman, Guy J. G.] Columbia Univ, Lamont Doherty Earth Observ, Palisades, NY 10964 USA; [Gasson, Edward G. W.] Univ Bristol, Sch Geog Sci, Bristol, Avon, England; [Ferraccioli, Fausto] British Antarctic Survey, Cambridge, England</t>
  </si>
  <si>
    <t>Durham University; Columbia University; University of Bristol; UK Research &amp; Innovation (UKRI); Natural Environment Research Council (NERC); NERC British Antarctic Survey</t>
  </si>
  <si>
    <t>Paxman, GJG (corresponding author), Univ Durham, Dept Geog, Durham, England.;Paxman, GJG (corresponding author), Columbia Univ, Lamont Doherty Earth Observ, Palisades, NY 10964 USA.</t>
  </si>
  <si>
    <t>gpaxman@ldeo.columbia.edu</t>
  </si>
  <si>
    <t>Bentley, Michael J/F-7386-2011; Jamieson, Stewart/B-8330-2013</t>
  </si>
  <si>
    <t>Bentley, Michael J/0000-0002-2048-0019; Gasson, Edward/0000-0003-4653-6217; Paxman, Guy/0000-0003-1787-7442; Ferraccioli, Fausto/0000-0002-9347-4736; Jamieson, Stewart/0000-0002-9036-2317</t>
  </si>
  <si>
    <t>Natural Environment Research Council UK studentship [NE/L002590/1]; Royal Society University Research Fellowship; European Space Agency; NERC [bas0100029, NE/K003674/1] Funding Source: UKRI</t>
  </si>
  <si>
    <t>Natural Environment Research Council UK studentship(UK Research &amp; Innovation (UKRI)Natural Environment Research Council (NERC)); Royal Society University Research Fellowship(Royal Society); European Space Agency(European Space Agency); NERC(UK Research &amp; Innovation (UKRI)Natural Environment Research Council (NERC))</t>
  </si>
  <si>
    <t>G. J. G. P. was funded by a Natural Environment Research Council UK studentship NE/L002590/1. E. G. W. G. is supported by a Royal Society University Research Fellowship. F. F.'s work on Antarctic bed topography was carried out within the framework of the 4-D Antarctica project funded by the European Space Agency. This research is a contribution to the Scientific Committee on Antarctic Research (SCAR) Past Antarctic Ice Sheet dynamics (PAIS) Scientific Research Program. The authors would like to acknowledge the support of the numerous members of SCAR and PAIS who were instrumental in the development of this research. We would also like to thank the two anonymous reviewers for their constructive comments, which helped improve the final manuscript.</t>
  </si>
  <si>
    <t>e2020GL090003</t>
  </si>
  <si>
    <t>10.1029/2020GL090003</t>
  </si>
  <si>
    <t>Green Published, Green Accepted, hybrid</t>
  </si>
  <si>
    <t>WOS:000586497000009</t>
  </si>
  <si>
    <t>Ross, JPJ; Glauert, SA; Horne, RB; Watt, CE; Meredith, NP; Woodfield, EE</t>
  </si>
  <si>
    <t>Ross, J. P. J.; Glauert, S. A.; Horne, R. B.; Watt, C. E.; Meredith, N. P.; Woodfield, E. E.</t>
  </si>
  <si>
    <t>A New Approach to Constructing Models of Electron Diffusion by EMIC Waves in the Radiation Belts</t>
  </si>
  <si>
    <t>radiation belts; EMIC waves; electron diffusion</t>
  </si>
  <si>
    <t>ACCELERATION; SPACECRAFT; SCATTERING; ENERGIES; CHORUS; CRRES</t>
  </si>
  <si>
    <t>Electromagnetic ion cyclotron (EMIC) waves play an important role in relativistic electron losses in the radiation belts through diffusion via resonant wave-particle interactions. We present a new approach for calculating bounce and drift-averaged EMIC electron diffusion coefficients. We calculate bounce-averaged diffusion coefficients, using quasi-linear theory, for each individual Combined Release and Radiation Effects Satellite (CRRES) EMIC wave observation using fitted wave properties, the plasma density and the background magnetic field. These calculations are then combined into bounce-averaged diffusion coefficients. The resulting coefficients therefore capture the combined effects of individual spectra and plasma properties as opposed to previous approaches that use average spectral and plasma properties, resulting in diffusion over a wider range of energies and pitch angles. These calculations, and their role in radiation belt simulations, are then compared against existing diffusion models. The new diffusion coefficients are found to significantly improve the agreement between the calculated decay of relativistic electrons and Van Allen Probes data.</t>
  </si>
  <si>
    <t>[Ross, J. P. J.; Glauert, S. A.; Horne, R. B.; Meredith, N. P.; Woodfield, E. E.] British Antarctic Survey, Nat Environm Res Council, Cambridge, England; [Watt, C. E.] Northumbria Univ, Dept Math Phys &amp; Elect Engn, Newcastle Upon Tyne, Tyne &amp; Wear, England</t>
  </si>
  <si>
    <t>UK Research &amp; Innovation (UKRI); Natural Environment Research Council (NERC); NERC British Antarctic Survey; Northumbria University</t>
  </si>
  <si>
    <t>Ross, JPJ (corresponding author), British Antarctic Survey, Nat Environm Res Council, Cambridge, England.</t>
  </si>
  <si>
    <t>johros@bas.ac.uk</t>
  </si>
  <si>
    <t>Horne, Richard B/U-3764-2019; Ross, Johnathan/AAX-3204-2020; Watt, Clare/C-5218-2008; Woodfield, Emma/B-5313-2014</t>
  </si>
  <si>
    <t>Horne, Richard B/0000-0002-0412-6407; Ross, Johnathan/0000-0001-5282-3293; Meredith, Nigel/0000-0001-5032-3463; Watt, Clare/0000-0003-3193-8993; Woodfield, Emma/0000-0002-0531-8814</t>
  </si>
  <si>
    <t>National Environment Research Council Highlight Topic [NE/P01738X/1, NE/P017274/1]; National Environment Research Council [NE/R016445/1, NE/R016038/1]; STFC [ST/S000496/1, ST/R000921/1]; NERC [NE/V002759/1, NE/P017274/2, NE/R016038/1, bas0100031, NE/P017274/1, NE/R016445/1] Funding Source: UKRI; STFC [ST/R000921/1, ST/W002078/1, ST/S000496/1] Funding Source: UKRI</t>
  </si>
  <si>
    <t>National Environment Research Council Highlight Topic; National Environment Research Council(UK Research &amp; Innovation (UKRI)Natural Environment Research Council (NERC)); STFC(UK Research &amp; Innovation (UKRI)Science &amp; Technology Facilities Council (STFC)); NERC(UK Research &amp; Innovation (UKRI)Natural Environment Research Council (NERC)); STFC(UK Research &amp; Innovation (UKRI)Science &amp; Technology Facilities Council (STFC))</t>
  </si>
  <si>
    <t>The research leading to these results has received funding from the National Environment Research Council Highlight Topic grants NE/P01738X/1 and NE/P017274/1, National Environment Research Council grants NE/R016445/1 and NE/R016038/1, and the STFC grants ST/S000496/1 and ST/R000921/1. The authors would like to thank Brian Fraser for providing the CRRES EMIC wave data set.</t>
  </si>
  <si>
    <t>e2020GL088976</t>
  </si>
  <si>
    <t>10.1029/2020GL088976</t>
  </si>
  <si>
    <t>Green Accepted, hybrid</t>
  </si>
  <si>
    <t>WOS:000586497000007</t>
  </si>
  <si>
    <t>Shen, XC; Wang, L; Osprey, S</t>
  </si>
  <si>
    <t>Shen, Xiaocen; Wang, Lin; Osprey, Scott</t>
  </si>
  <si>
    <t>Tropospheric Forcing of the 2019 Antarctic Sudden Stratospheric Warming</t>
  </si>
  <si>
    <t>sudden stratospheric warming; ozone hole; convection; annular mode; planetary wave; quasi‐ biennial oscillation</t>
  </si>
  <si>
    <t>QUASI-BIENNIAL OSCILLATION; EVENTS; WINTER</t>
  </si>
  <si>
    <t>The strongest and most persistent upward propagation of zonal wavenumber 1 (WN1) Rossby waves from the troposphere on record led to the rare Antarctic sudden stratospheric warming (SSW) in September 2019. The dynamical contribution from instantaneous anomalous WN1 and its linear interference with the climatological WN1 contributed equally to the event. The unprecedented WN1 planetary wave behavior is further attributed to a long-lived midlatitude circumpolar Rossby wave train in the troposphere that was sustained by anomalous convection, first over the subtropical Pacific Ocean east of Australia and then over the eastern South Pacific. Besides the tropospheric wave forcing, the phase of the quasi-biennial oscillation in the upper stratosphere also facilitated the weakening of polar vortex. Moreover, this SSW strongly influenced the tropospheric circulation via the Southern annular mode, favoring conditions linked to the 2019 bushfires in eastern Australia.</t>
  </si>
  <si>
    <t>[Shen, Xiaocen; Wang, Lin] Chinese Acad Sci, Ctr Monsoon Syst Res, Inst Atmospher Phys, Beijing, Peoples R China; [Shen, Xiaocen; Wang, Lin] Univ Chinese Acad Sci, Coll Each &amp; Planetary Sci, Beijing, Peoples R China; [Osprey, Scott] Univ Oxford, Atmospher Ocean &amp; Planetary Phys, Oxford, England; [Osprey, Scott] Univ Oxford, Natl Ctr Atmospher Sci, Oxford, England</t>
  </si>
  <si>
    <t>Chinese Academy of Sciences; Institute of Atmospheric Physics, CAS; Chinese Academy of Sciences; University of Chinese Academy of Sciences, CAS; University of Oxford; UK Research &amp; Innovation (UKRI); Natural Environment Research Council (NERC); NERC National Centre for Atmospheric Science; University of Oxford</t>
  </si>
  <si>
    <t>Wang, L (corresponding author), Chinese Acad Sci, Ctr Monsoon Syst Res, Inst Atmospher Phys, Beijing, Peoples R China.;Wang, L (corresponding author), Univ Chinese Acad Sci, Coll Each &amp; Planetary Sci, Beijing, Peoples R China.</t>
  </si>
  <si>
    <t>wanglin@mail.iap.ac.cn</t>
  </si>
  <si>
    <t>Osprey, Scott/P-6621-2016; Osprey, Scott/S-7908-2019; Osprey, Scott/GQI-3483-2022; Shen, Xiaocen/IAP-5593-2023; Wang, Lin/G-5245-2010</t>
  </si>
  <si>
    <t>Osprey, Scott/0000-0002-8751-1211; Osprey, Scott/0000-0002-8751-1211; Osprey, Scott/0000-0002-8751-1211; Shen, Xiaocen/0009-0003-7116-1397</t>
  </si>
  <si>
    <t>National Key R&amp;D Program of China [2018YFC1506003]; National Natural Science Foundation of China [41925020, 41721004]; Natural Environment Research Council [NE/P006779/1, NE/N018001/1]; NERC [NE/P006779/1, NE/N018001/1, ncas10014] Funding Source: UKRI</t>
  </si>
  <si>
    <t>National Key R&amp;D Program of China; National Natural Science Foundation of China(National Natural Science Foundation of China (NSFC)); Natural Environment Research Council(UK Research &amp; Innovation (UKRI)Natural Environment Research Council (NERC)); NERC(UK Research &amp; Innovation (UKRI)Natural Environment Research Council (NERC))</t>
  </si>
  <si>
    <t>We thank the five anonymous reviewers and the editor for their constructive comments and suggestions that led to significant improvement in the paper. X.S. and L.W. are supported by the National Key R&amp;D Program of China (2018YFC1506003) and the National Natural Science Foundation of China (41925020 and 41721004). S.O. is supported by the Natural Environment Research Council (NE/P006779/1 and NE/N018001/1). The study is an outflow of the Belmont-Forum/JPI-Climate GOTHAM summer school held in Beijing 9-13 September 2019. The authors gratefully acknowledge the tireless workshop support of Prof. Bo Wu.</t>
  </si>
  <si>
    <t>e2020GL089343</t>
  </si>
  <si>
    <t>10.1029/2020GL089343</t>
  </si>
  <si>
    <t>WOS:000586497000022</t>
  </si>
  <si>
    <t>Shimura, T; Hemer, M; Lenton, A; Chamberlain, MA; Monselesan, D</t>
  </si>
  <si>
    <t>Shimura, Tomoya; Hemer, Mark; Lenton, Andrew; Chamberlain, Matthew A.; Monselesan, Didier</t>
  </si>
  <si>
    <t>Impacts of Ocean Wave-Dependent Momentum Flux on Global Ocean Climate</t>
  </si>
  <si>
    <t>ocean surface wave; global climate model; air‐ sea flux; ocean heat content; momentum flux</t>
  </si>
  <si>
    <t>LANGMUIR TURBULENCE; HEAT-CONTENT; WIND; MODEL; CIRCULATION; REANALYSIS; ROUGHNESS; HIATUS</t>
  </si>
  <si>
    <t>Accurate knowledge of air-sea fluxes of momentum, heat, and carbon are central to fully understanding the evolution of the climate system. The role of ocean surface waves has been largely overlooked in global climate models despite the growing body of work elucidating the influence of ocean wave state on air-sea fluxes. Here we account for the impact of ocean surface waves on global ocean climate using a global ocean model through implementation of wave-dependent momentum fluxes. Wave-dependent momentum fluxes improve the simulation of observed ocean heat content (OHC) through increasing the trend in OHC over the last three decades. Specifically, the larger increase in OHC is attributable to increased net heat flux in the Southern Hemisphere (SH). These results highlight the important role of accounting for wave-dependent momentum transfer in terms of both simulating future climate and understanding changes over the recent historical period.</t>
  </si>
  <si>
    <t>[Shimura, Tomoya] Kyoto Univ, Disaster Prevent Res Inst, Uji, Kyoto, Japan; [Hemer, Mark; Lenton, Andrew; Chamberlain, Matthew A.; Monselesan, Didier] CSIRO Oceans &amp; Atmosphere, Hobart, Tas, Australia; [Lenton, Andrew] Ctr Southern Hemisphere Res, Hobart, Tas, Australia; [Lenton, Andrew] UTas, IMAS, Australian Antarctic Partnership Program, Hobart, Tas, Australia</t>
  </si>
  <si>
    <t>Kyoto University; Commonwealth Scientific &amp; Industrial Research Organisation (CSIRO); University of Tasmania</t>
  </si>
  <si>
    <t>Shimura, T (corresponding author), Kyoto Univ, Disaster Prevent Res Inst, Uji, Kyoto, Japan.</t>
  </si>
  <si>
    <t>shimura.tomoya.2v@kyoto-u.ac.jp</t>
  </si>
  <si>
    <t>Chamberlain, Matthew/D-4805-2012; Monselesan, Didier/A-2327-2012; Hemer, Mark/M-1905-2013; Lenton, Andrew/D-2077-2012</t>
  </si>
  <si>
    <t>Monselesan, Didier/0000-0002-0310-8995; Shimura, Tomoya/0000-0001-8284-0668; Hemer, Mark/0000-0002-7725-3474; Lenton, Andrew/0000-0001-9437-8896</t>
  </si>
  <si>
    <t>JSPS KAKENHI [19K15099, 18H03791, 19H00782]; Integrated Research Program for Advancing Climate Models (TOUGOU) by the Ministry of Education, Culture, Sports, Science, and Technology (MEXT) [JPMXD0717935498]; Australian Commonwealth National Environmental Science Program Earth Systems and Climate Change Hub; Grants-in-Aid for Scientific Research [19H00782, 19K15099, 18H03791] Funding Source: KAKEN</t>
  </si>
  <si>
    <t>JSPS KAKENHI(Ministry of Education, Culture, Sports, Science and Technology, Japan (MEXT)Japan Society for the Promotion of ScienceGrants-in-Aid for Scientific Research (KAKENHI)); Integrated Research Program for Advancing Climate Models (TOUGOU) by the Ministry of Education, Culture, Sports, Science, and Technology (MEXT); Australian Commonwealth National Environmental Science Program Earth Systems and Climate Change Hub; Grants-in-Aid for Scientific Research(Ministry of Education, Culture, Sports, Science and Technology, Japan (MEXT)Japan Society for the Promotion of ScienceGrants-in-Aid for Scientific Research (KAKENHI))</t>
  </si>
  <si>
    <t>T. S. was supported by JSPS KAKENHI Grant Numbers 19K15099, 18H03791, and 19H00782. This research was supported under the Integrated Research Program for Advancing Climate Models (TOUGOU) Grant Number JPMXD0717935498 by the Ministry of Education, Culture, Sports, Science, and Technology (MEXT). M. H. is supported by the Australian Commonwealth National Environmental Science Program Earth Systems and Climate Change Hub.</t>
  </si>
  <si>
    <t>e2020GL089296</t>
  </si>
  <si>
    <t>10.1029/2020GL089296</t>
  </si>
  <si>
    <t>WOS:000586497000005</t>
  </si>
  <si>
    <t>Wohltmann, I; von der Gathen, P; Lehmann, R; Maturilli, M; Deckelmann, H; Manney, GL; Davies, J; Tarasick, D; Jepsen, N; Kivi, R; Lyall, N; Rex, M</t>
  </si>
  <si>
    <t>Wohltmann, I; von der Gathen, P.; Lehmann, R.; Maturilli, M.; Deckelmann, H.; Manney, G. L.; Davies, J.; Tarasick, D.; Jepsen, N.; Kivi, R.; Lyall, N.; Rex, M.</t>
  </si>
  <si>
    <t>Near-Complete Local Reduction of Arctic Stratospheric Ozone by Severe Chemical Loss in Spring 2020</t>
  </si>
  <si>
    <t>ozone; stratosphere; ozone loss; Arctic; ozone hole; temperature</t>
  </si>
  <si>
    <t>WINTER 2010/2011; RETURN DATES; NITRIC-ACID; DEPLETION; CHEMISTRY; TRANSPORT; RECOVERY</t>
  </si>
  <si>
    <t>In the Antarctic ozone hole, ozone mixing ratios have been decreasing to extremely low values of 0.01-0.1 ppm in nearly all spring seasons since the late 1980s, corresponding to 95-99% local chemical loss. In contrast, Arctic ozone loss has been much more limited and mixing ratios have never before fallen below 0.5 ppm. In Arctic spring 2020, however, ozonesonde measurements in the most depleted parts of the polar vortex show a highly depleted layer, with ozone loss averaged over sondes peaking at 93% at 18 km. Typical minimum mixing ratios of 0.2 ppm were observed, with individual profiles showing values as low as 0.13 ppm (96% loss). The reason for the unprecedented chemical loss was an unusually strong, long-lasting, and cold polar vortex, showing that for individual winters the effect of the slow decline of ozone-depleting substances on ozone depletion may be counteracted by low temperatures.</t>
  </si>
  <si>
    <t>[Wohltmann, I; von der Gathen, P.; Lehmann, R.; Maturilli, M.; Deckelmann, H.; Rex, M.] Alfred Wegener Inst Polar &amp; Marine Res, Potsdam, Germany; [Manney, G. L.] NorthWest Res Associates, Socorro, NM USA; [Manney, G. L.] New Mexico Inst Min &amp; Technol, Socorro, NM 87801 USA; [Davies, J.; Tarasick, D.] Environm &amp; Climate Change Canada, Air Qual Res Div, Downsview, ON, Canada; [Jepsen, N.] Danish Meteorol Inst, Copenhagen, Denmark; [Kivi, R.] Finnish Meteorol Inst, Space &amp; Earth Observat Ctr, Sodankyla, Finland; [Lyall, N.] UK Met Off, Lerwick Observ, Shetland Isl, Scotland</t>
  </si>
  <si>
    <t>Helmholtz Association; Alfred Wegener Institute, Helmholtz Centre for Polar &amp; Marine Research; NorthWest Research Associates; New Mexico Institute of Mining Technology; Environment &amp; Climate Change Canada; Danish Meteorological Institute DMI; Finnish Meteorological Institute; Met Office - UK</t>
  </si>
  <si>
    <t>Wohltmann, I (corresponding author), Alfred Wegener Inst Polar &amp; Marine Res, Potsdam, Germany.</t>
  </si>
  <si>
    <t>ingo.wohltmann@awi.de</t>
  </si>
  <si>
    <t>Wohltmann, Ingo/C-1301-2010; Rex, Markus/A-6054-2009; Tarasick, David Walter/IYS-7006-2023; von der Gathen, Peter/B-8515-2009; Manney, Gloria/JED-7207-2023; Maturilli, Marion/A-4344-2017</t>
  </si>
  <si>
    <t>Wohltmann, Ingo/0000-0003-4606-6788; Rex, Markus/0000-0001-7847-8221; Tarasick, David Walter/0000-0001-9869-0692; von der Gathen, Peter/0000-0001-7409-1556; Maturilli, Marion/0000-0001-6818-7383; Manney, Gloria/0000-0003-4489-4811</t>
  </si>
  <si>
    <t>e2020GL089547</t>
  </si>
  <si>
    <t>10.1029/2020GL089547</t>
  </si>
  <si>
    <t>WOS:000586497000015</t>
  </si>
  <si>
    <t>Photopoulou, T; Heerah, K; Pohle, J; Boehme, L</t>
  </si>
  <si>
    <t>Photopoulou, Theoni; Heerah, Karine; Pohle, Jennifer; Boehme, Lars</t>
  </si>
  <si>
    <t>Sex-specific variation in the use of vertical habitat by a resident Antarctic top predator</t>
  </si>
  <si>
    <t>diving behaviour; water mass; continental shelf; Weddell seal; sex-specific variation; hidden Markov model</t>
  </si>
  <si>
    <t>SEALS LEPTONYCHOTES-WEDDELLII; FORAGING BEHAVIOR; DIVING BEHAVIOR; ELEPHANT SEALS; ICE; WINTER; PREY; STRATEGIES; SOUND; MOVEMENTS</t>
  </si>
  <si>
    <t>Patterns of habitat use are commonly studied in horizontal space, but this does not capture the four-dimensional nature of ocean habitats (space, depth, and time). Deep-diving marine animals encounter varying oceanographic conditions, particularly at the poles, where there is strong seasonal variation in vertical ocean structuring. This dimension of space use is hidden if we only consider horizontal movement. To identify different diving behaviours and usage patterns of vertically distributed habitat, we use hidden Markov models fitted to telemetry data from an air-breathing top predator, the Weddell seal, in the Weddell Sea, Antarctica. We present evidence of overlapping use of high-density, continental shelf water masses by both sexes, as well as important differences in their preferences for oceanographic conditions. Males spend more time in the unique high-salinity shelf water masses found at depth, while females also venture off the continental shelf and visit warmer, shallower water masses. Both sexes exhibit a diurnal pattern in diving behaviour (deep in the day, shallow at night) that persists from austral autumn into winter. The differences in habitat use in this resident, sexually monomorphic Antarctic top predator suggest a different set of needs and constraints operating at the intraspecific level, not driven by body size.</t>
  </si>
  <si>
    <t>[Photopoulou, Theoni; Boehme, Lars] Univ St Andrews, Scottish Oceans Inst, Sea Mammal Res Unit, St Andrews, Fife, Scotland; [Photopoulou, Theoni] Univ St Andrews, Ctr Res Ecol &amp; Environm Modelling, St Andrews, Fife, Scotland; [Heerah, Karine] Aarhus Univ, Dept Biol, Marine Bioacoust Lab, Zoophysiol, Aarhus, Denmark; [Pohle, Jennifer] Bielefeld Univ, Dept Business Adm &amp; Econ, Bielefeld, Germany</t>
  </si>
  <si>
    <t>University of St Andrews; University of St Andrews; Aarhus University; University of Bielefeld</t>
  </si>
  <si>
    <t>Photopoulou, T (corresponding author), Univ St Andrews, Scottish Oceans Inst, Sea Mammal Res Unit, St Andrews, Fife, Scotland.;Photopoulou, T (corresponding author), Univ St Andrews, Ctr Res Ecol &amp; Environm Modelling, St Andrews, Fife, Scotland.</t>
  </si>
  <si>
    <t>theoni.photopoulou@gmail.com</t>
  </si>
  <si>
    <t>Heerah, karine/F-5368-2013; Photopoulou, Theoni/E-3994-2012; Boehme, Lars/B-6567-2009</t>
  </si>
  <si>
    <t>Photopoulou, Theoni/0000-0001-9616-9940; Boehme, Lars/0000-0003-3513-6816</t>
  </si>
  <si>
    <t>Royal Society Newton International Fellowship [NF170682]</t>
  </si>
  <si>
    <t>Royal Society Newton International Fellowship(Royal Society)</t>
  </si>
  <si>
    <t>TP was supported by a Royal Society Newton International Fellowship (NF170682).</t>
  </si>
  <si>
    <t>10.1098/rspb.2020.1447</t>
  </si>
  <si>
    <t>ON1HB</t>
  </si>
  <si>
    <t>Green Submitted, hybrid, Green Published</t>
  </si>
  <si>
    <t>WOS:000586460200003</t>
  </si>
  <si>
    <t>Ferreira, A; Costa, RR; Dotto, TS; Kerr, R; Tavano, VM; Brito, AC; Brotas, V; Secchi, ER; Mendes, CRB</t>
  </si>
  <si>
    <t>Ferreira, Afonso; Costa, Raul R.; Dotto, Tiago S.; Kerr, Rodrigo; Tavano, Virginia M.; Brito, Ana C.; Brotas, Vanda; Secchi, Eduardo R.; Mendes, Carlos R. B.</t>
  </si>
  <si>
    <t>Changes in Phytoplankton Communities Along the Northern Antarctic Peninsula: Causes, Impacts and Research Priorities</t>
  </si>
  <si>
    <t>West Antarctica; phytoplankton response; climate change; bottom-up impacts to the ecosystem; research gaps and directions</t>
  </si>
  <si>
    <t>SOUTHERN-OCEAN PHYTOPLANKTON; NORTHWESTERN WEDDELL SEA; CIRCUMPOLAR DEEP-WATER; WESTERN BRANSFIELD STRAIT; ICE-ZONE WEST; CLIMATE-CHANGE; AUSTRAL SUMMER; INTERANNUAL VARIABILITY; CHLOROPHYLL ALGORITHMS; TEMPORAL VARIABILITY</t>
  </si>
  <si>
    <t>The Northern Antarctic Peninsula (NAP), located in West Antarctica, is amongst the most impacted regions by recent warming events. Its vulnerability to climate change has already led to an accumulation of severe changes along its ecosystems. This work reviews the current findings on impacts observed in phytoplankton communities occurring in the NAP, with a focus on its causes, consequences, and the potential research priorities toward an integrated comprehension of the physical- biological coupling and climate perspective. Evident changes in phytoplankton biomass, community composition and size structure, as well as potential bottom-up impacts to the ecosystem are discussed. Surface wind, sea ice and meltwater dynamics, as key drivers of the upper layer structure, are identified as the leading factors shaping phytoplankton. Shortand long-term scenarios are suggested for phytoplankton communities in the NAP, both indicating a future increase of the importance of small flagellates at the expense of diatoms, with potential devastating impacts for the ecosystem. Five main research gaps in the current understanding of the phytoplankton response to climate change in the region are identified: (i) anthropogenic signal has yet to be disentangled from natural climate variability; (ii) the influence of small-scale ocean circulation processes on phytoplankton is poorly understood; (iii) the potential consequences to regional food webs must be clarified; (iv) the magnitude and risk of potential changes in phytoplankton composition is relatively unknown; and (v) a better understanding of phytoplankton physiological responses to changes in the environmental conditions is required. Future research directions, along with specific suggestions on how to follow them, are equally suggested. Overall, while the current knowledge has shed light on the response of phytoplankton to climate change, in order to truly comprehend and predict changes in phytoplankton communities, there must be a robust collaboration effort integrating both Antarctic research programs and the whole scientific community under a common research framework.</t>
  </si>
  <si>
    <t>[Ferreira, Afonso; Brito, Ana C.; Brotas, Vanda] Univ Lisbon, Fac Ciencias, MARE Ctr Ciencias Mar &amp; Ambiente, Lisbon, Portugal; [Ferreira, Afonso; Costa, Raul R.; Tavano, Virginia M.; Mendes, Carlos R. B.] Univ Fed Rio Grande, Inst Oceanog, Lab Fitoplancton Microorganismos Marinhos, Rio Grande, Brazil; [Costa, Raul R.; Dotto, Tiago S.; Kerr, Rodrigo; Tavano, Virginia M.; Mendes, Carlos R. B.] Univ Fed Rio Grande, Inst Oceanog, Lab Estudos Oceanos &amp; Clima, Rio Grande, Brazil; [Brito, Ana C.; Brotas, Vanda] Univ Lisbon, Fac Ciencias, Dept Biol Vegetal, Lisbon, Portugal; [Secchi, Eduardo R.] Univ Fed Rio Grande, Inst Oceanog, Lab Ecol &amp; Conservacao Megafauna Marinha, Rio Grande, Brazil</t>
  </si>
  <si>
    <t>Universidade de Lisboa; Universidade Federal do Rio Grande; Universidade Federal do Rio Grande; Universidade de Lisboa; Universidade Federal do Rio Grande</t>
  </si>
  <si>
    <t>Ferreira, A (corresponding author), Univ Lisbon, Fac Ciencias, MARE Ctr Ciencias Mar &amp; Ambiente, Lisbon, Portugal.;Ferreira, A (corresponding author), Univ Fed Rio Grande, Inst Oceanog, Lab Fitoplancton Microorganismos Marinhos, Rio Grande, Brazil.</t>
  </si>
  <si>
    <t>ambferreira@fc.ul.pt</t>
  </si>
  <si>
    <t>Kerr, Rodrigo/I-2494-2012; Mendes, Carlos/AAD-6504-2021; Secchi, Eduardo R./ABF-1191-2020; Mendes, Carlos/I-1520-2012; Brotas, Vanda/A-2410-2012; Mendes, Carlos/GVU-7596-2022; Brito, Ana C./F-4473-2011; Ferreira, Afonso/Y-3832-2018; Tavano, Virginia/C-5241-2013</t>
  </si>
  <si>
    <t>Kerr, Rodrigo/0000-0002-2632-3137; Secchi, Eduardo R./0000-0001-9087-9909; Mendes, Carlos/0000-0001-6875-8860; Mendes, Carlos/0000-0001-6875-8860; Brito, Ana C./0000-0001-6539-5830; Ferreira, Afonso/0000-0002-2670-8125; Tavano, Virginia/0000-0003-0039-8111</t>
  </si>
  <si>
    <t>European Union's Horizon 2020 research and innovation programme [810139]; National Council for Research and Development (CNPq); Coordination for the Improvement of Higher Education Personnel (CAPES); CNPq [442628/2018-8, 442637/2018-7, PQ 306899/2018-3, PQ 304937/2018-5, PQ 310597/2018-8]; CAPES PrInt-FURG [41/2017]; Fundacao para a Ciencia e a Tecnologia (FCT) [UID/MAR/04292/2020]; Portuguese Polar Program - PROPOLAR; FCT [CEECIND/00095/2017]; CNPq-Brazil PDJ scholarship [151248/2019-2]; [SFRH/BD/144586/2019]; Fundação para a Ciência e a Tecnologia [SFRH/BD/144586/2019] Funding Source: FCT</t>
  </si>
  <si>
    <t>European Union's Horizon 2020 research and innovation programme; National Council for Research and Development (CNPq)(Conselho Nacional de Desenvolvimento Cientifico e Tecnologico (CNPQ)); Coordination for the Improvement of Higher Education Personnel (CAPES)(Coordenacao de Aperfeicoamento de Pessoal de Nivel Superior (CAPES)); CNPq(Conselho Nacional de Desenvolvimento Cientifico e Tecnologico (CNPQ)); CAPES PrInt-FURG(Coordenacao de Aperfeicoamento de Pessoal de Nivel Superior (CAPES)); Fundacao para a Ciencia e a Tecnologia (FCT)(Fundacao para a Ciencia e a Tecnologia (FCT)); Portuguese Polar Program - PROPOLAR; FCT(Fundacao para a Ciencia e a Tecnologia (FCT)); CNPq-Brazil PDJ scholarship; ; Fundação para a Ciência e a Tecnologia(Fundacao para a Ciencia e a Tecnologia (FCT))</t>
  </si>
  <si>
    <t>This project has received funding from the European Union's Horizon 2020 research and innovation programme under grant agreement No 810139. Financial support was also provided by National Council for Research and Development (CNPq) and Coordination for the Improvement of Higher Education Personnel (CAPES). This study was conducted within the activities of the PROVOCCAR and ECOPELAGOS projects (CNPq grant nos. 442628/2018-8 and 442637/2018-7, respectively), and is within the scope of two Projects of the Institutional Internationalization Program (CAPES PrInt-FURG - Call no. 41/2017). It also received support from the Fundacao para a Ciencia e a Tecnologia (FCT; grant no. UID/MAR/04292/2020 and Portuguese Polar Program - PROPOLAR). AF received a Ph.D. grant (SFRH/BD/144586/2019) and AB was supported by the Scientific Employment Stimulus Programme (CEECIND/00095/2017), both funded by FCT. TD acknowledges financial support from the CNPq-Brazil PDJ scholarship no. 151248/2019-2. RC, CM (PQ 306899/2018-3), RK (PQ 304937/2018-5), and ES (PQ 310597/2018-8) are granted with researcher fellowships from CNPq. CAPES also provided free access to many relevant journals through the portal Periodicos CAPES.</t>
  </si>
  <si>
    <t>10.3389/fmars.2020.576254</t>
  </si>
  <si>
    <t>OM0OF</t>
  </si>
  <si>
    <t>WOS:000585728600001</t>
  </si>
  <si>
    <t>Hester, EW; Couston, LA; Favier, B; Burns, KJ; Vasil, GM</t>
  </si>
  <si>
    <t>Hester, Eric W.; Couston, Louis-Alexandre; Favier, Benjamin; Burns, Keaton J.; Vasil, Geoffrey M.</t>
  </si>
  <si>
    <t>Improved phase-field models of melting and dissolution in multi-component flows</t>
  </si>
  <si>
    <t>PROCEEDINGS OF THE ROYAL SOCIETY A-MATHEMATICAL PHYSICAL AND ENGINEERING SCIENCES</t>
  </si>
  <si>
    <t>phase-field model; second-order accuracy; multi-component flows</t>
  </si>
  <si>
    <t>SHARP-INTERFACE LIMIT; COMPLEX GEOMETRIES; SOLIDIFICATION; CONVECTION; ASYMPTOTICS; FLUID; SIMULATIONS; STEFAN</t>
  </si>
  <si>
    <t>We develop and analyse the first second-order phase-field model to combine melting and dissolution in multi-component flows. This provides a simple and accurate way to simulate challenging phase-change problems in existing codes. Phase-field models simplify computation by describing separate regions using a smoothed phase field. The phase field eliminates the need for complicated discretizations that track the moving phase boundary. However, standard phase-field models are only first-order accurate. They often incur an error proportional to the thickness of the diffuse interface. We eliminate this dominant error by developing a general framework for asymptotic analysis of diffuse-interface methods in arbitrary geometries. With this framework, we can consistently unify previous second-order phase-field models of melting and dissolution and the volume-penalty method for fluid-solid interaction. We finally validate second-order convergence of our model in two comprehensive benchmark problems using the open-source spectral code Dedalus.</t>
  </si>
  <si>
    <t>[Hester, Eric W.; Vasil, Geoffrey M.] Univ Sydney, Sch Math &amp; Stat, Sydney, NSW 2006, Australia; [Couston, Louis-Alexandre] British Antarctic Survey, Cambridge CB3 0ET, England; [Couston, Louis-Alexandre] Univ Cambridge, Dept Appl Math &amp; Theoret Phys, Cambridge, England; [Favier, Benjamin] Aix Marseille Univ, CNRS, Cent Marseille, IRPHE, Marseille, France; [Burns, Keaton J.] MIT, Dept Math, Cambridge, MA 02139 USA; [Burns, Keaton J.] Simons Fdn, Flatiron Inst, Ctr Computat Astrophys, New York, NY 10010 USA</t>
  </si>
  <si>
    <t>University of Sydney; UK Research &amp; Innovation (UKRI); Natural Environment Research Council (NERC); NERC British Antarctic Survey; University of Cambridge; Centre National de la Recherche Scientifique (CNRS); Aix-Marseille Universite; Massachusetts Institute of Technology (MIT)</t>
  </si>
  <si>
    <t>Hester, EW (corresponding author), Univ Sydney, Sch Math &amp; Stat, Sydney, NSW 2006, Australia.</t>
  </si>
  <si>
    <t>eric.hester@sydney.edu.au</t>
  </si>
  <si>
    <t>Favier, Benjamin/Q-5146-2019; Hester, Eric W/JOK-9716-2023; Couston, Louis-Alexandre/ABC-7665-2020</t>
  </si>
  <si>
    <t>Favier, Benjamin/0000-0002-1184-2989; Hester, Eric W/0000-0003-1651-9141; Couston, Louis-Alexandre/0000-0002-2184-2472; Burns, Keaton/0000-0003-4761-4766</t>
  </si>
  <si>
    <t>University of Sydney Phillip Hofflin International Research Travel Scholarship; European Union's Horizon 2020 research and innovation programme under Marie Sklodowska-Curie grant [MIMOP 793450]; University of Sydney Postgraduate Research Support Scheme; University of Sydney William and Catherine McIlrath Scholarship; NERC [bas0100031] Funding Source: UKRI</t>
  </si>
  <si>
    <t>University of Sydney Phillip Hofflin International Research Travel Scholarship; European Union's Horizon 2020 research and innovation programme under Marie Sklodowska-Curie grant(Marie Curie Actions); University of Sydney Postgraduate Research Support Scheme(University of Sydney); University of Sydney William and Catherine McIlrath Scholarship; NERC(UK Research &amp; Innovation (UKRI)Natural Environment Research Council (NERC))</t>
  </si>
  <si>
    <t>E.W.H. acknowledges support from The University of Sydney Phillip Hofflin International Research Travel Scholarship, Postgraduate Research Support Scheme and William and Catherine McIlrath Scholarship. L.-A.C. acknowledges support from the European Union's Horizon 2020 research and innovation programme under Marie Sklodowska-Curie grant agreement no. MIMOP 793450.</t>
  </si>
  <si>
    <t>1364-5021</t>
  </si>
  <si>
    <t>1471-2946</t>
  </si>
  <si>
    <t>P ROY SOC A-MATH PHY</t>
  </si>
  <si>
    <t>Proc. R. Soc. A-Math. Phys. Eng. Sci.</t>
  </si>
  <si>
    <t>10.1098/rspa.2020.0508</t>
  </si>
  <si>
    <t>OL3WR</t>
  </si>
  <si>
    <t>Green Published, Bronze, Green Submitted</t>
  </si>
  <si>
    <t>WOS:000585274600001</t>
  </si>
  <si>
    <t>Clarke, A; Beaumont, JC</t>
  </si>
  <si>
    <t>Clarke, Andrew; Beaumont, Jennifer C.</t>
  </si>
  <si>
    <t>An extreme marine environment: a 14-month record of temperature in a polar tidepool</t>
  </si>
  <si>
    <t>Ice; Salinity; Seasonality; Temperature; Tidepool; Variability</t>
  </si>
  <si>
    <t>THERMAL TOLERANCE; ECOLOGY; ORGANISMS; DYNAMICS</t>
  </si>
  <si>
    <t>Tidepools are not uncommon in Antarctica, but there appear to be no data on the physical environment within polar tidepools and only anecdotal information on their biology. Here we report a high resolution record of temperature in an Antarctic tidepool made over two summers and the intervening winter. During the summer open water season the highest daily mean, and also the maximum temperatures, were recorded during the period of continuous daylight around the summer solstice. This short-term variability of temperature in the tidepool greatly exceeded that in the nearby open ocean, indicating the need for a eurythermal physiology in tidepool biota. In winter the tidepool froze over, the unfrozen water cooled to - 5.5 degrees C, and freeze concentration increased its salinity to roughly three times normal seawater. A polar tidepool isolated from the sea in winter is probably inimical to many larger marine organisms, which must populate the tidepool afresh each summer.</t>
  </si>
  <si>
    <t>[Clarke, Andrew; Beaumont, Jennifer C.] British Antarctic Survey, Madingley Rd, Cambridge CB3 0ET, England; [Beaumont, Jennifer C.] NIWA, 301 Evans Bay Parade, Wellington 6021, New Zealand</t>
  </si>
  <si>
    <t>UK Research &amp; Innovation (UKRI); Natural Environment Research Council (NERC); NERC British Antarctic Survey; National Institute of Water &amp; Atmospheric Research (NIWA) - New Zealand</t>
  </si>
  <si>
    <t>Clarke, A (corresponding author), British Antarctic Survey, Madingley Rd, Cambridge CB3 0ET, England.</t>
  </si>
  <si>
    <t>accl@bas.ac.uk</t>
  </si>
  <si>
    <t>Beaumont, Jennifer/0000-0003-0488-9858; Clarke, Andrew/0000-0002-7582-3074</t>
  </si>
  <si>
    <t>NERC [bas010011] Funding Source: UKRI</t>
  </si>
  <si>
    <t>10.1007/s00300-020-02762-8</t>
  </si>
  <si>
    <t>WOS:000582815200001</t>
  </si>
  <si>
    <t>Raath-Krüger, MJ; Schöb, C; McGeoch, MA; le Roux, PC</t>
  </si>
  <si>
    <t>Raath-Kruger, Morgan J.; Schob, Christian; McGeoch, Melodie A.; le Roux, Peter C.</t>
  </si>
  <si>
    <t>Interspecific facilitation mediates the outcome of intraspecific interactions across an elevational gradient</t>
  </si>
  <si>
    <t>ECOLOGY</t>
  </si>
  <si>
    <t>abiotic severity; alpine; biotic interactions; facilitation; intraspecific density; plant communities; plant– plant interactions</t>
  </si>
  <si>
    <t>POSITIVE DENSITY-DEPENDENCE; PLANT INTERACTIONS; CUSHION PLANTS; COMPETITION; COMMUNITY; MECHANISMS; POPULATIONS; SUCCESSION; INTENSITY; DYNAMICS</t>
  </si>
  <si>
    <t>Where interspecific facilitation favors the establishment of high densities of a beneficiary species, strong intraspecific competition may subsequently impede beneficiary performance. Consequently, the negative influence of intraspecific competition between beneficiary individuals could potentially outweigh the positive influence of interspecific facilitation when, for example, higher densities of a beneficiary are negated by the negative effect of crowding on beneficiary reproduction. The aim of this study was, therefore, to examine the impact of an interspecific interaction on the outcome of intraspecific interactions within the context of plant-plant facilitation. We used the cushion-forming Azorella selago and a commonly co-occurring dominant perennial grass species, Agrostis magellanica, on sub-Antarctic Marion Island as a model system. We assessed the impact of an interspecific interaction (between A. selago and A. magellanica) on the outcome of intraspecific interactions (between A. magellanica individuals), by testing if the impact of A. magellanica density on A. magellanica performance is mediated by its interaction with A. selago. We observed evidence for competition among A. magellanica conspecifics, with a decreasing proportion of A. magellanica individuals being reproductive under higher conspecific density. This negative intraspecific effect was greater on A. selago than on the adjacent substrate, suggesting that the facilitative effect of A. selago changes the intensity of intraspecific interactions between A. magellanica individuals. However, experimentally reducing A. magellanica density did not affect the species' performance. We also observed that the effect of A. selago on A. magellanica was positive, and despite the negative effect of intraspecific density on the proportion of reproductive A. magellanica individuals, the net reproductive effort of A. magellanica (i.e., the density of reproductive individuals) was significantly greater on A. selago than on the adjacent substrate. These results highlight that, in abiotically severe environments, the positive effects of interspecific facilitation by a benefactor species may outweigh the negative effects of intraspecific competition among beneficiaries. More broadly, these results suggest that both positive inter- and intraspecific biotic interactions may be key to consider when examining spatial and temporal variation in species' performance.</t>
  </si>
  <si>
    <t>[Raath-Kruger, Morgan J.; le Roux, Peter C.] Univ Pretoria, Dept Plant &amp; Soil Sci, Private Bag X20, ZA-0002 Pretoria, South Africa; [Raath-Kruger, Morgan J.] Univ Johannesburg, Dept Zool, Ctr Ecol Genom &amp; Wildlife Conservat, POB 524, ZA-2006 Auckland Pk, South Africa; [Schob, Christian] Swiss Fed Inst Technol, Swiss Fed Inst Technol, Dept Environm Syst Sci, Zurich, Switzerland; [McGeoch, Melodie A.] La Trobe Univ, Sch Nat Sci, Dept Ecol Environm &amp; Evolut, Bundoora, Vic, Australia</t>
  </si>
  <si>
    <t>University of Pretoria; University of Johannesburg; La Trobe University</t>
  </si>
  <si>
    <t>Raath-Krüger, MJ (corresponding author), Univ Pretoria, Dept Plant &amp; Soil Sci, Private Bag X20, ZA-0002 Pretoria, South Africa.;Raath-Krüger, MJ (corresponding author), Univ Johannesburg, Dept Zool, Ctr Ecol Genom &amp; Wildlife Conservat, POB 524, ZA-2006 Auckland Pk, South Africa.</t>
  </si>
  <si>
    <t>morganj.r@hotmail.com</t>
  </si>
  <si>
    <t>le Roux, Peter Christiaan/E-7784-2011; Raath-Krüger, Morgan/AAM-8871-2020; Schöb, Christian/B-6083-2008; McGeoch, Melodie/F-8353-2011</t>
  </si>
  <si>
    <t>le Roux, Peter Christiaan/0000-0002-7941-7444; Raath-Krüger, Morgan/0000-0002-3326-1165; Schöb, Christian/0000-0003-4472-2286; McGeoch, Melodie/0000-0003-3388-2241</t>
  </si>
  <si>
    <t>South African National Antarctic Program (SANAP) [110726]; National Research Foundation (NRF) [SFH150727131155]; Swiss National Science Foundation [PPOOP3_170645]</t>
  </si>
  <si>
    <t>South African National Antarctic Program (SANAP); National Research Foundation (NRF); Swiss National Science Foundation(Swiss National Science Foundation (SNSF))</t>
  </si>
  <si>
    <t>The authors would like to thank the South African National Antarctic Program (SANAP; unique grant 110726), the National Research Foundation (NRF Scarce Skills Doctoral Scholarship, grant SFH150727131155), and the Swiss National Science Foundation (PPOOP3_170645) for funding. A special thanks to those who assisted with fieldwork, including Elana Mostert and Nothando Mhlongo. PEIMC1/2013 was issued by the Prince Edward Islands Management Committee. MJRK and PCLR designed the study with input from MAM and CS. MJRK collected the data, with additional data provided by PCLR and MAM. MJRK ran the analyses (with input from PCLR and CS), and MJRK and PCLR wrote the manuscript with input from CS and MAM.</t>
  </si>
  <si>
    <t>0012-9658</t>
  </si>
  <si>
    <t>1939-9170</t>
  </si>
  <si>
    <t>10.1002/ecy.3200</t>
  </si>
  <si>
    <t>PW0JK</t>
  </si>
  <si>
    <t>WOS:000583270800001</t>
  </si>
  <si>
    <t>Noisette, F; Depetris, A; Kühl, M; Brodersen, KE</t>
  </si>
  <si>
    <t>Noisette, Fanny; Depetris, Anna; Kuhl, Michael; Brodersen, Kasper Elgetti</t>
  </si>
  <si>
    <t>Flow and epiphyte growth effects on the thermal, optical and chemical microenvironment in the leaf phyllosphere of seagrass (Zostera marina)</t>
  </si>
  <si>
    <t>JOURNAL OF THE ROYAL SOCIETY INTERFACE</t>
  </si>
  <si>
    <t>eelgrass; epiphytes; hydrodynamics; microenvironment; microsensor; boundary layer</t>
  </si>
  <si>
    <t>NITRIC-OXIDE; THALASSIA-TESTUDINUM; BOUNDARY-LAYER; OXYGEN DYNAMICS; WATER-QUALITY; PHOTOSYNTHESIS; EELGRASS; LIGHT; PH; COMMUNITIES</t>
  </si>
  <si>
    <t>Intensified coastal eutrophication can result in an overgrowth of seagrass leaves by epiphytes, which is a major threat to seagrass habitats worldwide, but little is known about how epiphytic biofilms affect the seagrass phyllosphere. The physico-chemical microenvironment of Zostera marina L. leaves with and without epiphytes was mapped with electrochemical, thermocouple and scalar irradiance microsensors as a function of four irradiance conditions (dark, low, saturating and high light) and two water flow velocities (approx. 0.5 and 5 cm s(-1)), which resemble field conditions. The presence of epiphytes led to the build up of a diffusive boundary layer and a thermal boundary layer which impeded O-2 and heat transfer between the leaf surface and the surrounding water, resulting in a maximum increase of 0.8 degrees C relative to leaves with no epiphytes. Epiphytes also reduced the quantity and quality of light reaching the leaf, decreasing plant photosynthesis. In darkness, epiphyte respiration exacerbated hypoxic conditions, which can lead to anoxia and the production of potential phytotoxic nitric oxide in the seagrass phyllosphere. Epiphytic biofilm affects the local phyllosphere physico-chemistry both because of its metabolic activity (i.e. photosynthesis/respiration) and its physical properties (i.e. thickness, roughness, density and back-scattering properties). Leaf tissue warming can lead to thermal stress in seagrasses living close to their thermal stress threshold, and thus potentially aggravate negative effects of global warming.</t>
  </si>
  <si>
    <t>[Noisette, Fanny] GEOMAR Helmholtz Ctr Ocean Res, Dept Marine Ecol, Hohenbergstr 2, D-24105 Kiel, Germany; [Noisette, Fanny] Univ Tasmania, Inst Marine &amp; Antarctic Studies, 20 Castray Esplanade, Hobart, Tas 7004, Australia; [Depetris, Anna] Ecole Polytech Fed Lausanne, Route Cantonale, CH-1015 Lausanne, Switzerland; [Kuhl, Michael; Brodersen, Kasper Elgetti] Univ Copenhagen, Marine Biol Sect, Dept Biol, Strandpromenaden 5, DK-3000 Helsingor, Denmark</t>
  </si>
  <si>
    <t>Helmholtz Association; GEOMAR Helmholtz Center for Ocean Research Kiel; University of Tasmania; Swiss Federal Institutes of Technology Domain; Ecole Polytechnique Federale de Lausanne; University of Copenhagen</t>
  </si>
  <si>
    <t>Brodersen, KE (corresponding author), Univ Copenhagen, Marine Biol Sect, Dept Biol, Strandpromenaden 5, DK-3000 Helsingor, Denmark.</t>
  </si>
  <si>
    <t>kasper.elgetti.brodersen@bio.ku.dk</t>
  </si>
  <si>
    <t>Kühl, Michael/A-1977-2009</t>
  </si>
  <si>
    <t>Kühl, Michael/0000-0002-1792-4790; Brodersen, Kasper Elgetti/0000-0001-9010-1179; NOISETTE, Fanny/0000-0002-9672-2870</t>
  </si>
  <si>
    <t>Carlsberg Foundation [CF16-0899]; Villum Foundation [00028156]; Independent Research Fund Denmark [DFF-1323-00065B]; European Union's Horizon 2020 research and innovation programme under the Marie Sklodowska-Curie grant agreement [701366]; IMAP network from the Future Ocean Cluster; Swiss National Science Foundation; Marie Curie Actions (MSCA) [701366] Funding Source: Marie Curie Actions (MSCA)</t>
  </si>
  <si>
    <t>Carlsberg Foundation(Carlsberg Foundation); Villum Foundation(Villum Fonden); Independent Research Fund Denmark(Det Frie Forskningsrad (DFF)); European Union's Horizon 2020 research and innovation programme under the Marie Sklodowska-Curie grant agreement(Marie Curie Actions); IMAP network from the Future Ocean Cluster; Swiss National Science Foundation(Swiss National Science Foundation (SNSF)); Marie Curie Actions (MSCA)(Marie Curie Actions)</t>
  </si>
  <si>
    <t>The study was funded by a grant from the Carlsberg Foundation (CF16-0899; K.E.B.), the Villum Foundation (grant no. 00028156; K.E.B.) and by a grant from the Independent Research Fund Denmark (grant no. DFF-1323-00065B; M.K.). F.N. was supported by the European Union's Horizon 2020 research and innovation programme under the Marie Sklodowska-Curie grant agreement (no. 701366), as well as, the IMAP network from the Future Ocean Cluster. A.D. was supported by the Swiss National Science Foundation.</t>
  </si>
  <si>
    <t>1742-5689</t>
  </si>
  <si>
    <t>1742-5662</t>
  </si>
  <si>
    <t>J R SOC INTERFACE</t>
  </si>
  <si>
    <t>J. R. Soc. Interface</t>
  </si>
  <si>
    <t>10.1098/rsif.2020.0485</t>
  </si>
  <si>
    <t>OL4AZ</t>
  </si>
  <si>
    <t>WOS:000585286300001</t>
  </si>
  <si>
    <t>Lowther, AD; Staniland, I; Lydersen, C; Kovacs, KM</t>
  </si>
  <si>
    <t>Lowther, A. D.; Staniland, I.; Lydersen, C.; Kovacs, K. M.</t>
  </si>
  <si>
    <t>Male Antarctic fur seals: neglected food competitors of bioindicator species in the context of an increasing Antarctic krill fishery</t>
  </si>
  <si>
    <t>ARCTOCEPHALUS-GAZELLA; PENGUIN POPULATIONS; CHINSTRAP PENGUINS; ACOUSTIC DATA; MANAGEMENT; DYNAMICS; DIET; SEGREGATION; PREDATORS; ABUNDANCE</t>
  </si>
  <si>
    <t>The fishery for Antarctic krill is currently managed using a precautionary, ecosystem-based approach to limiting catch, with performance indices from a long-term monitoring program focused on several krill-dependent predators that are used to track ecosystem health. Concerns over increased fishing in concentrated areas and ongoing efforts to establish a Marine Protected Area along the Peninsula, a key fishing region, is driving the development of an adaptive management system for the fishery. The cumulative effects of fishing effort and interactions among krill-dependent predators and their performance is at present neglected in the CCAMLR Ecosystem Monitoring Program. However, we show considerable overlap between male Antarctic fur seals and the krill fishery in a complex mosaic, suggesting potential for cumulative impacts on other krill dependent predators. A holistic view is required as part of future efforts to manage the krill fishery that incorporates various sources of potential impacts on the performance of bioindicator species, including the fishery and its interactions with various krill dependent predators.</t>
  </si>
  <si>
    <t>[Lowther, A. D.; Lydersen, C.; Kovacs, K. M.] Norwegian Polar Res Inst, Tromso, Norway; [Staniland, I.] British Antarctic Survey, Cambridge, England</t>
  </si>
  <si>
    <t>Norwegian Polar Institute; UK Research &amp; Innovation (UKRI); Natural Environment Research Council (NERC); NERC British Antarctic Survey</t>
  </si>
  <si>
    <t>Lowther, AD (corresponding author), Norwegian Polar Res Inst, Tromso, Norway.</t>
  </si>
  <si>
    <t>andy.lowther@pm.me</t>
  </si>
  <si>
    <t>Lowther, Andrew/0000-0003-4294-3157</t>
  </si>
  <si>
    <t>Norwegian Polar Institute; British Antarctic Survey; NERC [bas0100035] Funding Source: UKRI</t>
  </si>
  <si>
    <t>Norwegian Polar Institute; British Antarctic Survey; NERC(UK Research &amp; Innovation (UKRI)Natural Environment Research Council (NERC))</t>
  </si>
  <si>
    <t>We would like to thank the captain and crew of the RSS James Clarke Ross for logistical support at the South Orkney Islands, and both the Norwegian Polar Institute and British Antarctic Survey for funding and support for instrumentation and additional field logistical costs. We would also like to thank the comments from two anonymous reviewers, which improved the manuscript.</t>
  </si>
  <si>
    <t>10.1038/s41598-020-75148-9</t>
  </si>
  <si>
    <t>OO8UW</t>
  </si>
  <si>
    <t>WOS:000587650700022</t>
  </si>
  <si>
    <t>Fabricius, KE; Neill, C; Van Ooijen, E; Smith, JN; Tilbrook, B</t>
  </si>
  <si>
    <t>Fabricius, Katharina E.; Neill, Craig; Van Ooijen, Erik; Smith, Joy N.; Tilbrook, Bronte</t>
  </si>
  <si>
    <t>Progressive seawater acidification on the Great Barrier Reef continental shelf</t>
  </si>
  <si>
    <t>SURFACE OCEAN PCO(2); CARBONATE CHEMISTRY; SEASONAL VARIABILITY; ANTHROPOGENIC CHANGE; TIME-SERIES; CO2; IMPACTS; MARINE; DISSOCIATION; RECORD</t>
  </si>
  <si>
    <t>Coral reefs are highly sensitive to ocean acidification due to rising atmospheric CO2 concentrations. We present 10 years of data (2009-2019) on the long-term trends and sources of variation in the carbon chemistry from two fixed stations in the Australian Great Barrier Reef. Data from the subtropical mid-shelf GBRWIS comprised 3-h instrument records, and those from the tropical coastal NRSYON were monthly seawater samples. Both stations recorded significant variation in seawater CO2 fugacity (fCO(2)), attributable to seasonal, daytime, temperature and salinity fluctuations. Superimposed over this variation, fCO(2) progressively increased by &gt; 2.0 +/- 0.3 mu atm year(-1) at both stations. Seawater temperature and salinity also increased throughout the decade, whereas seawater pH and the saturation state of aragonite declined. The decadal upward fCO(2) trend remained significant in temperature- and salinity-normalised data. Indeed, annual fCO(2) minima are now higher than estimated fCO(2) maxima in the early 1960s, with mean fCO(2) now similar to 28% higher than 60 years ago. Our data indicate that carbonate dissolution from the seafloor is currently unable to buffer the Great Barrier Reef against ocean acidification. This is of great concern for the thousands of coral reefs and other diverse marine ecosystems located in this vast continental shelf system.</t>
  </si>
  <si>
    <t>[Fabricius, Katharina E.; Smith, Joy N.] Australian Inst Marine Sci, PMB 3, Townsville, Qld 4810, Australia; [Neill, Craig; Van Ooijen, Erik; Tilbrook, Bronte] CSIRO Oceans &amp; Atmosphere, Castray Esplanade, Battery Point 7004, Australia; [Tilbrook, Bronte] Univ Tasmania, Australian Antarctic Program Partnership, Hobart, Tas 7001, Australia</t>
  </si>
  <si>
    <t>Australian Institute of Marine Science; Commonwealth Scientific &amp; Industrial Research Organisation (CSIRO); University of Tasmania</t>
  </si>
  <si>
    <t>Fabricius, KE (corresponding author), Australian Inst Marine Sci, PMB 3, Townsville, Qld 4810, Australia.</t>
  </si>
  <si>
    <t>k.fabricius@aims.gov.au</t>
  </si>
  <si>
    <t>Tilbrook, Bronte/A-1522-2012; van Ooijen, Eikbert D/C-9502-2009; Fabricius, Katharina/F-1759-2010</t>
  </si>
  <si>
    <t>van Ooijen, Erik/0000-0002-5059-5271; Fabricius, Katharina/0000-0001-7671-4358</t>
  </si>
  <si>
    <t>Australian Government; Australian Climate Change Science Program in cooperation - AIMS; CSIRO; IMOS</t>
  </si>
  <si>
    <t>Australian Government(Australian Government); Australian Climate Change Science Program in cooperation - AIMS; CSIRO(Commonwealth Scientific &amp; Industrial Research Organisation (CSIRO)); IMOS</t>
  </si>
  <si>
    <t>We thank all members of the CSIRO and AIMS teams who have contributed to the field and lab work to maintain the NRSYON and GBRWIS data streams, and the gas sampling site at the Cape Ferguson station, including Irena Zagorskis, Michelle Skuza, Felicity McAllister, John Luetchford, Abe Passmore, Kate Berry, the CSIRO moorings team, and many others. The monitoring program at NRSYON and GBRWIS are initiatives of Australia's Integrated Marine Observing System (IMOS), enabled by the National Collaborative Research Infrastructure Strategy (NCRIS) and is supported by the Australian Government. IMOS is operated by a consortium of institutions as an unincorporated joint venture, with the University of Tasmania as Lead Agent. The GBRWIS mooring was supported through the Australian Climate Change Science Program in cooperation with NOAA-PMEL until 2016, then as an IMOS sub-facility project, both led by BT. Ray Langenfelds and Paul Krummel (CSIRO GASLAB, Aspendale) kindly provided the atmospheric CO2 data from Cape Ferguson. We thank Eduardo Klein and Janice Lough for contributions to temperature and air sample data extractions, Murray Logan and Glenn De'ath for statistical advice, and Jon Brodie for comments on the manuscript. The study was funded by AIMS, CSIRO and IMOS. The authors acknowledge the Bindal People (NRSYON site) and the Taribelang Bunda People, Gooreng Gorreng People, Gurang People and Bailai People (GBRWIS site) as the Traditional Owners of the sea country where this work took place. We pay our respects to their Elders past, present and emerging, and we acknowledge their continuing spiritual connection to their sea country.</t>
  </si>
  <si>
    <t>OCT 27</t>
  </si>
  <si>
    <t>10.1038/s41598-020-75293-1</t>
  </si>
  <si>
    <t>QD2SF</t>
  </si>
  <si>
    <t>WOS:000615374100001</t>
  </si>
  <si>
    <t>Frainer, A; Mustonen, T; Hugu, S; Andreeva, T; Arttijeff, EM; Arttijeff, IS; Brizoela, F; Coelho-de-Souza, G; Printes, RB; Prokhorova, E; Sambou, S; Scherer, A; Shadrin, V; Pecl, G</t>
  </si>
  <si>
    <t>Frainer, Andre; Mustonen, Tero; Hugu, Sutej; Andreeva, Tamara; Arttijeff, Elle-Maarit; Arttijeff, Inka-Saara; Brizoela, Felipe; Coelho-de-Souza, Gabriela; Printes, Rafaela Biehl; Prokhorova, Evgenia; Sambou, Salatou; Scherer, Antoine; Shadrin, Vyacheslav; Pecl, Gretta</t>
  </si>
  <si>
    <t>Cultural and linguistic diversities are underappreciated pillars of biodiversity</t>
  </si>
  <si>
    <t>PROCEEDINGS OF THE NATIONAL ACADEMY OF SCIENCES OF THE UNITED STATES OF AMERICA</t>
  </si>
  <si>
    <t>BIOLOGICAL DIVERSITY</t>
  </si>
  <si>
    <t>[Frainer, Andre] Norwegian Inst Nat Res NINA, N-9007 Tromso, Norway; [Frainer, Andre] UiT Arctic Univ Norway, Fac Biosci Fisheries &amp; Econ, N-9037 Tromso, Norway; [Mustonen, Tero; Prokhorova, Evgenia] Snowchange Cooperat, FIN-81235 Lehtoi, Finland; [Hugu, Sutej] DICCA Consortium Coordinator East Asia &amp; Represen, Lanyu Township 952, Taiwan; [Andreeva, Tamara; Shadrin, Vyacheslav] Russian Acad Sci, Inst Humanities, Yakutsk 677000, Russia; [Coelho-de-Souza, Gabriela] Fed Univ Rio Grande Sul UFRGS, Programa Posgrad Desenvolvimento Rural, BR-90040000 Porto Alegre, RS, Brazil; [Printes, Rafaela Biehl] State Univ Rio Grande Sul UERGS, BR-96760000 Tapes, RS, Brazil; [Scherer, Antoine] Univ Eastern Finland, FIN-80100 Joensuu, Finland; [Pecl, Gretta] Univ Tasmania, Ctr Marine Socioecol, Hobart, Tas 7001, Australia; [Pecl, Gretta] Univ Tasmania, Inst Marine &amp; Antarctic Studies, Hobart, Tas 7001, Australia</t>
  </si>
  <si>
    <t>Norwegian Institute Nature Research; UiT The Arctic University of Tromso; Russian Academy of Sciences; Universidade Federal do Rio Grande do Sul; Universidade Estadual do Rio Grande do Sul (UERGS); University of Eastern Finland; University of Tasmania; University of Tasmania</t>
  </si>
  <si>
    <t>Frainer, A (corresponding author), Norwegian Inst Nat Res NINA, N-9007 Tromso, Norway.;Frainer, A (corresponding author), UiT Arctic Univ Norway, Fac Biosci Fisheries &amp; Econ, N-9037 Tromso, Norway.</t>
  </si>
  <si>
    <t>andre.frainer@nina.no</t>
  </si>
  <si>
    <t>Frainer, André/G-4545-2014; Тамара, Андреева/J-9117-2018; Pecl, Gretta/D-7267-2011; Shadrin, Vyacheslav I/I-4313-2017</t>
  </si>
  <si>
    <t>Frainer, André/0000-0002-3703-7152; Тамара, Андреева/0000-0002-9957-9184; Pecl, Gretta/0000-0003-0192-4339; Shadrin, Vyacheslav I/0000-0002-8941-4634; Biehl Printes, Rafaela/0000-0002-2455-9314; Hugu, Sutej/0000-0002-6498-2467; Scherer, Antoine/0000-0002-5064-5515</t>
  </si>
  <si>
    <t>European Union (EU) Horizon 2020 Project ClimeFish [677039]; Australian Research Council Future Fellowship</t>
  </si>
  <si>
    <t>European Union (EU) Horizon 2020 Project ClimeFish(European Union (EU)); Australian Research Council Future Fellowship(Australian Research Council)</t>
  </si>
  <si>
    <t>This article emerged from discussions at the http://www.speciesonthemove.com conference held at Kruger National Park in 2019. We acknowledge and pay respect to the traditional owners and custodians of land and sea country all around the world, and we recognize their collective wisdom and knowledge of our oceans and coasts. We specifically extend our deep gratitude to the Elders and knowledge holders from the Indigenous Peoples highlighted throughout this text, some of whom have shared knowledge here that has not previously been made public. We also thank an anonymous reviewer whose suggestions improved the article. Support was given to A.F. by the European Union (EU) Horizon 2020 Project ClimeFish (677039) and to G.P. by an Australian Research Council Future Fellowship. Snowchange generously provided the opportunity for S.S., I.-S.A., E.-M.A., A.S., T.A., E.P., V.S., T.M., and S.H. to participate in the writing by covering their work time and efforts. Thank you to Michael and Shirley Traynor for providing financial assistance for some of the Indigenous participants to attend Species on the Move.</t>
  </si>
  <si>
    <t>NATL ACAD SCIENCES</t>
  </si>
  <si>
    <t>2101 CONSTITUTION AVE NW, WASHINGTON, DC 20418 USA</t>
  </si>
  <si>
    <t>0027-8424</t>
  </si>
  <si>
    <t>P NATL ACAD SCI USA</t>
  </si>
  <si>
    <t>Proc. Natl. Acad. Sci. U. S. A.</t>
  </si>
  <si>
    <t>10.1073/pnas.2019469117</t>
  </si>
  <si>
    <t>OH6ZD</t>
  </si>
  <si>
    <t>WOS:000582743300001</t>
  </si>
  <si>
    <t>Wunderling, N; Willeit, M; Donges, JF; Winkelmann, R</t>
  </si>
  <si>
    <t>Wunderling, Nico; Willeit, Matteo; Donges, Jonathan F.; Winkelmann, Ricarda</t>
  </si>
  <si>
    <t>Global warming due to loss of large ice masses and Arctic summer sea ice</t>
  </si>
  <si>
    <t>SYSTEM MODEL; INTERMEDIATE COMPLEXITY; ALBEDO FEEDBACK; CLIMATE; SHEET; CONSEQUENCES; CLIMBER-2; COLLAPSE; PLIOCENE; BALANCE</t>
  </si>
  <si>
    <t>Several large-scale cryosphere elements such as the Arctic summer sea ice, the mountain glaciers, the Greenland and West Antarctic Ice Sheet have changed substantially during the last century due to anthropogenic global warming. However, the impacts of their possible future disintegration on global mean temperature (GMT) and climate feedbacks have not yet been comprehensively evaluated. Here, we quantify this response using an Earth system model of intermediate complexity. Overall, we find a median additional global warming of 0.43 degrees C (interquartile range: 0.39-0.46 degrees C) at a CO2 concentration of 400 ppm. Most of this response (55%) is caused by albedo changes, but lapse rate together with water vapour (30%) and cloud feedbacks (15%) also contribute significantly. While a decay of the ice sheets would occur on centennial to millennial time scales, the Arctic might become ice-free during summer within the 21st century. Our findings imply an additional increase of the GMT on intermediate to long time scales. The disintegration of cryosphere elements such as the Arctic summer sea ice, mountain glaciers, Greenland and West Antarctica is associated with temperature and radiative feedbacks. In this work, the authors quantify these feedbacks and find an additional global warming of 0.43 degrees C.</t>
  </si>
  <si>
    <t>[Wunderling, Nico; Willeit, Matteo; Donges, Jonathan F.; Winkelmann, Ricarda] Potsdam Inst Climate Impact Res PIK, Leibniz Assoc, Earth Syst Anal, D-14473 Potsdam, Germany; [Wunderling, Nico; Winkelmann, Ricarda] Univ Potsdam, Inst Phys &amp; Astron, D-14476 Potsdam, Germany; [Wunderling, Nico] Humboldt Univ, Dept Phys, D-12489 Berlin, Germany; [Donges, Jonathan F.] Stockholm Univ, Stockholm Resilience Ctr, SE-10691 Stockholm, Sweden</t>
  </si>
  <si>
    <t>Potsdam Institut fur Klimafolgenforschung; University of Potsdam; Humboldt University of Berlin; Stockholm University</t>
  </si>
  <si>
    <t>Wunderling, N; Winkelmann, R (corresponding author), Potsdam Inst Climate Impact Res PIK, Leibniz Assoc, Earth Syst Anal, D-14473 Potsdam, Germany.;Winkelmann, R (corresponding author), Univ Potsdam, Inst Phys &amp; Astron, D-14476 Potsdam, Germany.</t>
  </si>
  <si>
    <t>nico.wunderling@pik-potsdam.de; ricarda.winkelmann@pik-potsdam.de</t>
  </si>
  <si>
    <t>Keyes, Dennis/AAZ-9285-2021; Donges, Jonathan F./HCI-2311-2022; Willeit, Matteo/GWQ-9457-2022</t>
  </si>
  <si>
    <t>Willeit, Matteo/0000-0003-3998-6404; Wunderling, Nico/0000-0002-3566-323X; Donges, Jonathan/0000-0001-5233-7703</t>
  </si>
  <si>
    <t>National Science Foundation [1718550]; Div Of Information &amp; Intelligent Systems; Direct For Computer &amp; Info Scie &amp; Enginr [1718550] Funding Source: National Science Foundation</t>
  </si>
  <si>
    <t>National Science Foundation(National Science Foundation (NSF)); Div Of Information &amp; Intelligent Systems; Direct For Computer &amp; Info Scie &amp; Enginr(National Science Foundation (NSF)NSF - Directorate for Computer &amp; Information Science &amp; Engineering (CISE))</t>
  </si>
  <si>
    <t>This work was carried out under the grant number 1718550 from the National Science Foundation. This grant was awarded based on the broader research program this work was conceived under and its funders had no role in the conceptualization, design, data collection, analysis, decision to publish, or preparation of the manuscript.</t>
  </si>
  <si>
    <t>10.1038/s41467-020-18934-3</t>
  </si>
  <si>
    <t>OZ0JN</t>
  </si>
  <si>
    <t>WOS:000594622700008</t>
  </si>
  <si>
    <t>Sohm, JA; Niederberger, TD; Parker, AE; Tirindelli, J; Gunderson, T; Cary, SC; Capone, DG; Carpenter, EJ</t>
  </si>
  <si>
    <t>Sohm, Jill A.; Niederberger, Thomas D.; Parker, Alexander E.; Tirindelli, Joelle; Gunderson, Troy; Cary, Stephen Craig; Capone, Douglas G.; Carpenter, Edward J.</t>
  </si>
  <si>
    <t>Microbial Mats of the McMurdo Dry Valleys, Antarctica: Oases of Biological Activity in a Very Cold Desert</t>
  </si>
  <si>
    <t>FRONTIERS IN MICROBIOLOGY</t>
  </si>
  <si>
    <t>Dry Valleys; cyanobacteria; microbial mats; meltwater streams; MATS; diazotrophs</t>
  </si>
  <si>
    <t>NITROGEN-FIXATION; TAYLOR VALLEY; HYPORHEIC EXCHANGE; MELTWATER STREAMS; INORGANIC CARBON; SOIL CRUSTS; ECOSYSTEMS; MARINE; DYNAMICS</t>
  </si>
  <si>
    <t>Cyanobacterial mats in the Antarctic Dry Valleys are photosynthetic microbial ecosystems living at the extreme of conditions on Earth with respect to temperature, light, water and nutrient availability. They are metabolically active for about 8 weeks during the austral summer when temperatures briefly rise above freezing and glacial and lake melt waters are available. There is much to learn about the biogeochemical impact of mats in these environments and the microbial communities associated with them. Our data demonstrate that these mats attain surprisingly high rates of carbon (CO2) and dinitrogen (N-2) fixation when liquid water is available, in some cases comparable to rates in warmer temperate or tropical environments. C and N-2 fixation in Dry Valley mats in turn substantially elevate dissolved organic C and inorganic N pools and thereby promote enhanced microbial secondary production. Moreover, the microbial community fingerprint of these mats is unique compared with the more ubiquitous dry soils that do not contain mats. Components of the heterotrophic microbiota may also contribute substantially to N inputs through N-2 fixation.</t>
  </si>
  <si>
    <t>[Sohm, Jill A.; Gunderson, Troy; Capone, Douglas G.] Univ Southern Calif, Dept Biol Sci, Marine &amp; Environm Biol Sect, Los Angeles, CA 90007 USA; [Sohm, Jill A.] Univ Southern Calif, Environm Studies Program, Los Angeles, CA 90007 USA; [Niederberger, Thomas D.; Cary, Stephen Craig] Univ Delaware, Coll Earth Ocean &amp; Environm, Lewes, DE 19958 USA; [Parker, Alexander E.; Tirindelli, Joelle; Carpenter, Edward J.] San Francisco State Univ, Estuary &amp; Ocean Sci Ctr, Tiburon, CA 94920 USA; [Parker, Alexander E.] Calif State Univ Maritime Acad, Dept Sci &amp; Math, Vallejo, CA 94590 USA; [Cary, Stephen Craig] Univ Waikato, Int Ctr Terr Antarctic Res, Hamilton, New Zealand</t>
  </si>
  <si>
    <t>University of Southern California; University of Southern California; University of Delaware; California State University System; San Francisco State University; University of Waikato</t>
  </si>
  <si>
    <t>Sohm, JA (corresponding author), Univ Southern Calif, Dept Biol Sci, Marine &amp; Environm Biol Sect, Los Angeles, CA 90007 USA.;Sohm, JA (corresponding author), Univ Southern Calif, Environm Studies Program, Los Angeles, CA 90007 USA.;Parker, AE (corresponding author), San Francisco State Univ, Estuary &amp; Ocean Sci Ctr, Tiburon, CA 94920 USA.;Parker, AE (corresponding author), Calif State Univ Maritime Acad, Dept Sci &amp; Math, Vallejo, CA 94590 USA.</t>
  </si>
  <si>
    <t>sohm@usc.edu; aparker@csun.edu</t>
  </si>
  <si>
    <t>Cary, Stephen/0000-0002-2876-2387</t>
  </si>
  <si>
    <t>National Science Foundation (NSF) [ANT 0739648, 1246292, ANT 0739633, 1246102, ANT 0739640]; Antarctica New Zealand; New Zealand Foundation for Research, Science and Technology [UOWX0710]; New Zealand Ministry of Business, Innovation and Employment [UOWX1401]; New Zealand Ministry of Business, Innovation &amp; Employment (MBIE) [UOWX1401] Funding Source: New Zealand Ministry of Business, Innovation &amp; Employment (MBIE)</t>
  </si>
  <si>
    <t>National Science Foundation (NSF)(National Science Foundation (NSF)National Research Foundation of Korea); Antarctica New Zealand; New Zealand Foundation for Research, Science and Technology(New Zealand Foundation for Research, Science and Technology); New Zealand Ministry of Business, Innovation and Employment(New Zealand Ministry of Business, Innovation and Employment (MBIE)); New Zealand Ministry of Business, Innovation &amp; Employment (MBIE)(New Zealand Ministry of Business, Innovation and Employment (MBIE))</t>
  </si>
  <si>
    <t>This research was supported by National Science Foundation (NSF) grants ANT 0739648 and 1246292 (to SC), ANT 0739633 and 1246102 (to DC), and ANT 0739640 (to EC). The work was also supported by a logistics grant from Antarctica New Zealand, from the New Zealand Foundation for Research, Science and Technology (UOWX0710), and the New Zealand Ministry of Business, Innovation and Employment (UOWX1401) to SC in support of the NZTABS program.</t>
  </si>
  <si>
    <t>1664-302X</t>
  </si>
  <si>
    <t>FRONT MICROBIOL</t>
  </si>
  <si>
    <t>Front. Microbiol.</t>
  </si>
  <si>
    <t>10.3389/fmicb.2020.537960</t>
  </si>
  <si>
    <t>OP1BK</t>
  </si>
  <si>
    <t>WOS:000587815900001</t>
  </si>
  <si>
    <t>Dale, ER; Katurji, M; McDonald, AJ; Voss, P; Rack, W; Seto, D</t>
  </si>
  <si>
    <t>Dale, Ethan R.; Katurji, Marwan; McDonald, Adrian J.; Voss, Paul; Rack, Wolfgang; Seto, Daisuke</t>
  </si>
  <si>
    <t>A Comparison of AMPS Forecasts Near the Ross Sea Polynya With Controlled Meteorological Balloon Observations</t>
  </si>
  <si>
    <t>JOURNAL OF GEOPHYSICAL RESEARCH-ATMOSPHERES</t>
  </si>
  <si>
    <t>polar meteorology; long‐ duration balloon; AMPS forecast; Ross Sea</t>
  </si>
  <si>
    <t>ATMOSPHERIC BOUNDARY-LAYER; ICE SHELF; MESOSCALE CYCLOGENESIS; HEAT FLUXES; CLIMATOLOGY; REGION; SUMMER; OCEAN</t>
  </si>
  <si>
    <t>This study presents atmospheric boundary layer observations made over the Ross Sea using a long-duration Controlled Meteorological (CMET) balloon and a comparison with Antarctic Mesoscale prediction System (AMPS) forecasts. The CMET balloon was launched on 22 November 2017 at 1230 UTC; this flight performed 31 repeated soundings of the atmospheric boundary layer over a period of 70 hr. During the flight the balloon made close passes of the open Terra Nova Bay and Ross Sea polynyas. We use the AMPS forecast during the flight to understand the influence of the polynya on the air sampled by the CMET balloon. Balloon observations of temperature, humidity, and wind velocity generally agree with AMPS forecasts, with the largest disparities in the wind direction field during periods of light wind and when the path of the balloon was near complex topography. To understand the thermodynamic interaction between these polynyas and the atmospheric volume sampled by the balloon, a Lagrangian trajectory model forced by AMPS winds was used to calculate the total and partial derivatives of potential temperature as well as the total water mixing ratio. This allowed us to assess the thermodynamic profile of the overlying atmospheric boundary layer. Based on analysis of the AMPS forecast, we were able to identify a region of warming air with an area of 20,000 km(2), centered over the Ross Sea Polynya which was providing a strong heat source at the time of the balloon flight.</t>
  </si>
  <si>
    <t>[Dale, Ethan R.; McDonald, Adrian J.] Univ Canterbury, Sch Phys &amp; Chem Sci, Christchurch, New Zealand; [Dale, Ethan R.; McDonald, Adrian J.; Rack, Wolfgang] Univ Canterbury, Gateway Antarct, Christchurch, New Zealand; [Katurji, Marwan; Seto, Daisuke] Univ Canterbury, Ctr Atmospher Res, Christchurch, New Zealand; [Voss, Paul] Smith Coll, Picker Engn Program, Northampton, MA USA</t>
  </si>
  <si>
    <t>University of Canterbury; University of Canterbury; University of Canterbury; Smith College</t>
  </si>
  <si>
    <t>Dale, ER (corresponding author), Univ Canterbury, Sch Phys &amp; Chem Sci, Christchurch, New Zealand.;Dale, ER (corresponding author), Univ Canterbury, Gateway Antarct, Christchurch, New Zealand.</t>
  </si>
  <si>
    <t>ethan.dale@pg.canterbury.ac.nz</t>
  </si>
  <si>
    <t>Rack, Wolfgang/U-8898-2017</t>
  </si>
  <si>
    <t>Rack, Wolfgang/0000-0003-2447-377X; McDonald, Adrian/0000-0002-1456-6254; Katurji, Marwan/0000-0002-3368-1469</t>
  </si>
  <si>
    <t>New Zealand Antarctic Research Institute (NZARI); New Zealand Post; Department of Physical and Chemical Sciences at the University of Canterbury</t>
  </si>
  <si>
    <t>We acknowledge the National Center for Atmospheric Research and the Byrd Polar Research Center for providing AMPS output. This study was funded by a grant from the New Zealand Antarctic Research Institute (NZARI) and supported by scholarships from New Zealand Post (administered by Antarctica New Zealand) and the Department of Physical and Chemical Sciences at the University of Canterbury. We also thank Antarctica New Zealand and Programma Nazionale di Ricerche in Antartide (PNRA) for providing logistics support.</t>
  </si>
  <si>
    <t>2169-897X</t>
  </si>
  <si>
    <t>2169-8996</t>
  </si>
  <si>
    <t>J GEOPHYS RES-ATMOS</t>
  </si>
  <si>
    <t>J. Geophys. Res.-Atmos.</t>
  </si>
  <si>
    <t>e2019JD030591</t>
  </si>
  <si>
    <t>10.1029/2019JD030591</t>
  </si>
  <si>
    <t>OP9GO</t>
  </si>
  <si>
    <t>WOS:000588398800022</t>
  </si>
  <si>
    <t>Truong, SCH; Huang, Y; Lang, F; Messmer, M; Simmonds, I; Siems, ST; Manton, MJ</t>
  </si>
  <si>
    <t>Truong, S. C. H.; Huang, Y.; Lang, F.; Messmer, M.; Simmonds, I.; Siems, S. T.; Manton, M. J.</t>
  </si>
  <si>
    <t>A Climatology of the Marine Atmospheric Boundary Layer Over the Southern Ocean From Four Field Campaigns During 2016-2018</t>
  </si>
  <si>
    <t>marine atmospheric boundary layer (MABL); multi‐ layer clouds; inversion; decoupling; Southern Ocean</t>
  </si>
  <si>
    <t>LOW-ALTITUDE CLOUDS; STRATOCUMULUS; MODEL; PRECIPITATION; SIMULATIONS; VARIABILITY; STABILITY; BEHAVIOR; COVER</t>
  </si>
  <si>
    <t>A climatology of the marine atmospheric boundary layer (MABL) and the lower free troposphere over the Southern Ocean (SO) is constructed using 2,186 high-resolution atmospheric soundings from four recent campaigns conducted in the period of 2016-2018. Relationships between the synoptic meteorology and MABL thermodynamic structure are examined using a k-means cluster analysis, complemented by front and cyclone composite analyses. Seven distinct clusters are identified, five of which are consistent with an established climatology over the SO storm track. Two new clusters (C1 and C2) are introduced over the high-latitude SO. C1 is commonly located poleward of the ocean polar front near mesocyclones, while C2 is located along the Antarctic coastline. A multilayer cloud structure is frequently present in clusters in the vicinity of fronts and cyclones, while a single-layer coverage is more common in a suppressed environment, particularly at lower latitudes. A cloud-free, multilevel inversion is frequently observed in cluster C2, possibly linked to the descending, dry, katabatic winds off the Antarctic coast. A strong, primary inversion is typically present in clusters at lower latitudes with high mean sea level pressure. Across the SO storm track and higher latitudes (cluster C1), a multilevel inversion structure is also commonly observed. A preliminary analysis of two case studies suggests that upper level advection and detrainment of convection associated with mesocyclones are potential drivers of the multilayer cloud coverage over the high-latitude SO rather than the decoupling mechanisms common in the subtropics.</t>
  </si>
  <si>
    <t>[Truong, S. C. H.; Lang, F.; Siems, S. T.; Manton, M. J.] Monash Univ, Sch Earth Atmosphere &amp; Environm, Melbourne, Vic, Australia; [Truong, S. C. H.; Huang, Y.; Siems, S. T.] Australian Res Council, Ctr Excellence Climate Extremes CLEX, Melbourne, Vic, Australia; [Huang, Y.; Messmer, M.; Simmonds, I.] Univ Melbourne, Sch Earth Sci, Melbourne, Vic, Australia</t>
  </si>
  <si>
    <t>Melbourne Genomics Health Alliance; Monash University; Melbourne Genomics Health Alliance; University of Melbourne; Melbourne Bioinformatics</t>
  </si>
  <si>
    <t>Truong, SCH (corresponding author), Monash Univ, Sch Earth Atmosphere &amp; Environm, Melbourne, Vic, Australia.;Truong, SCH (corresponding author), Australian Res Council, Ctr Excellence Climate Extremes CLEX, Melbourne, Vic, Australia.</t>
  </si>
  <si>
    <t>son.truong@monash.edu</t>
  </si>
  <si>
    <t>Truong, Son C. H./HKW-5107-2023; Siems, Steven T/C-8339-2013</t>
  </si>
  <si>
    <t>Truong, Son C. H./0000-0001-6498-5214; Siems, Steven T/0000-0002-8478-533X; Lang, Francisco/0000-0002-8595-4836; Messmer, Martina/0000-0001-6835-4508; Huang, Yi/0000-0001-8144-1227</t>
  </si>
  <si>
    <t>Australian Research Council [DP190101362]</t>
  </si>
  <si>
    <t>Australian Research Council(Australian Research Council)</t>
  </si>
  <si>
    <t>This work is supported by an Australian Research Council discovery grant DP190101362. The authors deeply thank the entire CAPRICORN, MARCUS, MICRE, and SOCRATES teams for their tremendous efforts and dedication in collecting the data sets. We thank the CSIRO MNF for its great support and service. We greatly appreciate Micheal Reeder from Monash University for providing support with the front identification algorithm. We sincerely thank Alain Protat at The Bureau of Meteorology, Australia and Dr. Peter May at Monash University for insightful comments on the work.</t>
  </si>
  <si>
    <t>e2020JD033214</t>
  </si>
  <si>
    <t>10.1029/2020JD033214</t>
  </si>
  <si>
    <t>WOS:000588398800003</t>
  </si>
  <si>
    <t>Weaver, CJ; Bhartia, PK; Wu, DL; Labow, GJ; Haffner, DE</t>
  </si>
  <si>
    <t>Weaver, Clark J.; Bhartia, Pawan K.; Wu, Dong L.; Labow, Gordon J.; Haffner, David E.</t>
  </si>
  <si>
    <t>Inter-calibration of nine UV sensing instruments over Antarctica and Greenland since 1980</t>
  </si>
  <si>
    <t>ATMOSPHERIC MEASUREMENT TECHNIQUES</t>
  </si>
  <si>
    <t>REFLECTIVITY; CLOUD</t>
  </si>
  <si>
    <t>Nadir-viewed intensities (radiances) from nine UV sensing satellite instruments are calibrated over the East Antarctic Plateau and Greenland during summer. The calibrated radiances from these UV instruments ultimately will provide a global long-term record of cloud trends and cloud response from ENSO events since 1980. We first remove the strong solar zenith angle dependence from the intensities using an empirical approach rather than a radiative transfer model. Then small multiplicative adjustments are made to these solar zenith angle normalized intensities in order to minimize differences when two or more instruments temporally overlap. While the calibrated intensities show a negligible long-term trend over Antarctica and a statistically insignificant UV albedo trend of -0.05% per decade over the interior of Greenland, there are small episodic reductions in intensities which are often seen by multiple instruments. Three of these darkening events are explained by boreal forest. Other events are caused by surface melting or volcanoes. We estimate a 2-sigma uncertainty of 0.35% for the calibrated radiances.</t>
  </si>
  <si>
    <t>[Weaver, Clark J.; Bhartia, Pawan K.; Labow, Gordon J.; Haffner, David E.] NASA, Atmospher Chem &amp; Dynam Branch, Goddard Space Flight Ctr, Greenbelt, MD 20771 USA; [Weaver, Clark J.] Univ Maryland, Earth Syst Sci Interdisciplinary Ctr ESSIC, College Pk, MD 20742 USA; [Wu, Dong L.] NASA, Climate &amp; Radiat Lab, Goddard Space Flight Ctr, Greenbelt, MD 20771 USA; [Labow, Gordon J.; Haffner, David E.] Sci Syst &amp; Applicat SSAI Inc, Lanham, MD 20706 USA</t>
  </si>
  <si>
    <t>National Aeronautics &amp; Space Administration (NASA); NASA Goddard Space Flight Center; University System of Maryland; University of Maryland College Park; National Aeronautics &amp; Space Administration (NASA); NASA Goddard Space Flight Center</t>
  </si>
  <si>
    <t>Weaver, CJ (corresponding author), NASA, Atmospher Chem &amp; Dynam Branch, Goddard Space Flight Ctr, Greenbelt, MD 20771 USA.;Weaver, CJ (corresponding author), Univ Maryland, Earth Syst Sci Interdisciplinary Ctr ESSIC, College Pk, MD 20742 USA.</t>
  </si>
  <si>
    <t>clark.j.weaver@nasa.gov</t>
  </si>
  <si>
    <t>Wu, Dong L/D-5375-2012; Haffner, David Patrick/O-2929-2013</t>
  </si>
  <si>
    <t>Wu, Dong/0000-0002-3490-9437; Haffner, David Patrick/0000-0003-1747-634X</t>
  </si>
  <si>
    <t>NASA Long Term Measurement of Ozone [WBS 479717]</t>
  </si>
  <si>
    <t>NASA Long Term Measurement of Ozone</t>
  </si>
  <si>
    <t>This research has been supported by the NASA Long Term Measurement of Ozone (grant no. WBS 479717).</t>
  </si>
  <si>
    <t>1867-1381</t>
  </si>
  <si>
    <t>1867-8548</t>
  </si>
  <si>
    <t>ATMOS MEAS TECH</t>
  </si>
  <si>
    <t>Atmos. Meas. Tech.</t>
  </si>
  <si>
    <t>10.5194/amt-13-5715-2020</t>
  </si>
  <si>
    <t>ON5JH</t>
  </si>
  <si>
    <t>WOS:000586736600001</t>
  </si>
  <si>
    <t>Zeitz, M; Levermann, A; Winkelmann, R</t>
  </si>
  <si>
    <t>Zeitz, Maria; Levermann, Anders; Winkelmann, Ricarda</t>
  </si>
  <si>
    <t>Sensitivity of ice loss to uncertainty in flow law parameters in an idealized one-dimensional geometry</t>
  </si>
  <si>
    <t>SEA-LEVEL RISE; SHEET MODEL; RESPONSE FUNCTIONS; TERTIARY CREEP; GLACIER ICE; AGE ICE; RHEOLOGY; EVOLUTION; CLIMATE; SHELVES</t>
  </si>
  <si>
    <t>Acceleration of the flow of ice drives mass losses in both the Antarctic and the Greenland Ice Sheet. The projections of possible future sea-level rise rely on numerical ice-sheet models, which solve the physics of ice flow, melt, and calving. While major advancements have been made by the ice-sheet modeling community in addressing several of the related uncertainties, the flow law, which is at the center of most process-based ice-sheet models, is not in the focus of the current scientific debate. However, recent studies show that the flow law parameters are highly uncertain and might be different from the widely accepted standard values. Here, we use an idealized flow-line setup to investigate how these uncertainties in the flow law translate into uncertainties in flow-driven mass loss. In order to disentangle the effect of future warming on the ice flow from other effects, we perform a suite of experiments with the Parallel Ice Sheet Model (PISM), deliberately excluding changes in the surface mass balance. We find that changes in the flow parameters within the observed range can lead up to a doubling of the flow-driven mass loss within the first centuries of warming, compared to standard parameters. The spread of ice loss due to the uncertainty in flow parameters is on the same order of magnitude as the increase in mass loss due to surface warming. While this study focuses on an idealized flow-line geometry, it is likely that this uncertainty carries over to realistic three-dimensional simulations of Greenland and Antarctica.</t>
  </si>
  <si>
    <t>[Zeitz, Maria; Levermann, Anders; Winkelmann, Ricarda] Potsdam Inst Climate Impact Res PIK, Box 60 12 03, D-14412 Potsdam, Germany; [Zeitz, Maria; Levermann, Anders; Winkelmann, Ricarda] Leibniz Assoc, Box 60 12 03, D-14412 Potsdam, Germany; [Zeitz, Maria; Levermann, Anders; Winkelmann, Ricarda] Univ Potsdam, Inst Phys &amp; Astron, Karl Liebknecht Str 24-25, D-14476 Potsdam, Germany; [Levermann, Anders] Columbia Univ, LDEO, New York, NY USA</t>
  </si>
  <si>
    <t>Potsdam Institut fur Klimafolgenforschung; University of Potsdam; Columbia University</t>
  </si>
  <si>
    <t>Zeitz, M; Winkelmann, R (corresponding author), Potsdam Inst Climate Impact Res PIK, Box 60 12 03, D-14412 Potsdam, Germany.;Zeitz, M; Winkelmann, R (corresponding author), Leibniz Assoc, Box 60 12 03, D-14412 Potsdam, Germany.;Zeitz, M; Winkelmann, R (corresponding author), Univ Potsdam, Inst Phys &amp; Astron, Karl Liebknecht Str 24-25, D-14476 Potsdam, Germany.</t>
  </si>
  <si>
    <t>maria.zeitz@pik-potsdam.de; ricarda.winkelmann@pik-potsdam.de</t>
  </si>
  <si>
    <t>Levermann, Anders/G-4666-2011</t>
  </si>
  <si>
    <t>Levermann, Anders/0000-0003-4432-4704; Zeitz, Maria/0000-0001-8129-1329</t>
  </si>
  <si>
    <t>Leibniz Association; Deutsche Forschungsgemeinschaft (DFG) [WI4556/3-1, WI4556/5-1]; NASA [NNX17AG65G]; NSF [PLR-1603799, PLR-1644277]</t>
  </si>
  <si>
    <t>Leibniz Association; Deutsche Forschungsgemeinschaft (DFG)(German Research Foundation (DFG)); NASA(National Aeronautics &amp; Space Administration (NASA)); NSF(National Science Foundation (NSF))</t>
  </si>
  <si>
    <t>This research has been supported by the Leibniz Association, Deutsche Forschungsgemeinschaft (DFG) (grant nos. WI4556/3-1, WI4556/5-1), NASA (grant no. NNX17AG65G), and the NSF (grant nos. PLR-1603799 and PLR-1644277).</t>
  </si>
  <si>
    <t>10.5194/tc-14-3537-2020</t>
  </si>
  <si>
    <t>ON5LN</t>
  </si>
  <si>
    <t>WOS:000586742400001</t>
  </si>
  <si>
    <t>Bevan, S; Luckman, A; Hendon, H; Wang, GM</t>
  </si>
  <si>
    <t>Bevan, Suzanne; Luckman, Adrian; Hendon, Harry; Wang, Guomin</t>
  </si>
  <si>
    <t>The 2020 Larsen C Ice Shelf surface melt is a 40-year record high</t>
  </si>
  <si>
    <t>SOUTHERN ANNULAR MODE; CLIMATE; TRENDS; RECONSTRUCTION; ANTARCTICA; GREENLAND; COLLAPSE; IMPACT; SHEET; OCEAN</t>
  </si>
  <si>
    <t>Along with record-breaking summer air temperatures at an Antarctic Peninsula meteorological station in February 2020, the Larsen C ice shelf experienced an exceptionally long and extensive 2019/2020 melt season. We use a 40-year time series of passive and scatterometer satellite microwave data, which are sensitive to the presence of liquid water in the snow pack, to reveal that the extent and duration of melt observed on the ice shelf in the austral summer of 2019/2020 was the greatest on record. We find that unusual perturbations to Southern Hemisphere modes of atmospheric flow, including a persistently positive Indian Ocean Dipole in the spring and a very rare Southern Hemisphere sudden stratospheric warming in September 2019, preceded the exceptionally warm Antarctic Peninsula summer. It is likely that teleconnections between the tropics and southern high latitudes were able to bring sufficient heat via the atmosphere and ocean to the Antarctic Peninsula to drive the extreme Larsen C Ice Shelf melt. The record-breaking melt of 2019/2020 brought to an end the trend of decreasing melt that had begun in 1999/2000, will reinitiate earlier thinning of the ice shelf by depletion of the firn air content, and probably affected a much greater region than Larsen C Ice Shelf.</t>
  </si>
  <si>
    <t>[Bevan, Suzanne; Luckman, Adrian] Swansea Univ, Dept Geog, Coll Sci, Swansea SA2 8PP, W Glam, Wales; [Hendon, Harry; Wang, Guomin] Bur Meteorol, Melbourne, Vic, Australia</t>
  </si>
  <si>
    <t>Swansea University; Bureau of Meteorology - Australia</t>
  </si>
  <si>
    <t>Bevan, S (corresponding author), Swansea Univ, Dept Geog, Coll Sci, Swansea SA2 8PP, W Glam, Wales.</t>
  </si>
  <si>
    <t>s.l.bevan@swansea.ac.uk</t>
  </si>
  <si>
    <t>Luckman, Adrian/GVS-1716-2022</t>
  </si>
  <si>
    <t>Luckman, Adrian/0000-0002-9618-5905; Bevan, Suzanne/0000-0003-2649-2982</t>
  </si>
  <si>
    <t>Natural Environment Research Council [NE/L005409/1]; NERC [NE/L005409/1] Funding Source: UKRI</t>
  </si>
  <si>
    <t>Natural Environment Research Council(UK Research &amp; Innovation (UKRI)Natural Environment Research Council (NERC)); NERC(UK Research &amp; Innovation (UKRI)Natural Environment Research Council (NERC))</t>
  </si>
  <si>
    <t>This research has been supported by the Natural Environment Research Council (grant no. NE/L005409/1).</t>
  </si>
  <si>
    <t>10.5194/tc-14-3551-2020</t>
  </si>
  <si>
    <t>WOS:000586742400002</t>
  </si>
  <si>
    <t>Gerringa, LJA; Alderkamp, AC; van Dijken, G; Laan, P; Middag, R; Arrigo, KR</t>
  </si>
  <si>
    <t>Gerringa, Loes J. A.; Alderkamp, Anne-Carlijn; van Dijken, Gert; Laan, Patrick; Middag, Rob; Arrigo, Kevin R.</t>
  </si>
  <si>
    <t>Dissolved Trace Metals in the Ross Sea</t>
  </si>
  <si>
    <t>Antarctica; dissolved trace metals; Ross Sea Polynya; bottom nepheloid layer; sea ice melt</t>
  </si>
  <si>
    <t>PHYTOPLANKTON TAXONOMIC VARIABILITY; SOUTHERN-OCEAN; IRON LIMITATION; BIOGEOCHEMICAL CYCLES; WATER COLUMN; PRIMARY PRODUCTIVITY; CHEMICAL SPECIATION; EMILIANIA-HUXLEYI; BIOLOGICAL UPTAKE; PHOSPHORUS RATIO</t>
  </si>
  <si>
    <t>The dissolved (D) trace metals zinc (Zn), cadmium (Cd), cobalt (Co), copper (Cu), iron (Fe), manganese (Mn), nickel (Ni), titanium (Ti), lanthanum (La), yttrium (Y), and lead (Pb) were analyzed via ICPMS in samples from the Ross Sea obtained during a cruise between 20 December 2013 and 5 January 2014. The concentrations of DZn, DCd, DCo, DCu, DFe, DMn, DNi, and DTi were significantly lower in the Antarctic surface Water (AASW) compared to the other deeper water masses, indicating biological uptake and possibly scavenging. In the AASW, DLa and DY were higher than in Winter Water (WW). This can be explained by a spring source from ice melt followed by loss during summer and autumn, probably due to passive adsorption. Dissolved Pb was low (16 pM) and no distinction between water masses was possible. Akin to the macro-nutrients nitrate and silicate, the modified Circumpolar Deep Water (mCDW) shows elevated DCd compared to the shelf water masses. Sea ice melt and ice sheet melt released DZn, DFe, DMn, DNi, DY, DLa, and probably DPb into the Ross Sea. However, only DFe, DMn, DY and DLa are transported into the Antarctic Circumpolar Current with the outflowing High Salinity Shelf Water (HSSW). The bottom nepheloid layer (BNL) released DFe, as well as DMn and DCu, into the HSSW whereas lateral transport from land formed a source of DMn and DFe. One station in the Ross Sea Polynya was resampled after two weeks, during which time the thickness of the BNL increased, with accompanying increases in DFe and DMn near the seafloor. In the surface layer nutrients (including micro-nutrients) were depleted further. The uptake slopes/stoichiometric ratios of DZn, DCd and DCo versus phosphate indicated that the distribution of these metals is related to uptake as well as the composition of the phytoplankton community. Estimated stoichiometric ratios of Zn and Cd relative to P were higher at a station dominated by Phaeocystis antarctica than at diatom-dominated stations, implying a higher utilization of these metals by P. antarctica.</t>
  </si>
  <si>
    <t>[Gerringa, Loes J. A.; Laan, Patrick; Middag, Rob] Univ Utrecht, Dept Ocean Syst, Royal Netherlands Inst Sea Res NIOZ, Texel, Netherlands; [Alderkamp, Anne-Carlijn; van Dijken, Gert; Arrigo, Kevin R.] Stanford Univ, Dept Earth Syst Sci, Stanford, CA 94305 USA; [Alderkamp, Anne-Carlijn] Foothill Coll, Dept Biol, Los Altos Hills, CA USA</t>
  </si>
  <si>
    <t>Utrecht University; Royal Netherlands Institute for Sea Research (NIOZ); Stanford University</t>
  </si>
  <si>
    <t>Middag, R (corresponding author), Univ Utrecht, Dept Ocean Syst, Royal Netherlands Inst Sea Res NIOZ, Texel, Netherlands.</t>
  </si>
  <si>
    <t>rob.middag@nioz.nl</t>
  </si>
  <si>
    <t>Van Dijken, Gert L/C-5276-2011; Middag, Rob/D-6423-2013</t>
  </si>
  <si>
    <t>Arrigo, Kevin/0000-0002-7364-876X; Van Dijken, Gert/0000-0002-9587-6317</t>
  </si>
  <si>
    <t>National Science Foundation Office of Polar Programs [(Phantastic ANT-1063592)]</t>
  </si>
  <si>
    <t>National Science Foundation Office of Polar Programs(National Science Foundation (NSF)NSF - Directorate for Geosciences (GEO))</t>
  </si>
  <si>
    <t>The US component of this research was sponsored by the National Science Foundation Office of Polar Programs (Phantastic ANT-1063592 to KA).</t>
  </si>
  <si>
    <t>10.3389/fmars.2020.577098</t>
  </si>
  <si>
    <t>OM0QP</t>
  </si>
  <si>
    <t>WOS:000585735100001</t>
  </si>
  <si>
    <t>Rozefelds, AC; Stull, G; Hayes, P; Greenwood, DR</t>
  </si>
  <si>
    <t>Rozefelds, Andrew C.; Stull, Gregory; Hayes, Peta; Greenwood, David R.</t>
  </si>
  <si>
    <t>The fossil record of Icacinaceae in Australia supports long-standing Palaeo-Antarctic rainforest connections in southern high latitudes</t>
  </si>
  <si>
    <t>HISTORICAL BIOLOGY</t>
  </si>
  <si>
    <t>Australia; Cenozoic; endocarp morphology; Icacinaceae; Phytocreneae</t>
  </si>
  <si>
    <t>EARLY EOCENE; LATE PALEOCENE; FRUITS; EVOLUTION; NORTH; SILCRETE; TERTIARY; BASIN; MACROFOSSILS; LOCALITY</t>
  </si>
  <si>
    <t>Fossil fruits of Icacinaceae are recorded from two Cenozoic sites in Australia, at Launceston in northern Tasmania and the Poole Creek palaeochannel in northern South Australia, representing the first report of fossil Icacinaceae from Australia. The Launceston material includes two endocarps with broad surface pits/tubercles and is referred to Palaeophytocrene. It is interpreted to have a minimum middle to late Eocene age. Two specimens are recorded from the Poole Creek palaeochannel; a mid-Miocene or middle Eocene age is possible for this site, but the older age (middle Eocene) is considered more likely. These specimens represent partial endocarps, one documenting the wall thickness and internal structures of the endocarp, and the other documenting the morphology and dimensions of the endocarp surface pits. The combination of characters shown by these fossils is unique among extant and fossil Icacinaceae genera, warranting the recognition of a new genus, Manchesteria gen. nov. These fossils document an early Cenozoic history for the Phytocreneae (Icacinaceae) in Australia and provide additional evidence that the family was broadly distributed during the globally warm Eocene. Along with recently documented African and South American fossil records, these fossils indicate a significant but little understood Gondwanic history for the family.</t>
  </si>
  <si>
    <t>[Rozefelds, Andrew C.] Queensland Museum, South Brisbane, Qld 4101, Australia; [Rozefelds, Andrew C.] Cent Queensland Univ, Sch Engn &amp; Technol, Rockhampton, Qld, Australia; [Stull, Gregory] Chinese Acad Sci, Kunming Inst Bot, Kunming, Yunnan, Peoples R China; [Stull, Gregory] Smithsonian Inst, Dept Bot, Washington, DC 20560 USA; [Hayes, Peta] Nat Hist Museum, London, England; [Greenwood, David R.] Brandon Univ, Biol Dept, Brandon, MB, Canada</t>
  </si>
  <si>
    <t>Queensland Museum; Central Queensland University; Chinese Academy of Sciences; Kunming Institute of Botany, CAS; Smithsonian Institution; Smithsonian National Museum of Natural History; Natural History Museum London; Brandon University</t>
  </si>
  <si>
    <t>Rozefelds, AC (corresponding author), Queensland Museum, South Brisbane, Qld 4101, Australia.;Stull, G (corresponding author), Chinese Acad Sci, Kunming Inst Bot, Kunming, Yunnan, Peoples R China.;Stull, G (corresponding author), Smithsonian Inst, Dept Bot, Washington, DC 20560 USA.</t>
  </si>
  <si>
    <t>andrew.rozefelds@qm.qld.gov.au; gwstull@gmail.com</t>
  </si>
  <si>
    <t>Greenwood, David R./C-2758-2008</t>
  </si>
  <si>
    <t>Greenwood, David R./0000-0002-8569-9695</t>
  </si>
  <si>
    <t>Australian Research Council; Natural Sciences and Engineering Research Council of Canada [DG 311934]</t>
  </si>
  <si>
    <t>Australian Research Council(Australian Research Council); Natural Sciences and Engineering Research Council of Canada(Natural Sciences and Engineering Research Council of Canada (NSERC)CGIAR)</t>
  </si>
  <si>
    <t>Andrew Rowett and Lyn Broadbridge provided access to silcrete material held in the Geological Survey South Australia. Geoff Thompson undertook the montage photography and we are grateful for his help in providing exquisite images of the silcrete specimens from South Australia. We thank Steve Manchester for his advice and interest in progressing this research, and for his help with imaging modern fruit material of Icacinaceae. We also thank curators at the following herbaria for providing access to modern comparative specimens: BRI, K, L, MO, P, WAG. DRG's participation was in part funded by grants from the Australian Research Council (to DRG, N. Alley and A. Rowett) and the Natural Sciences and Engineering Research Council of Canada (DG 311934). The original collection of the Poole Creek specimen was made while DRG was employed at the former South Australian Dept. of Mines and Energy, and he thanks Neville Alley and Roger Callen for assistance and advice on the stratigraphy of the Lake Eyre Basin silcrete floras.</t>
  </si>
  <si>
    <t>0891-2963</t>
  </si>
  <si>
    <t>1029-2381</t>
  </si>
  <si>
    <t>HIST BIOL</t>
  </si>
  <si>
    <t>Hist. Biol.</t>
  </si>
  <si>
    <t>10.1080/08912963.2020.1832089</t>
  </si>
  <si>
    <t>Biology; Paleontology</t>
  </si>
  <si>
    <t>Life Sciences &amp; Biomedicine - Other Topics; Paleontology</t>
  </si>
  <si>
    <t>WU3NY</t>
  </si>
  <si>
    <t>WOS:000583828300001</t>
  </si>
  <si>
    <t>Couldrey, MP; Gregory, JM; Dias, FB; Dobrohotoff, P; Domingues, CM; Garuba, O; Griffies, SM; Haak, H; Hu, AX; Ishii, M; Jungclaus, J; Köhl, A; Marsland, SJ; Ojha, S; Saenko, OA; Savita, A; Shao, A; Stammer, D; Suzuki, T; Todd, A; Zanna, L</t>
  </si>
  <si>
    <t>Couldrey, Matthew P.; Gregory, Jonathan M.; Dias, Fabio Boeira; Dobrohotoff, Peter; Domingues, Catia M.; Garuba, Oluwayemi; Griffies, Stephen M.; Haak, Helmuth; Hu, Aixue; Ishii, Masayoshi; Jungclaus, Johann; Kohl, Armin; Marsland, Simon J.; Ojha, Sayantani; Saenko, Oleg A.; Savita, Abhishek; Shao, Andrew; Stammer, Detlef; Suzuki, Tatsuo; Todd, Alexander; Zanna, Laure</t>
  </si>
  <si>
    <t>What causes the spread of model projections of ocean dynamic sea-level change in response to greenhouse gas forcing?</t>
  </si>
  <si>
    <t>CLIMATE DYNAMICS</t>
  </si>
  <si>
    <t>Sea-level rise; Ocean heat uptake; Climate change; Climate modeling</t>
  </si>
  <si>
    <t>EARTH SYSTEM MODEL; HEAT UPTAKE; BASIC EVALUATION; CLIMATE-CHANGE; COUPLED MODEL; CIRCULATION; RISE; VARIABILITY; STORAGE; SIMULATION</t>
  </si>
  <si>
    <t>Sea levels of different atmosphere-ocean general circulation models (AOGCMs) respond to climate change forcing in different ways, representing a crucial uncertainty in climate change research. We isolate the role of the ocean dynamics in setting the spatial pattern of dynamic sea-level (zeta) change by forcing several AOGCMs with prescribed identical heat, momentum (wind) and freshwater flux perturbations. This method produces a zeta projection spread comparable in magnitude to the spread that results from greenhouse gas forcing, indicating that the differences in ocean model formulation are the cause, rather than diversity in surface flux change. The heat flux change drives most of the global pattern of zeta change, while the momentum and water flux changes cause locally confined features. North Atlantic heat uptake causes large temperature and salinity driven density changes, altering local ocean transport and zeta. The spread between AOGCMs here is caused largely by differences in their regional transport adjustment, which redistributes heat that was already in the ocean prior to perturbation. The geographic details of the zeta change in the North Atlantic are diverse across models, but the underlying dynamic change is similar. In contrast, the heat absorbed by the Southern Ocean does not strongly alter the vertically coherent circulation. The Arctic zeta change is dissimilar across models, owing to differences in passive heat uptake and circulation change. Only the Arctic is strongly affected by nonlinear interactions between the three air-sea flux changes, and these are model specific.</t>
  </si>
  <si>
    <t>[Couldrey, Matthew P.; Gregory, Jonathan M.] Univ Reading, Natl Ctr Atmospher Sci, Reading, Berks, England; [Gregory, Jonathan M.] Met Off Hadley Ctr, Exeter, Devon, England; [Dias, Fabio Boeira] Univ Helsinki, Inst Atmospher &amp; Earth Syst Res, Helsinki, Finland; [Dias, Fabio Boeira; Dobrohotoff, Peter; Domingues, Catia M.; Marsland, Simon J.; Savita, Abhishek] Univ Tasmania, Inst Marine &amp; Antarctic Studies, Hobart, Tas, Australia; [Dias, Fabio Boeira; Dobrohotoff, Peter; Marsland, Simon J.; Savita, Abhishek] CSIRO Oceans &amp; Atmosphere, Aspendale, Vic, Australia; [Dias, Fabio Boeira; Domingues, Catia M.; Marsland, Simon J.; Savita, Abhishek] ARC Ctr Excellence Climate Extremes, Sydney, NSW, Australia; [Domingues, Catia M.] Natl Oceanog Ctr, Southampton, Hants, England; [Garuba, Oluwayemi] Pacific Northwest Natl Lab, Richland, WA 99352 USA; [Griffies, Stephen M.] NOAA, Geophys Fluid Dynam Lab, Princeton, NJ USA; [Griffies, Stephen M.] Princeton Univ, Program Atmospher &amp; Ocean Sci, Princeton, NJ 08544 USA; [Haak, Helmuth; Jungclaus, Johann] Max Planck Inst Meteorol, Hamburg, Germany; [Hu, Aixue] Natl Ctr Atmospher Res, POB 3000, Boulder, CO 80307 USA; [Ishii, Masayoshi] Meteorol Res Inst, Tsukuba, Ibaraki, Japan; [Kohl, Armin; Stammer, Detlef] Univ Hamburg, Ctr Erdsyst Forsch &amp; Nachhaltigkeit, Hamburg, Germany; [Ojha, Sayantani] Indian Inst Space Sci &amp; Technol, Thiruvananthapuram, Kerala, India; [Saenko, Oleg A.; Shao, Andrew] Canadian Ctr Climate Modelling &amp; Anal, Victoria, BC, Canada; [Suzuki, Tatsuo] Japan Agcy Marine Earth Sci &amp; Technol, Yokohama, Kanagawa, Japan; [Todd, Alexander; Zanna, Laure] Univ Oxford, Oxford, England; [Zanna, Laure] NYU, Courant Inst, New York, NY USA</t>
  </si>
  <si>
    <t>UK Research &amp; Innovation (UKRI); Natural Environment Research Council (NERC); NERC National Centre for Atmospheric Science; University of Reading; Met Office - UK; Hadley Centre; University of Helsinki; University of Tasmania; Commonwealth Scientific &amp; Industrial Research Organisation (CSIRO); NERC National Oceanography Centre; United States Department of Energy (DOE); Pacific Northwest National Laboratory; National Oceanic Atmospheric Admin (NOAA) - USA; National Oceanic Atmospheric Admin (NOAA) - USA; Princeton University; Max Planck Society; National Center Atmospheric Research (NCAR) - USA; Meteorological Research Institute - Japan; University of Hamburg; Department of Space (DoS), Government of India; Indian Institute of Space Science &amp; Technology; Environment &amp; Climate Change Canada; Canadian Centre for Climate Modelling &amp; Analysis (CCCma); Japan Agency for Marine-Earth Science &amp; Technology (JAMSTEC); University of Oxford; New York University</t>
  </si>
  <si>
    <t>Couldrey, MP (corresponding author), Univ Reading, Natl Ctr Atmospher Sci, Reading, Berks, England.</t>
  </si>
  <si>
    <t>m.p.couldrey@reading.ac.uk</t>
  </si>
  <si>
    <t>Gregory, Jonathan/J-2939-2016; Marsland, Simon J/A-1453-2012; Zanna, Laure/L-3169-2019; Dobrohotoff, Peter B/I-1550-2017; Hu, Aixue/E-1063-2013; Garuba, Oluwayemi/U-9688-2019; Kohl, Armin/I-9378-2014; Griffies, Stephen Matthew/N-9144-2019; Zanna, Laure/HPG-1772-2023; Domingues, Catia M./A-2901-2015</t>
  </si>
  <si>
    <t>Gregory, Jonathan/0000-0003-1296-8644; Marsland, Simon J/0000-0002-5664-5276; Zanna, Laure/0000-0002-8472-4828; Hu, Aixue/0000-0002-1337-287X; Garuba, Oluwayemi/0000-0001-7931-7788; Kohl, Armin/0000-0002-9777-674X; Griffies, Stephen Matthew/0000-0002-3711-236X; Zanna, Laure/0000-0002-8472-4828; Boeira Dias, Fabio/0000-0002-2965-2120; Ojha, Sayantani/0009-0002-2171-2683; Savita, Abhishek/0000-0003-2800-3636; SUZUKI, TATSUO/0000-0002-6259-6466; Domingues, Catia M./0000-0001-5100-4595</t>
  </si>
  <si>
    <t>UK Natural Environment Research Council [NE/R000727/1]; Regional and Global Model Analysis (RGMA) component of the Earth and Environmental System Modeling (EESM) program of the U.S. Department of Energy's Office of Science Biological and Environmental Research (BER); Deutsche Forschungs Gemeinschaft (DFG) [SPP 1889]; NCMAS; NCI-STRESS2020 grants through the National Computing Infrastructure National Facility at the Australian National University; Tasmanian Graduate Research Scholarship; CSIRO-UTAS Quantitative Marine Science top-up; CSIRO; Earth Systems and Climate Change Hub of the Australian Government's National Environmental Science Programme; Australian Research Council [FT130101532, DP160103130]; UK's Natural Environment Research Council [NE/P019293/1]; Consortium for Ocean-Sea Ice Modelling in Australia (COSIMA); Integrated Research Program for Advancing Climate Models (TOUGOU) [JPMXD0717935457, JPMXD0717935561]; Ministry of Education, Culture, Sports, Science and Technology (MEXT), Japan; Marine Environmental Observation Prediction &amp; Response (MEOPAR) network; National Computational Infrastructure [ly62]; NERC [ncas10014, NE/R000727/1, NE/P019293/1] Funding Source: UKRI; Australian Research Council [FT130101532] Funding Source: Australian Research Council</t>
  </si>
  <si>
    <t>UK Natural Environment Research Council(UK Research &amp; Innovation (UKRI)Natural Environment Research Council (NERC)); Regional and Global Model Analysis (RGMA) component of the Earth and Environmental System Modeling (EESM) program of the U.S. Department of Energy's Office of Science Biological and Environmental Research (BER); Deutsche Forschungs Gemeinschaft (DFG)(German Research Foundation (DFG)); NCMAS; NCI-STRESS2020 grants through the National Computing Infrastructure National Facility at the Australian National University; Tasmanian Graduate Research Scholarship; CSIRO-UTAS Quantitative Marine Science top-up; CSIRO(Commonwealth Scientific &amp; Industrial Research Organisation (CSIRO)); Earth Systems and Climate Change Hub of the Australian Government's National Environmental Science Programme; Australian Research Council(Australian Research Council); UK's Natural Environment Research Council(UK Research &amp; Innovation (UKRI)Natural Environment Research Council (NERC)); Consortium for Ocean-Sea Ice Modelling in Australia (COSIMA); Integrated Research Program for Advancing Climate Models (TOUGOU); Ministry of Education, Culture, Sports, Science and Technology (MEXT), Japan(Ministry of Education, Culture, Sports, Science and Technology, Japan (MEXT)); Marine Environmental Observation Prediction &amp; Response (MEOPAR) network; National Computational Infrastructure; NERC(UK Research &amp; Innovation (UKRI)Natural Environment Research Council (NERC)); Australian Research Council(Australian Research Council)</t>
  </si>
  <si>
    <t>We acknowledge the World Climate Research Programme's Working Group on Coupled Modelling, which is responsible for CMIP, and we thank the climate modelling groups for producing and making available their model output. We thank the Earth System Grid Federation (ESGF) for archiving the data and providing access, and the multiple funding agencies who support CMIP6 and ESGF. This work was supported in part by grant NE/R000727/1 from the UK Natural Environment Research Council as a contribution to the WCRP's Grand Challenge on Regional Sea Level Change and Coastal Impacts. OG and AH were supported by the Regional and Global Model Analysis (RGMA) component of the Earth and Environmental System Modeling (EESM) program of the U.S. Department of Energy's Office of Science Biological and Environmental Research (BER), as a contribution to the HiLAT-RASM and CATALYST projects. OG also acknowledges helpful discussions with Phil Rasch. Contributions from JJ, AK, SO and DS were supported in part through the Deutsche Forschungs Gemeinschaft (DFG) as part of the SPP 1889 on Regional sea level change and society. ACCESS-CM2 simulations were supported by NCMAS and NCI-STRESS2020 grants through the National Computing Infrastructure National Facility at the Australian National University. FBD and A. Savita were supported by a Tasmanian Graduate Research Scholarship and CSIRO-UTAS Quantitative Marine Science top-up. A. Savita, SJM and PD were supported by projects jointly funded through CSIRO and the Earth Systems and Climate Change Hub of the Australian Government's National Environmental Science Programme. CMD was supported by the Australian Research Council (FT130101532 and DP160103130) and UK's Natural Environment Research Council (NE/P019293/1). A. Savita, FBD, PD,SJM, CMD are thankful for the support from the Consortium for Ocean-Sea Ice Modelling in Australia (COSIMA). TS and MI were supported by the Integrated Research Program for Advancing Climate Models (TOUGOU) Grant Number JPMXD0717935457 and JPMXD0717935561 the Ministry of Education, Culture, Sports, Science and Technology (MEXT), Japan, respectively. A. Shao was supported by the Marine Environmental Observation Prediction &amp; Response (MEOPAR) network. This work was supported by grant ly62 from the National Computational Infrastructure.</t>
  </si>
  <si>
    <t>0930-7575</t>
  </si>
  <si>
    <t>1432-0894</t>
  </si>
  <si>
    <t>CLIM DYNAM</t>
  </si>
  <si>
    <t>Clim. Dyn.</t>
  </si>
  <si>
    <t>1-2</t>
  </si>
  <si>
    <t>10.1007/s00382-020-05471-4</t>
  </si>
  <si>
    <t>QA5CT</t>
  </si>
  <si>
    <t>WOS:000584623900002</t>
  </si>
  <si>
    <t>Hauck, J; Zeising, M; Le Quéré, C; Gruber, N; Bakker, DCE; Bopp, L; Chau, TTT; Gürses, Ö; Ilyina, T; Landschützer, P; Lenton, A; Resplandy, L; Rödenbeck, C; Schwinger, J; Séférian, R</t>
  </si>
  <si>
    <t>Hauck, Judith; Zeising, Moritz; Le Quere, Corinne; Gruber, Nicolas; Bakker, Dorothee C. E.; Bopp, Laurent; Chau, Thi Tuyet Trang; Guerses, Oezguer; Ilyina, Tatiana; Landschuetzer, Peter; Lenton, Andrew; Resplandy, Laure; Roedenbeck, Christian; Schwinger, Joerg; Seferian, Roland</t>
  </si>
  <si>
    <t>Consistency and Challenges in the Ocean Carbon Sink Estimate for the Global Carbon Budget</t>
  </si>
  <si>
    <t>ocean carbon uptake; anthropogenic CO2; ocean carbon cycle model evaluation; riverine carbon flux; variability of the ocean carbon sink; seasonal cycle</t>
  </si>
  <si>
    <t>SOUTHERN-OCEAN; SURFACE OCEAN; CO2 FLUXES; BIOGEOCHEMICAL MODEL; ANTHROPOGENIC CO2; SEASONAL CYCLE; GAS-EXCHANGE; WIND-SPEED; VARIABILITY; SYSTEM</t>
  </si>
  <si>
    <t>Based on the 2019 assessment of the Global Carbon Project, the ocean took up on average, 2.5 +/- 0.6 PgC yr(-1) or 23 +/- 5% of the total anthropogenic CO2 emissions over the decade 2009-2018. This sink estimate is based on simulation results from global ocean biogeochemicalmodels (GOBMs) and is compared to data-products based on observations of surface ocean pCO(2) (partial pressure of CO2) accounting for the outgassing of river-derived CO2. Here we evaluate the GOBM simulations by comparing the simulated surface ocean pCO(2) to observations. Based on this comparison, the simulations are well-suited for quantifying the global ocean carbon sink on the time-scale of the annual mean and its multi-decadal trend (RMSE &lt;20 mu atm), as well as on the time-scale of multi-year variability (RMSE &lt;10 mu atm), despite the large model-data mismatch on the seasonal time-scale (RMSE of 20-80 mu atm). Biases in GOBMs have a small effect on the global mean ocean sink (0.05 PgC yr(-1)), but need to be addressed to improve the regional budgets and model-data comparison. Accounting for non-mapped areas in the data-products reduces their spread as measured by the standard deviation by a third. There is growing evidence and consistency among methods with regard to the patterns of the multi-year variability of the ocean carbon sink, with a global stagnation in the 1990s and an extra-tropical strengthening in the 2000s. GOBMs and data-products point consistently to a shift from a tropical CO2 source to a CO2 sink in recent years. On average, the GOBMs reveal less variations in the sink than the data-based products. Despite the reasonable simulation of surface ocean pCO(2) by the GOBMs, there are discrepancies between the resulting sink estimate from GOBMs and data-products. These discrepancies are within the uncertainty of the river flux adjustment, increase over time, and largely stem from the Southern Ocean. Progress in our understanding of the global ocean carbon sink necessitates significant advancement in modeling and observing the Southern Ocean carbon sink including (i) a game-changing increase in high-quality pCO(2) observations, and (ii) a critical re-evaluation of the regional river flux adjustment.</t>
  </si>
  <si>
    <t>[Hauck, Judith; Zeising, Moritz; Guerses, Oezguer] Helmholtz Zentrum Polar &amp; Meeresforsch, Alfred Wegener Inst, Bremerhaven, Germany; [Le Quere, Corinne; Bakker, Dorothee C. E.] Univ East Anglia, Sch Environm Sci, Norwich, Norfolk, England; [Le Quere, Corinne] Univ East Anglia, Tyndall Ctr Climate Change Res, Norwich, Norfolk, England; [Gruber, Nicolas] Swiss Fed Inst Technol, Eidgenoss Tech Hsch Zurich, Inst Biogeochem &amp; Pollutant Dynam, Zurich, Switzerland; [Bopp, Laurent] Univ PSL, Sorbonne Univ, Ecole Normale Super,CNRS, Lab Meteorol Dynam,Inst Pierre Simon Lapl,Ecole N, Paris, France; [Chau, Thi Tuyet Trang] LSCE IPSL, Lab Sci Climat &amp; Environm, Paris, France; [Ilyina, Tatiana; Landschuetzer, Peter] Max Planck Inst Meteorol, Ocean Earth Syst, Hamburg, Germany; [Lenton, Andrew] Commonwealth Sci &amp; Ind Res Org CSIRO Oceans &amp; Atm, Hobart, Tas, Australia; [Lenton, Andrew] Univ Tasmania, Inst Marine &amp; Antarctic Studies, Australian Antarct Program Partnership, Hobart, Tas, Australia; [Lenton, Andrew] Ctr Southern Hemisphere Oceans Res, Hobart, Tas, Australia; [Resplandy, Laure] Princeton Univ, Princeton Environm Inst, Dept Geosci, Princeton, NJ 08544 USA; [Roedenbeck, Christian] Max Planck Inst Biogeochem, Biogeochem Signals, Jena, Germany; [Schwinger, Joerg] Bjerknes Ctr Climate Res, NORCE Norwegian Res Ctr, Bergen, Norway; [Seferian, Roland] Univ Toulouse, Meteofrance, CNRM, CNRS, Toulouse, France</t>
  </si>
  <si>
    <t>Helmholtz Association; Alfred Wegener Institute, Helmholtz Centre for Polar &amp; Marine Research; University of East Anglia; University of East Anglia; Swiss Federal Institutes of Technology Domain; ETH Zurich; Universite Paris Cite; Sorbonne Universite; Centre National de la Recherche Scientifique (CNRS); Universite PSL; Ecole Normale Superieure (ENS); CEA; Centre National de la Recherche Scientifique (CNRS); Universite Paris Saclay; Max Planck Society; Commonwealth Scientific &amp; Industrial Research Organisation (CSIRO); University of Tasmania; Princeton University; Max Planck Society; Norwegian Research Centre (NORCE); Bjerknes Centre for Climate Research; Centre National de la Recherche Scientifique (CNRS); Meteo France; Universite de Toulouse</t>
  </si>
  <si>
    <t>Hauck, J (corresponding author), Helmholtz Zentrum Polar &amp; Meeresforsch, Alfred Wegener Inst, Bremerhaven, Germany.</t>
  </si>
  <si>
    <t>judith.hauck@awi.de</t>
  </si>
  <si>
    <t>Séférian, Roland/ABD-5465-2021; Landschützer, Peter/IQU-3835-2023; Lenton, Andrew/D-2077-2012; Ilyina, Tatiana/ABE-9164-2020; Gruber, Nicolas/B-7013-2009; Chau, Thi Tuyet Trang/AAE-2386-2022; Hauck, Judith/AAC-3967-2019; bopp, laurent/ABF-5302-2020; Schwinger, Jörg/AAN-6573-2021; Le Quéré, Corinne/C-2631-2017; Bakker, Dorothee/E-4951-2015</t>
  </si>
  <si>
    <t>Séférian, Roland/0000-0002-2571-2114; Landschützer, Peter/0000-0002-7398-3293; Ilyina, Tatiana/0000-0002-3475-4842; Gruber, Nicolas/0000-0002-2085-2310; Chau, Thi Tuyet Trang/0000-0003-0102-7427; Hauck, Judith/0000-0003-4723-9652; bopp, laurent/0000-0003-4732-4953; Schwinger, Jörg/0000-0002-7525-6882; Le Quéré, Corinne/0000-0003-2319-0452; Resplandy, Laure/0000-0002-1212-3943; Bakker, Dorothee/0000-0001-9234-5337</t>
  </si>
  <si>
    <t>Helmholtz Young Investigator Group Marine Carbon and Ecosystem Feedbacks in the Earth System (MarESys) [VH-NG-1301]; European Union [820989, 821003, 730944]; UK Natural Environment Research Council SONATA project [NE/P021417/1]; ANR [ANR-16-CE01-0014]; Chanel Research Chair; Sloan Foundation Research Fellowship program; Research Council of Norway through project INES [270061]; NERC [NE/P021417/1] Funding Source: UKRI</t>
  </si>
  <si>
    <t>Helmholtz Young Investigator Group Marine Carbon and Ecosystem Feedbacks in the Earth System (MarESys); European Union(European Union (EU)); UK Natural Environment Research Council SONATA project; ANR(Agence Nationale de la Recherche (ANR)); Chanel Research Chair; Sloan Foundation Research Fellowship program; Research Council of Norway through project INES(Research Council of Norway); NERC(UK Research &amp; Innovation (UKRI)Natural Environment Research Council (NERC))</t>
  </si>
  <si>
    <t>This research has received funding from the Helmholtz Young Investigator Group Marine Carbon and Ecosystem Feedbacks in the Earth System (MarESys), grant number VH-NG-1301, the European Union's Horizon 2020 research and innovation programme under grant agreement nos. 820989 (COMFORT), 821003 (4C), and 730944 (RINGO). CL received funding from the UK Natural Environment Research Council SONATA project (no. NE/P021417/1). LB received funding from the ANR project SOBUMS (ANR-16-CE01-0014) and from the Chanel Research Chair. LR gratefully acknowledged the support of the Sloan Foundation Research Fellowship program. JS acknowledged funding from the Research Council of Norway through project INES (270061) and HPC resources provided by the National Infrastructure for HPC and Data Storage in Norway, UNINETT Sigma2 (nn/ns2980k).</t>
  </si>
  <si>
    <t>10.3389/fmars.2020.571720</t>
  </si>
  <si>
    <t>OM0QK</t>
  </si>
  <si>
    <t>Green Published, gold, Green Accepted, Green Submitted</t>
  </si>
  <si>
    <t>WOS:000585734500001</t>
  </si>
  <si>
    <t>Lannuzel, D; Tedesco, L; van Leeuwe, M; Campbell, K; Flores, H; Delille, B; Miller, L; Stefels, J; Assmy, P; Bowman, J; Brown, K; Castellani, G; Chierici, M; Crabeck, O; Damm, E; Else, B; Fransson, A; Fripiat, F; Geilfus, NX; Jacques, C; Jones, E; Kaartokallio, H; Kotovitch, M; Meiners, K; Moreau, S; Nomura, D; Peeken, I; Rintala, JM; Steiner, N; Tison, JL; Vancoppenolle, M; Van der Linden, F; Vichi, M; Wongpan, P</t>
  </si>
  <si>
    <t>Lannuzel, Delphine; Tedesco, Letizia; van Leeuwe, Maria; Campbell, Karley; Flores, Hauke; Delille, Bruno; Miller, Lisa; Stefels, Jacqueline; Assmy, Philipp; Bowman, Jeff; Brown, Kristina; Castellani, Giulia; Chierici, Melissa; Crabeck, Odile; Damm, Ellen; Else, Brent; Fransson, Agneta; Fripiat, Francois; Geilfus, Nicolas-Xavier; Jacques, Caroline; Jones, Elizabeth; Kaartokallio, Hermanni; Kotovitch, Marie; Meiners, Klaus; Moreau, Sebastien; Nomura, Daiki; Peeken, Ilka; Rintala, Janne-Markus; Steiner, Nadja; Tison, Jean-Louis; Vancoppenolle, Martin; Van der Linden, Fanny; Vichi, Marcello; Wongpan, Pat</t>
  </si>
  <si>
    <t>The future of Arctic sea-ice biogeochemistry and ice-associated ecosystems</t>
  </si>
  <si>
    <t>NATURE CLIMATE CHANGE</t>
  </si>
  <si>
    <t>CO2 UPTAKE CAPACITY; OCEAN ACIDIFICATION; CLIMATE-CHANGE; CARBON SYSTEM; CANADA BASIN; PACK ICE; IMPACT; SNOW; DRIVERS; EXPORT</t>
  </si>
  <si>
    <t>The Arctic sea-ice-scape is rapidly transforming. Increasing light penetration will initiate earlier seasonal primary production. This earlier growing season may be accompanied by an increase in ice algae and phytoplankton biomass, augmenting the emission of dimethylsulfide and capture of carbon dioxide. Secondary production may also increase on the shelves, although the loss of sea ice exacerbates the demise of sea-ice fauna, endemic fish and megafauna. Sea-ice loss may also deliver more methane to the atmosphere, but warmer ice may release fewer halogens, resulting in fewer ozone depletion events. The net changes in carbon drawdown are still highly uncertain. Despite large uncertainties in these assessments, we expect disruptive changes that warrant intensified long-term observations and modelling efforts. The Arctic is warming and undergoing rapid ice loss. This Perspective considers how changes in sea ice will impact the biogeochemistry and associated ecosystems of the region while calling for more observations to improve our understanding of this complex system.</t>
  </si>
  <si>
    <t>[Lannuzel, Delphine] Univ Tasmania, Inst Marine &amp; Antarctic Studies, Hobart, Tas, Australia; [Tedesco, Letizia; Kaartokallio, Hermanni] Finnish Environm Inst, Marine Res Ctr, Helsinki, Finland; [van Leeuwe, Maria; Stefels, Jacqueline] Univ Groningen, Groningen Inst Evolutionary Life Sci, Groningen, Netherlands; [Campbell, Karley] Arctic Univ Norway, Dept Arctic &amp; Marine Biol, Tromso, Norway; [Flores, Hauke; Castellani, Giulia; Damm, Ellen; Peeken, Ilka] Alfred Wegener Inst, Helmholtz Ctr Polar &amp; Marine Res, Bremerhaven, Germany; [Delille, Bruno; Kotovitch, Marie; Van der Linden, Fanny] Univ Liege, Unite Oceanog Chim, FOCUS, Liege, Belgium; [Miller, Lisa; Brown, Kristina; Steiner, Nadja] Fisheries &amp; Oceans Canada, Inst Ocean Sci, Sidney, BC, Canada; [Assmy, Philipp; Fransson, Agneta; Moreau, Sebastien] Norwegian Polar Res Inst, Fram Ctr, Tromso, Norway; [Bowman, Jeff] Univ Calif San Diego, Scripps Inst Oceanog, San Diego, CA USA; [Chierici, Melissa; Jones, Elizabeth] Inst Marine Res, Fram Ctr, Tromso, Norway; [Chierici, Melissa] Univ Ctr Svalbard, Longyearbyen, Norway; [Crabeck, Odile] Univ East Anglia, Ctr Ocean &amp; Atmospher Sci, Norwich, Norfolk, England; [Else, Brent] Univ Calgary, Dept Geog, Calgary, AB, Canada; [Fripiat, Francois] Univ Libre Bruxelles, Dept Geosci Environm &amp; Soc, Brussels, Belgium; [Geilfus, Nicolas-Xavier] Univ Manitoba, Ctr Earth Observat Sci, Winnipeg, MB, Canada; [Jacques, Caroline; Kotovitch, Marie; Tison, Jean-Louis; Van der Linden, Fanny] Univ Libre Bruxelles, Lab Glaciol, DGES, Brussels, Belgium; [Meiners, Klaus] Australian Antarctic Div, Hobart, Tas, Australia; [Nomura, Daiki] Hokkaido Univ, Hakodate, Hokkaido, Japan; [Rintala, Janne-Markus] Univ Helsinki, Fac Sci, Inst Atmospher &amp; Earth Syst Res INAR, Helsinki, Finland; [Vancoppenolle, Martin] Inst Pierre Simon Lapl, Lab Oceanog &amp; Climat, Paris, France; [Vichi, Marcello] Univ Cape Town, Dept Oceanog, Cape Town, South Africa; [Wongpan, Pat] Univ Tasmania, Inst Marine &amp; Antarctic Studies, Australian Antarctic Program Partnership, Hobart, Tas, Australia</t>
  </si>
  <si>
    <t>University of Tasmania; Finnish Environment Institute; University of Groningen; UiT The Arctic University of Tromso; Helmholtz Association; Alfred Wegener Institute, Helmholtz Centre for Polar &amp; Marine Research; University of Liege; Fisheries &amp; Oceans Canada; Norwegian Polar Institute; University of California System; University of California San Diego; Scripps Institution of Oceanography; Institute of Marine Research - Norway; University Centre Svalbard (UNIS); University of East Anglia; University of Calgary; Universite Libre de Bruxelles; University of Manitoba; Universite Libre de Bruxelles; Australian Antarctic Division; Hokkaido University; University of Helsinki; Sorbonne Universite; Universite Paris Cite; University of Cape Town; University of Tasmania</t>
  </si>
  <si>
    <t>Lannuzel, D (corresponding author), Univ Tasmania, Inst Marine &amp; Antarctic Studies, Hobart, Tas, Australia.</t>
  </si>
  <si>
    <t>delphine.lannuzel@utas.edu.au</t>
  </si>
  <si>
    <t>Flores, Hauke/ABD-1888-2020; Vancoppenolle, Martin/AAA-7711-2022; Wongpan, Pat/AAX-6946-2020; Else, Brent G/D-5267-2012; Vancoppenolle, Martin/B-3750-2011; Vichi, Marcello/GLR-9823-2022; Castellani, Giulia/AAS-9298-2021; Fripiat, François/ABB-8918-2021; Delille, Bruno/C-3486-2008; Tedesco, Letizia/B-2884-2013; lannuzel, delphine/J-7937-2014; /Q-6028-2018</t>
  </si>
  <si>
    <t>Flores, Hauke/0000-0003-1617-5449; Vancoppenolle, Martin/0000-0002-7573-8582; Wongpan, Pat/0000-0002-7113-8221; Vancoppenolle, Martin/0000-0002-7573-8582; Vichi, Marcello/0000-0002-0686-9634; Castellani, Giulia/0000-0001-6151-015X; Delille, Bruno/0000-0003-0502-8101; Rintala, Janne-Markus/0000-0002-3514-6582; Fripiat, Francois/0000-0002-2591-6301; Steiner, Nadja/0000-0001-7456-3437; Tedesco, Letizia/0000-0001-9051-8177; lannuzel, delphine/0000-0001-6154-1837; /0000-0003-1882-9303; Moreau, Sebastien/0000-0001-9446-812X; Peeken, Ilka/0000-0003-1531-1664; Bowman, Jeff/0000-0002-8811-6280</t>
  </si>
  <si>
    <t>Euromarine Network</t>
  </si>
  <si>
    <t>This Perspective is a product of the Biogeochemical Exchange Processes at Sea-Ice Interfaces (BEPSII) research community. This manuscript was first conceived at the Arctic Sea-Ice Change foresight workshop held in Davos, Switzerland, in June 2018 and is supported by the Euromarine Network.</t>
  </si>
  <si>
    <t>1758-678X</t>
  </si>
  <si>
    <t>1758-6798</t>
  </si>
  <si>
    <t>NAT CLIM CHANGE</t>
  </si>
  <si>
    <t>Nat. Clim. Chang.</t>
  </si>
  <si>
    <t>10.1038/s41558-020-00940-4</t>
  </si>
  <si>
    <t>Environmental Sciences; Environmental Studies; Meteorology &amp; Atmospheric Sciences</t>
  </si>
  <si>
    <t>OL7OP</t>
  </si>
  <si>
    <t>Green Submitted, Green Published, Green Accepted</t>
  </si>
  <si>
    <t>WOS:000584590600005</t>
  </si>
  <si>
    <t>Gross, J; Virtue, P; Nichols, PD; Eisenmann, P; Waugh, CA; Nash, SB</t>
  </si>
  <si>
    <t>Gross, Jasmin; Virtue, Patti; Nichols, Peter D.; Eisenmann, Pascale; Waugh, Courtney A.; Nash, Susan Bengtson</t>
  </si>
  <si>
    <t>Interannual variability in the lipid and fatty acid profiles of east Australia-migrating humpback whales (Megaptera novaeangliae) across a 10-year timeline</t>
  </si>
  <si>
    <t>Southern hemisphere humpback whales are classified as high-fidelity Antarctic krill consumers and as such are vulnerable to variability and long-term changes in krill biomass. Evidence of heterogeneous feeding patterns of east coast of Australia migrating humpback whales has been observed, warranting a comprehensive assessment of interannual variability in their diet. We examined the lipid and fatty acid profiles of individuals of the east coast of Australia migrating stock sampled between 2008 and 2018. The use of live-sampled blubber biopsies showed that fatty acid profiles varied significantly among all years. The two trophic indicator fatty acids for Antarctic krill, 20:5.3 and 22:6 omega 3 remained largely unchanged across the 10-year period, suggesting that Antarctic krill is the principal prey item. A distance-based linear model showed that 33% of the total variation in fatty acid profiles was explained by environmental variables and climate indices. Most of the variation was explained by the Southern Annular Mode (23.7%). The high degree of variability observed in this study was unexpected for a species that is thought to feed primarily on one prey item. We propose that the observed variability likely arises from changes in the diet of Antarctic krill rather than changes in the whale's diet.</t>
  </si>
  <si>
    <t>[Gross, Jasmin; Nash, Susan Bengtson] Griffith Univ, Environm Futures Res Inst, Southern Ocean Persistent Organ Pollutants Progra, 170 Kessels Rd, Nathan, Qld 4111, Australia; [Virtue, Patti; Nichols, Peter D.] Univ Tasmania, Inst Marine &amp; Antarctic Studies, 20 Castray Esplanade, Hobart, Tas 7004, Australia; [Virtue, Patti; Nichols, Peter D.] CSIRO Oceans &amp; Atmosphere, Hobart, Tas 7004, Australia; [Eisenmann, Pascale] Property NSW Environm Sci Grp, Parramatta Sq, Parramatta, NSW, Australia; [Waugh, Courtney A.] Nord Univ, Anim Sci Programme, Universitetsalleen 11, N-8026 Bodo, Norway</t>
  </si>
  <si>
    <t>Griffith University; University of Tasmania; Commonwealth Scientific &amp; Industrial Research Organisation (CSIRO); Nord University</t>
  </si>
  <si>
    <t>Gross, J (corresponding author), Griffith Univ, Environm Futures Res Inst, Southern Ocean Persistent Organ Pollutants Progra, 170 Kessels Rd, Nathan, Qld 4111, Australia.</t>
  </si>
  <si>
    <t>J.gross@griffith.edu.au</t>
  </si>
  <si>
    <t>Bengtson Nash, Susan/GMX-4611-2022; Groß, Jasmin/AAZ-3662-2021; Nichols, Peter D/C-5128-2011</t>
  </si>
  <si>
    <t>Bengtson Nash, Susan/0000-0001-5928-0850; Groß, Jasmin/0000-0002-1078-043X; Waugh, Courtney/0000-0001-5234-4137</t>
  </si>
  <si>
    <t>Pacific Life Ocean Foundation; Winifred Violet Scott Trust; Griffith University postgraduate (GUPRS); international postgraduate scholarships (GUIPRS)</t>
  </si>
  <si>
    <t>This work was in part supported by a Pacific Life Ocean Foundation grant and the Winifred Violet Scott Trust. The lead author acknowledges receipt of the Griffith University postgraduate (GUPRS) and international postgraduate scholarships (GUIPRS). Mina Brock and Scott Byrnes are acknowledged for their expert technical assistance and analytical input. The authors also acknowledge the help of Dr. Ido Bar with environmental data acquisition. Additionally, the authors thank the Moreton Bay Research Station staff and Southern Ocean Persistent Organic Pollutants Program volunteers for their assistance in the field, and the two anonymous journal reviewers for their helpful comments.</t>
  </si>
  <si>
    <t>OCT 26</t>
  </si>
  <si>
    <t>10.1038/s41598-020-75370-5</t>
  </si>
  <si>
    <t>QD2QW</t>
  </si>
  <si>
    <t>WOS:000615370600006</t>
  </si>
  <si>
    <t>Kloess, PA; Poust, AW; Stidham, TA</t>
  </si>
  <si>
    <t>Kloess, Peter A.; Poust, Ashley W.; Stidham, Thomas A.</t>
  </si>
  <si>
    <t>Earliest fossils of giant-sized bony-toothed birds (Aves: Pelagornithidae) from the Eocene of Seymour Island, Antarctica</t>
  </si>
  <si>
    <t>While pelagornithid or 'bony-toothed' bird fossils representing multiple species are known from Antarctica, a new dentary fragment of a pelagornithid bird from the middle Eocene Submeseta Formation on Seymour Island, Antarctica represents a species with a body size on par with the largest known species in the clade. Measurements from the partial 'toothed' dentary point to a giant body size for the species, although the spacing among the pseudoteeth differs from that published for other pelagornithids. The discrepancy might suggest that previous techniques are not adequate for examination of incomplete material or that another factor such as phylogeny might impact size estimates and comparisons. Combined with a revised stratigraphic position in the early Eocene La Meseta Formation on Seymour Island for the largest pelagornithid tarsometatarsus known, these Antarctic fossils demonstrate the early evolution of giant body size in the clade (by similar to 50 Ma), and they likely represent not only the largest flying birds of the Eocene but also some of the largest volant birds that ever lived (with an estimated 5-6 m wingspan). Furthermore, the distribution of giantsized pelagornithid fossils across more than 10 million years of Antarctic geological deposits points to a prolonged survival of giant-sized pelagornithids within the southern seas, and their success as a pelagic predatory component of marine and coastal ecosystems alongside early penguins.</t>
  </si>
  <si>
    <t>[Kloess, Peter A.; Poust, Ashley W.] Univ Calif Berkeley, Dept Integrat Biol, Berkeley, CA 94720 USA; [Kloess, Peter A.; Poust, Ashley W.] Univ Calif Berkeley, Museum Paleontol, Berkeley, CA 94720 USA; [Poust, Ashley W.] San Diego Nat Hist Museum, Dept Paleontol, San Diego, CA 92182 USA; [Stidham, Thomas A.] Chinese Acad Sci, Inst Vertebrate Paleontol &amp; Paleoanthropol, Key Lab Vertebrate Evolut &amp; Human Origins, Beijing 100044, Peoples R China; [Stidham, Thomas A.] Chinese Acad Sci, Ctr Excellence Life &amp; Paleoenvironm, Beijing 100044, Peoples R China; [Stidham, Thomas A.] Univ Chinese Acad Sci, Beijing 100049, Peoples R China</t>
  </si>
  <si>
    <t>University of California System; University of California Berkeley; University of California System; University of California Berkeley; Chinese Academy of Sciences; Institute of Vertebrate Paleontology &amp; Paleoanthropology, CAS; Chinese Academy of Sciences; Chinese Academy of Sciences; University of Chinese Academy of Sciences, CAS</t>
  </si>
  <si>
    <t>Kloess, PA; Poust, AW (corresponding author), Univ Calif Berkeley, Dept Integrat Biol, Berkeley, CA 94720 USA.;Kloess, PA; Poust, AW (corresponding author), Univ Calif Berkeley, Museum Paleontol, Berkeley, CA 94720 USA.;Poust, AW (corresponding author), San Diego Nat Hist Museum, Dept Paleontol, San Diego, CA 92182 USA.;Stidham, TA (corresponding author), Chinese Acad Sci, Inst Vertebrate Paleontol &amp; Paleoanthropol, Key Lab Vertebrate Evolut &amp; Human Origins, Beijing 100044, Peoples R China.;Stidham, TA (corresponding author), Chinese Acad Sci, Ctr Excellence Life &amp; Paleoenvironm, Beijing 100044, Peoples R China.;Stidham, TA (corresponding author), Univ Chinese Acad Sci, Beijing 100049, Peoples R China.</t>
  </si>
  <si>
    <t>pakloess@berkeley.edu; apoust@sdnhm.org; presbyornis@gmail.com</t>
  </si>
  <si>
    <t>Kloess, Peter/0000-0003-1377-135X</t>
  </si>
  <si>
    <t>UC Museum of Paleontology Student Support Fund; Integrative Biology GRAC Travel Funds; National Natural Science Foundation of China [NSFC 41772013]</t>
  </si>
  <si>
    <t>UC Museum of Paleontology Student Support Fund; Integrative Biology GRAC Travel Funds; National Natural Science Foundation of China(National Natural Science Foundation of China (NSFC))</t>
  </si>
  <si>
    <t>We would like to acknowledge P. Holroyd (UCMP) for bringing UCMP 323792 to our attention, R. Boessenecker (CCNHM) for initial discussions, D. Strauss (UCMP) for assistance with photography, S. McLeod (LACM) for providing access to additional specimens, J. Hoffman and O. Duncan (SBMNH) for providing access and photography assistance of additional specimens, R. E. Fordyce (University of Otago) who initially identified the specimen as pelagornithid in correspondence with M. Woodburne (UC Riverside), M. Montes (IGME) for discussions of Antarctic geology, and J. Case (EWU) for providing field notes from the original Antarctic expeditions. PAK is supported by the UC Museum of Paleontology Student Support Fund and Integrative Biology GRAC Travel Funds. TAS is supported by the National Natural Science Foundation of China (NSFC 41772013).</t>
  </si>
  <si>
    <t>10.1038/s41598-020-75248-6</t>
  </si>
  <si>
    <t>WOS:000615370600018</t>
  </si>
  <si>
    <t>Saunders, RA; Lourenço, S; Vieira, RP; Collins, MA; Xavier, JC</t>
  </si>
  <si>
    <t>Saunders, Ryan A.; Lourenco, Silvia; Vieira, Rui P.; Collins, Martin A.; Xavier, Jose C.</t>
  </si>
  <si>
    <t>Length-weight and otolith size to standard length relationships in 12 species of Southern Ocean Myctophidae: A tool for predator diet studies</t>
  </si>
  <si>
    <t>JOURNAL OF APPLIED ICHTHYOLOGY</t>
  </si>
  <si>
    <t>length– mass relationship; Myctophidae; otolith‐ body size relationship; otoliths; Southern Ocean</t>
  </si>
  <si>
    <t>SCOTIA SEA; ARCTOCEPHALUS-GAZELLA; FISH; PATTERNS</t>
  </si>
  <si>
    <t>Fish morphometric relationships are key tools for fisheries science and studies of food web dynamics and predator foraging behaviour, but parameterisations are limited for Southern Ocean myctophids (Family Myctophidae). New standard length (L-S) to total mass (M-T) relationships are therefore described for the 12 biomass-dominant myctophid fish species living in the Scotia Sea, Southern Ocean, using the most comprehensive data collected in the region to date. New linear regressions for otolith size (length; O-L and width; O-W) and L-S are also described. Significant (p &lt; .01) L-S-M-T relationships were established for all species using simple non-linear regression. Significant (p &lt; .01) relationships between L-S and both O-L and O-W were also determined for all species, with O-W being the best predictor of L-S in all but one species. Our study provides a comprehensive tool for reconstructing the myctophid component of marine predator diets that will improve future food web, predator behaviour and ecosystem studies in the Scotia Sea.</t>
  </si>
  <si>
    <t>[Saunders, Ryan A.; Collins, Martin A.; Xavier, Jose C.] British Antarctic Survey, UKRI NERC, Madingley Rd, Cambridge CB3 0ET, England; [Lourenco, Silvia] Polytech Inst Leiria, MARE Marine &amp; Environm Sci Ctr, Peniche, Portugal; [Lourenco, Silvia] Univ Porto, CIIMAR CIMAR, Interdisciplinary Ctr Marine &amp; Environm Res, Matosinhos, Portugal; [Vieira, Rui P.] Ctr Environm Fisheries &amp; Aquaculture Sci, Lowestoft, Suffolk, England; [Xavier, Jose C.] Univ Coimbra, Dept Life Sci, MARE Marine &amp; Environm Sci Ctr, Coimbra, Portugal</t>
  </si>
  <si>
    <t>UK Research &amp; Innovation (UKRI); Natural Environment Research Council (NERC); NERC British Antarctic Survey; Universidade do Porto; Centre for Environment Fisheries &amp; Aquaculture Science; Universidade de Coimbra</t>
  </si>
  <si>
    <t>Saunders, RA (corresponding author), British Antarctic Survey, UKRI NERC, Madingley Rd, Cambridge CB3 0ET, England.</t>
  </si>
  <si>
    <t>ryaund@bas.ac.uk</t>
  </si>
  <si>
    <t>Lourenço, sílvia/C-7744-2019; Xavier, José/KFB-6739-2024; , Martin/ABE-6728-2020</t>
  </si>
  <si>
    <t>Lourenço, sílvia/0000-0003-4426-0894; , Martin/0000-0001-7132-8650; Saunders, Ryan/0000-0002-1157-7222; /0000-0002-9621-6660</t>
  </si>
  <si>
    <t>UK Research and Innovation-Natural Environment Research Council; Caixa Geral de Depositos Grant; Fundacao para a Ciencia e Tecnologia [UIDB/04292/2020]; NERC [bas0100035] Funding Source: UKRI</t>
  </si>
  <si>
    <t>UK Research and Innovation-Natural Environment Research Council(UK Research &amp; Innovation (UKRI)Natural Environment Research Council (NERC)); Caixa Geral de Depositos Grant; Fundacao para a Ciencia e Tecnologia(Fundacao para a Ciencia e a Tecnologia (FCT)); NERC(UK Research &amp; Innovation (UKRI)Natural Environment Research Council (NERC))</t>
  </si>
  <si>
    <t>UK Research and Innovation-Natural Environment Research Council; Caixa Geral de Depositos Grant; Fundacao para a Ciencia e Tecnologia, Grant/Award Number: UIDB/04292/2020</t>
  </si>
  <si>
    <t>HINDAWI LTD</t>
  </si>
  <si>
    <t>ADAM HOUSE, 3RD FLR, 1 FITZROY SQ, LONDON, W1T 5HF, ENGLAND</t>
  </si>
  <si>
    <t>0175-8659</t>
  </si>
  <si>
    <t>1439-0426</t>
  </si>
  <si>
    <t>J APPL ICHTHYOL</t>
  </si>
  <si>
    <t>J. Appl. Ichthyol.</t>
  </si>
  <si>
    <t>10.1111/jai.14126</t>
  </si>
  <si>
    <t>Fisheries; Marine &amp; Freshwater Biology</t>
  </si>
  <si>
    <t>PU9JL</t>
  </si>
  <si>
    <t>WOS:000583733400001</t>
  </si>
  <si>
    <t>Shiozaki, T; Fujiwara, A; Inomura, K; Hirose, Y; Hashihama, F; Harada, N</t>
  </si>
  <si>
    <t>Shiozaki, Takuhei; Fujiwara, Amane; Inomura, Keisuke; Hirose, Yuu; Hashihama, Fuminori; Harada, Naomi</t>
  </si>
  <si>
    <t>Biological nitrogen fixation detected under Antarctic sea ice</t>
  </si>
  <si>
    <t>NATURE GEOSCIENCE</t>
  </si>
  <si>
    <t>N-2 FIXATION; NORTH PACIFIC; MARINE; TRICHODESMIUM; OCEAN; DIAZOTROPHS; SENSITIVITY; PERSPECTIVE; EVOLUTION; WATERS</t>
  </si>
  <si>
    <t>Nitrogen fixation is the primary source of reactive nitrogen in the ocean. Most ecological models do not predict nitrogen fixation in the Antarctic Ocean because of the low availability of iron and high abundance of nitrogen. Here we extensively examined nitrogen fixation in the Antarctic Ocean, and found substantial nitrogen fixation (maximum: 44.4 nmol N l(-1) d(-1)) near the Antarctic coast, especially around ice-covered regions. The nitrogenase gene (nifH) was detected at all coastal stations, including stations where no nitrogen fixation was found. At the stations where nitrogen fixation was detected, the nitrogen-fixing cyanobacterium UCYN-A (Candidatus 'Atelocyanobacterium thalassa') dominated nifH gene expression, and the nifH sequence was identical to that of the major oligotype in tropical and subtropical oceans. Our results suggest that marine nitrogen fixation is a ubiquitous process in the global ocean, and that UCYN-A is the keystone species for making it possible. Observational evidence of cyanobacterial activity in the Antarctic Ocean suggests that nitrogen fixation could be a ubiquitous process in the global ocean.</t>
  </si>
  <si>
    <t>[Shiozaki, Takuhei] Univ Tokyo, Atmosphere &amp; Ocean Res Inst, Kashiwa, Chiba, Japan; [Shiozaki, Takuhei; Harada, Naomi] Japan Agcy Marine Earth Sci &amp; Technol, Earth Surface Syst Res Ctr, Yokosuka, Kanagawa, Japan; [Fujiwara, Amane] Japan Agcy Marine Earth Sci &amp; Technol, Inst Arctic Climate &amp; Environm Res, Yokosuka, Kanagawa, Japan; [Inomura, Keisuke] Univ Washington, Sch Oceanog, Seattle, WA 98195 USA; [Hirose, Yuu] Toyohashi Univ Technol, Dept Appl Chem &amp; Life Sci, Toyohashi, Aichi, Japan; [Hashihama, Fuminori] Tokyo Univ Marine Sci &amp; Technol, Dept Ocean Sci, Minato Ku, Tokyo, Japan</t>
  </si>
  <si>
    <t>University of Tokyo; Japan Agency for Marine-Earth Science &amp; Technology (JAMSTEC); Japan Agency for Marine-Earth Science &amp; Technology (JAMSTEC); University of Washington; University of Washington Seattle; Toyohashi University of Technology; Tokyo University of Marine Science &amp; Technology</t>
  </si>
  <si>
    <t>Shiozaki, T (corresponding author), Univ Tokyo, Atmosphere &amp; Ocean Res Inst, Kashiwa, Chiba, Japan.;Shiozaki, T (corresponding author), Japan Agcy Marine Earth Sci &amp; Technol, Earth Surface Syst Res Ctr, Yokosuka, Kanagawa, Japan.</t>
  </si>
  <si>
    <t>shiozaki@g.ecc.u-tokyo.ac.jp</t>
  </si>
  <si>
    <t>Hashihama, Fuminori/O-1924-2014</t>
  </si>
  <si>
    <t>Hashihama, Fuminori/0000-0003-3835-7681; Shiozaki, Takuhei/0000-0002-5160-3472; Harada, Naomi/0000-0002-2725-7346</t>
  </si>
  <si>
    <t>JSPS KAKENHI [JP19H04263, 20H04985, 17H01852, JP15H05712]; Simons Foundation [544338]; Grants-in-Aid for Scientific Research [20H04985, 17H01852] Funding Source: KAKEN</t>
  </si>
  <si>
    <t>JSPS KAKENHI(Ministry of Education, Culture, Sports, Science and Technology, Japan (MEXT)Japan Society for the Promotion of ScienceGrants-in-Aid for Scientific Research (KAKENHI)); Simons Foundation; Grants-in-Aid for Scientific Research(Ministry of Education, Culture, Sports, Science and Technology, Japan (MEXT)Japan Society for the Promotion of ScienceGrants-in-Aid for Scientific Research (KAKENHI))</t>
  </si>
  <si>
    <t>We thank the captain, crew and participants of the 60th Japanese Antarctic Research Expedition (JARE-60) for their cooperation at sea and on land. We also thank H. Endo and C. Deutsch for helpful discussions, N. Takeda for help with the nutrient analyses and K. Turk-Kubo for providing the sequence data for UCYN-A. This research was supported financially by JSPS KAKENHI grant numbers JP19H04263 (T.S.), 20H04985 (T.S.), 17H01852 (F.H.) and JP15H05712 (N.H.) and the Simons Foundation (Simons Postdoctoral Fellowship in Marine Microbial Ecology) under award number 544338 (K.I.).</t>
  </si>
  <si>
    <t>1752-0894</t>
  </si>
  <si>
    <t>1752-0908</t>
  </si>
  <si>
    <t>NAT GEOSCI</t>
  </si>
  <si>
    <t>Nat. Geosci.</t>
  </si>
  <si>
    <t>10.1038/s41561-020-00651-7</t>
  </si>
  <si>
    <t>OM6VO</t>
  </si>
  <si>
    <t>WOS:000584045200003</t>
  </si>
  <si>
    <t>Domínguez-Morueco, N; Moreno-Merino, L; Molins-Delgado, D; Díaz-Cruz, MS; Aznar-Alemany, O; Eljarrat, E; Farré, M; López-Martínez, J; de Alda, ML; Silva, A; Valsero, JJD; Valcárcel, Y</t>
  </si>
  <si>
    <t>Dominguez-Morueco, Noelia; Moreno-Merino, Luis; Molins-Delgado, Daniel; Diaz-Cruz, M. Silvia; Aznar-Alemany, Oscar; Eljarrat, Ethel; Farre, Marinella; Lopez-Martinez, Jeronimo; Lopez de Alda, Miren; Silva, Adrian; Duran Valsero, Juan Jose; Valcarcel, Yolanda</t>
  </si>
  <si>
    <t>Anthropogenic contaminants in freshwater from the northern Antarctic Peninsula region</t>
  </si>
  <si>
    <t>AMBIO</t>
  </si>
  <si>
    <t>Antarctica; Environmental risk; Polyfluoroalkyl substances; Pyretroids; Sunscreens; UV stablilizers</t>
  </si>
  <si>
    <t>MINNOW GOBIOCYPRIS-RARUS; PERSONAL CARE PRODUCTS; ORGANIC UV FILTERS; WASTE-WATER; ULTRAVIOLET FILTERS; PYRETHROID INSECTICIDES; PROTEOMIC RESPONSES; ESTROGENIC ACTIVITY; AQUATIC ECOSYSTEMS; IN-VITRO</t>
  </si>
  <si>
    <t>This study aimed to evaluate the presence of ultraviolet filters (UV-Fs), benzotriazoles, pyrethroids and per- and polyfluoroalkyl substances (PFASs) in freshwater and wastewater from the northern Antarctic Peninsula region. All water samples analyzed contained UV-Fs residues and high concentrations were detected in anthropogenic impacted sites (&lt; LOD up to 1300 ng/L). Likewise, benzotriazoles were detected in all water samples (&lt; LOQ-920 ng/L). Regarding suspended particulate matter, almost all UV-Fs and all benzotriazoles were measured at concentrations ranging from &lt; LOQ to 33 mu g/g dry weight. Pyrethroids were also detected (&lt; LOQ-250 ng/L) and their presence implies the existence of a gateway to the Antarctica Peninsula from other regions. The data confirmed the presence of PFASs (&lt; LOD-7500 ng/L) in this area, in agreement with previous studies. In light of these results, extended monitoring in Antarctica should be carried out to perform a reliable environmental risk assessment leading to propose recommendations to minimize the anthropic impact.</t>
  </si>
  <si>
    <t>[Dominguez-Morueco, Noelia; Valcarcel, Yolanda] Univ Rey Juan Carlos, Grp Invest &amp; Docencia Toxicol Ambiental &amp; Evaluac, Avda Tulipan Sn, Madrid, Spain; [Dominguez-Morueco, Noelia; Valcarcel, Yolanda] Rey Juan Carlos Univ, Fac Hlth Sci, Dept Prevent Med Publ Hlth Immunol &amp; Med Microbio, Avda Atenas S-N, Madrid 28922, Spain; [Moreno-Merino, Luis; Duran Valsero, Juan Jose] Inst Geol &amp; Minero Espana IGME, C Rios Rosas 23, Madrid 28003, Spain; [Molins-Delgado, Daniel; Diaz-Cruz, M. Silvia; Aznar-Alemany, Oscar; Eljarrat, Ethel; Farre, Marinella; Lopez de Alda, Miren] CSIC, Inst Environm Assessment &amp; Water Res IDAEA, Dept Environm Chem, Water Environm &amp; Food Chem Unit ENFO CHEM, C Jordi Girona 18-26, Barcelona 08034, Spain; [Lopez-Martinez, Jeronimo] Univ Autonoma Madrid, Dept Geol &amp; Geoquim, Fac Ciencias, Madrid 28049, Spain; [Silva, Adrian] Inst Nacl Agua, Empalme J Newbery Km 1 620, Buenos Aires, DF, Argentina</t>
  </si>
  <si>
    <t>Universidad Rey Juan Carlos; Universidad Rey Juan Carlos; Consejo Superior de Investigaciones Cientificas (CSIC); CSIC - Centro de Investigacion y Desarrollo Pascual Vila (CID-CSIC); CSIC - Instituto de Diagnostico Ambiental y Estudios del Agua (IDAEA); Autonomous University of Madrid</t>
  </si>
  <si>
    <t>Valcárcel, Y (corresponding author), Univ Rey Juan Carlos, Grp Invest &amp; Docencia Toxicol Ambiental &amp; Evaluac, Avda Tulipan Sn, Madrid, Spain.;Valcárcel, Y (corresponding author), Rey Juan Carlos Univ, Fac Hlth Sci, Dept Prevent Med Publ Hlth Immunol &amp; Med Microbio, Avda Atenas S-N, Madrid 28922, Spain.</t>
  </si>
  <si>
    <t>noelia.dominguez@urjc.es; yolanda.valcarcel@urjc.es</t>
  </si>
  <si>
    <t>Lopez-Martinez, Jeronimo/C-5744-2011; López-de-Alda, Miren/E-3357-2014</t>
  </si>
  <si>
    <t>Lopez-Martinez, Jeronimo/0000-0002-1750-8287; López-de-Alda, Miren/0000-0002-9347-2765; VALCARCEL, YOLANDA/0000-0001-5041-2204; Dominguez-Morueco, Noelia/0000-0003-3982-4579; ELJARRAT, ETHEL/0000-0002-0814-6579; Farre, Marinella/0000-0001-8391-6257; Diaz Cruz, Silvia/0000-0003-3331-4076; Moreno Merino, Luis/0000-0002-9984-6035</t>
  </si>
  <si>
    <t>Spanish National R+D Plan [CTM2011-26372, CTM2013-57119, CTM2014-57119-R]; Secretariat for Science and Technology [PICTO 2005N36155]; Argentine Antarctic Institute; Generalitat de Catalunya (Consolidated Research Group Water and Soil Quality Unit) [2017 SGR 01404]; European Union's Seventh Framework Program for research, technological development, and demonstration [603437]</t>
  </si>
  <si>
    <t>Spanish National R+D Plan(Spanish Government); Secretariat for Science and Technology; Argentine Antarctic Institute; Generalitat de Catalunya (Consolidated Research Group Water and Soil Quality Unit)(Generalitat de Catalunya); European Union's Seventh Framework Program for research, technological development, and demonstration(European Union (EU)Marie Curie Actions)</t>
  </si>
  <si>
    <t>This research was supported by projects CTM2011-26372, CTM2013-57119, and CTM2014-57119-R of the Spanish National R+D Plan, and PICTO 2005N36155 of the Secretariat for Science and Technology and the Argentine Antarctic Institute. This study also received funding from the Generalitat de Catalunya (Consolidated Research Group 2017 SGR 01404-Water and Soil Quality Unit) and from the European Union's Seventh Framework Program for research, technological development, and demonstration under Grant Agreement No. 603437. This research is part of POLARCSIC activities. It reflects only the authors' views. The Community is not liable for any use that may be made of the information contained therein. The authors would like to thank the logistical support provided by the Spanish, Argentinean, and Chilean Antarctic programs for conducting the fieldwork. The reviewers and editor are also acknowledged for their contribution to improve the article.</t>
  </si>
  <si>
    <t>0044-7447</t>
  </si>
  <si>
    <t>1654-7209</t>
  </si>
  <si>
    <t>Ambio</t>
  </si>
  <si>
    <t>10.1007/s13280-020-01404-x</t>
  </si>
  <si>
    <t>QG9BH</t>
  </si>
  <si>
    <t>WOS:000583510100001</t>
  </si>
  <si>
    <t>Kakareka, S; Kukharchyk, T; Kurman, P</t>
  </si>
  <si>
    <t>Kakareka, Sergey; Kukharchyk, Tamara; Kurman, Peter</t>
  </si>
  <si>
    <t>Study of trace elements in the surface snow for impact monitoring in Vecherny Oasis, East Antarctica</t>
  </si>
  <si>
    <t>ENVIRONMENTAL MONITORING AND ASSESSMENT</t>
  </si>
  <si>
    <t>Surface snow; Trace elements; Monitoring; Human activity; Enderby Land</t>
  </si>
  <si>
    <t>HEAVY-METALS; ICE CORE; LAW DOME; LEAD; PRECIPITATION; VARIABILITY; POLLUTION; CHEMISTRY</t>
  </si>
  <si>
    <t>The results of surface snow monitoring in Vecherny Oasis, Thala Hills, East Antarctica, for evaluation of Belarusian Antarctic Station environmental impact are presented. Snow samples from the depth up to 15-20 cm were collected during 4-5th and 7-10th seasonal Belarusian Antarctic expeditions in the period from 2012 to 2018. Chemical-analytical study and determination of Ag, Al, As, Ba, Be, Ca, Cd, Co, Cr, Cu, Fe, K, Na, Mg, Mn, Mo, Ni, Pb, Sb, Se, Th, Tl, V, U, and Zn content were performed using ISP-MS method. Altogether 85 snow samples were analyzed. High spatial variability of trace elements content in the surface snow and differences between human impacted and non-impacted areas are shown. The elevated average content of trace elements in surface snow within the human impacted areas in comparison with ice sheet has been revealed. Based on the concentration of elements and EFc, the anthropogenic origin of Sb, Se, As, Cd, Zn, Cr, Cu, Mo, V, and Pb in the surface snow were suggested. Contribution of local sources of trace elements is considered to be more important for Vecherny Oasis than their regional or transboundary transfers. The development of guidelines for unified procedure of snow sampling for the goal of local impact monitoring in Antarctica would be useful for data comparison across Antarctic.</t>
  </si>
  <si>
    <t>[Kakareka, Sergey; Kukharchyk, Tamara] Natl Acad Sci Belarus, Inst Nat Management, Lab Transboundary Pollut, Skoriny St 10, Minsk 220076, BELARUS; [Kurman, Peter] Natl Acad Sci Belarus, Inst Bioorgan Chem, Lab Phys &amp; Chem Methods, Kuprevicha St 2, Minsk 220141, BELARUS</t>
  </si>
  <si>
    <t>National Academy of Sciences of Belarus (NASB); Institute for Nature Management of the National Academy of Sciences of Belarus; National Academy of Sciences of Belarus (NASB); Institute of Bioorganic Chemistry of the National Academy of Sciences of Belarus</t>
  </si>
  <si>
    <t>Kukharchyk, T (corresponding author), Natl Acad Sci Belarus, Inst Nat Management, Lab Transboundary Pollut, Skoriny St 10, Minsk 220076, BELARUS.</t>
  </si>
  <si>
    <t>tkukharchyk@gmail.com</t>
  </si>
  <si>
    <t>Kukharchyk, Tamara/0000-0003-3434-1244</t>
  </si>
  <si>
    <t>State Program Monitoring of the Earth Polar Regions, Creation of the Belarusian Antarctic Station and Support of the Polar Expeditions for 2016-2020</t>
  </si>
  <si>
    <t>This study has been funded in the framework of the State Program Monitoring of the Earth Polar Regions, Creation of the Belarusian Antarctic Station and Support of the Polar Expeditions for 2016-2020.</t>
  </si>
  <si>
    <t>0167-6369</t>
  </si>
  <si>
    <t>1573-2959</t>
  </si>
  <si>
    <t>ENVIRON MONIT ASSESS</t>
  </si>
  <si>
    <t>Environ. Monit. Assess.</t>
  </si>
  <si>
    <t>OCT 24</t>
  </si>
  <si>
    <t>10.1007/s10661-020-08682-8</t>
  </si>
  <si>
    <t>OO3PE</t>
  </si>
  <si>
    <t>WOS:000587294000001</t>
  </si>
  <si>
    <t>Liu, XY; Liao, GH; Lu, CC</t>
  </si>
  <si>
    <t>Liu, Xiying; Liao, Guanghong; Lu, Chenchen</t>
  </si>
  <si>
    <t>Case studies on the parameterization schemes of sea ice fragmentation for ocean waves</t>
  </si>
  <si>
    <t>OCEAN DYNAMICS</t>
  </si>
  <si>
    <t>Swell fracture; Numerical modeling; Floe size distribution; Sea ice; Antarctic</t>
  </si>
  <si>
    <t>FLOE SIZE DISTRIBUTION; SEASONAL EVOLUTION; THICKNESS; MODEL; ZONE</t>
  </si>
  <si>
    <t>Sea ice on the Southern Ocean has large seasonal variations. Floe size distribution has an important influence on the dynamic and thermodynamic processes of sea ice in the region with large seasonal variation and the Marginal Ice Zone. In the work, we introduced a prognostic floe size distribution (FSD) into a sea ice model and improved the calculation of lateral melt of sea ice. On this basis, we implemented two schemes of sea ice fragmentation for ocean waves and performed case studies on the effects of swell fracture on Antarctic sea ice variations. From the studies, we show it that the two schemes of sea ice fragmentation have unique characteristics in the mass transfer of sea ice among the floe size categories; if the break-up of ice floe is neglected, the effect of the improvement in lateral melt rate calculation on sea ice simulation is not significant; the simulated patterns of reduced sea ice concentration in March because of the effects of sea ice fragmentation and modification in calculation of lateral melt rate are similar since the two schemes of sea ice fragmentation both have close connections with sea ice thickness; the simulated sea ice area fraction for individual floe size categories varies with sea ice fragmentation schemes; this is due to their difference in characteristics of sea ice mass transfer among the floe size categories.</t>
  </si>
  <si>
    <t>[Liu, Xiying; Liao, Guanghong] Hohai Univ, Key Lab, Minist Educ Coastal Disaster &amp; Protect, Nanjing 210024, Peoples R China; [Liu, Xiying; Liao, Guanghong] Hohai Univ, Coll Oceanog, Nanjing 210098, Peoples R China; [Lu, Chenchen] Natl Univ Def Technol, Coll Meteorol &amp; Oceanog, Nanjing 211101, Peoples R China</t>
  </si>
  <si>
    <t>Hohai University; Hohai University; National University of Defense Technology - China</t>
  </si>
  <si>
    <t>Liu, XY (corresponding author), Hohai Univ, Key Lab, Minist Educ Coastal Disaster &amp; Protect, Nanjing 210024, Peoples R China.;Liu, XY (corresponding author), Hohai Univ, Coll Oceanog, Nanjing 210098, Peoples R China.</t>
  </si>
  <si>
    <t>xyliu@hhu.edu.cn</t>
  </si>
  <si>
    <t>liu, xiying/0000-0002-5597-9119</t>
  </si>
  <si>
    <t>National Key Research and Development Program of China [2017YFA0604104]; Fundamental Research Funds for the Central Universities in China [2019B00214]</t>
  </si>
  <si>
    <t>National Key Research and Development Program of China; Fundamental Research Funds for the Central Universities in China</t>
  </si>
  <si>
    <t>This study was partly supported by the National Key Research and Development Program of China (Grant No. 2017YFA0604104) and the Fundamental Research Funds for the Central Universities in China (Grant No. 2019B00214).</t>
  </si>
  <si>
    <t>1616-7341</t>
  </si>
  <si>
    <t>1616-7228</t>
  </si>
  <si>
    <t>OCEAN DYNAM</t>
  </si>
  <si>
    <t>Ocean Dyn.</t>
  </si>
  <si>
    <t>10.1007/s10236-020-01415-y</t>
  </si>
  <si>
    <t>OR4LY</t>
  </si>
  <si>
    <t>WOS:000583498600001</t>
  </si>
  <si>
    <t>Eaves, SR; Brook, MS</t>
  </si>
  <si>
    <t>Eaves, Shaun R.; Brook, Martin S.</t>
  </si>
  <si>
    <t>Glaciers and glaciation of North Island, New Zealand</t>
  </si>
  <si>
    <t>NEW ZEALAND JOURNAL OF GEOLOGY AND GEOPHYSICS</t>
  </si>
  <si>
    <t>Glaciology; glacier inventory; palaeoclimate; geochronology; geomorphology</t>
  </si>
  <si>
    <t>BE-10 PRODUCTION-RATE; TARARUA RANGE; SOUTHERN ALPS; PARK VALLEY; MT-RUAPEHU; TONGARIRO VOLCANO; PROTALUS RAMPART; CLIMATE; CONSTRAINTS; ICE</t>
  </si>
  <si>
    <t>Mountain glaciers are useful climatic indicators in alpine regions where instrumental climate observations are sparse. Here we review the state of understanding of past and present glaciation in North Island, New Zealand. During the last glacial, mountain glaciers descended to similar to 1200 m on both Ruapehu and Tongariro. Glacier modelling indicates that air temperatures during the Last Glacial Maximum were 5-7 degrees C lower than present. Under such conditions, favourable topoclimatic mass balance processes (e.g. snowblow, shading) may have promoted marginal glaciation in lower-elevation North Island mountain ranges. The timing and magnitude of North Island glacier changes are broadly consistent with moraine chronologies and climatic reconstructions from glaciers in the Southern Alps. As of 2016, several glaciers and multi-year snow patches persist in North Island (totalling 3.0 km(2) - a 25% reduction in area since 1988), all situated on the summit region of Ruapehu volcano. Mass balance of these glaciers is modulated by topoclimatic factors and debris cover, which may reduce rates of mass loss in the near term. However, given the proximity of the present equilibrium line altitude to the summit elevation of Ruapehu, complete loss of the present glaciers is probable under even moderate warming scenarios predicted for the coming decades.</t>
  </si>
  <si>
    <t>[Eaves, Shaun R.] Victoria Univ Wellington, Antarctic Res Ctr, Wellington, New Zealand; [Eaves, Shaun R.] Victoria Univ Wellington, Sch Geog Environm &amp; Earth Sci, Wellington, New Zealand; [Brook, Martin S.] Univ Auckland, Sch Environm, Auckland, New Zealand</t>
  </si>
  <si>
    <t>Victoria University Wellington; Victoria University Wellington; University of Auckland</t>
  </si>
  <si>
    <t>Eaves, SR (corresponding author), Victoria Univ Wellington, Antarctic Res Ctr, Wellington, New Zealand.;Eaves, SR (corresponding author), Victoria Univ Wellington, Sch Geog Environm &amp; Earth Sci, Wellington, New Zealand.</t>
  </si>
  <si>
    <t>shaun.eaves@vuw.ac.nz</t>
  </si>
  <si>
    <t>Eaves, Shaun/0000-0003-0444-631X</t>
  </si>
  <si>
    <t>Royal Society of New Zealand Marsden Fast Start [VUW1605]</t>
  </si>
  <si>
    <t>Royal Society of New Zealand Marsden Fast Start(Royal Society of New ZealandMarsden Fund (NZ))</t>
  </si>
  <si>
    <t>This work was supported by the Royal Society of New Zealand Marsden Fast Start [grant number VUW1605].</t>
  </si>
  <si>
    <t>0028-8306</t>
  </si>
  <si>
    <t>1175-8791</t>
  </si>
  <si>
    <t>NEW ZEAL J GEOL GEOP</t>
  </si>
  <si>
    <t>N. Z. J. Geol. Geophys.</t>
  </si>
  <si>
    <t>JAN 2</t>
  </si>
  <si>
    <t>10.1080/00288306.2020.1811354</t>
  </si>
  <si>
    <t>Geology; Geosciences, Multidisciplinary</t>
  </si>
  <si>
    <t>QG0KO</t>
  </si>
  <si>
    <t>WOS:000582476300001</t>
  </si>
  <si>
    <t>Kelly, R; Nettlefold, J; Mossop, D; Bettiol, S; Corney, S; Cullen-Knox, C; Fleming, A; Leith, P; Melbourne-Thomas, J; Ogier, E; van Putten, I; Pecl, GT</t>
  </si>
  <si>
    <t>Kelly, Rachel; Nettlefold, Jocelyn; Mossop, David; Bettiol, Silvana; Corney, Stuart; Cullen-Knox, Coco; Fleming, Aysha; Leith, Peat; Melbourne-Thomas, Jessica; Ogier, Emily; van Putten, Ingrid; Pecl, Gretta T.</t>
  </si>
  <si>
    <t>Let's Talk about Climate Change: Developing Effective Conversations between Scientists and Communities</t>
  </si>
  <si>
    <t>ONE EARTH</t>
  </si>
  <si>
    <t>Globally, the increasing impacts of climate change can evoke feelings of overwhelm and helplessness. Many people feel ill equipped to fully perceive or take action against our changing climate. Here, we reflect upon the Curious Climate Tasmania project and demonstrate how innovative, collaborative communication can more effectively engage non-scientist communities in climate conversations.</t>
  </si>
  <si>
    <t>[Kelly, Rachel; Mossop, David; Corney, Stuart; Cullen-Knox, Coco; Fleming, Aysha; Melbourne-Thomas, Jessica; Ogier, Emily; van Putten, Ingrid; Pecl, Gretta T.] Univ Tasmania, Ctr Marine Socioecol, Hobart, Tas 7001, Australia; [Kelly, Rachel; Mossop, David; Corney, Stuart; Ogier, Emily; Pecl, Gretta T.] Univ Tasmania, Inst Marine &amp; Antarctic Studies, Hobart, Tas 7001, Australia; [Nettlefold, Jocelyn] Australian Broadcasting Corp Hobart, Liverpool St, Hobart, Tas 7000, Australia; [Bettiol, Silvana] Univ Tasmania, Coll Hlth &amp; Med, Hobart, Tas 7001, Australia; [Fleming, Aysha] CSIRO Land &amp; Water, Hobart, Tas 7001, Australia; [Leith, Peat] CSIRO Agr &amp; Food, Coll Rd, Sandy Bay, Tas 7001, Australia; [Melbourne-Thomas, Jessica; van Putten, Ingrid] CSIRO Oceans &amp; Atmosphere, Hobart, Tas 7001, Australia</t>
  </si>
  <si>
    <t>University of Tasmania; University of Tasmania; Australian Broadcasting Corporation (ABC); University of Tasmania; Commonwealth Scientific &amp; Industrial Research Organisation (CSIRO); Commonwealth Scientific &amp; Industrial Research Organisation (CSIRO); Commonwealth Scientific &amp; Industrial Research Organisation (CSIRO)</t>
  </si>
  <si>
    <t>Kelly, R; Pecl, GT (corresponding author), Univ Tasmania, Ctr Marine Socioecol, Hobart, Tas 7001, Australia.;Kelly, R; Pecl, GT (corresponding author), Univ Tasmania, Inst Marine &amp; Antarctic Studies, Hobart, Tas 7001, Australia.</t>
  </si>
  <si>
    <t>r.kelly@utas.edu.au; gretta.pecl@utas.edu.au</t>
  </si>
  <si>
    <t>Fleming, Aysha/E-8753-2011; Melbourne-Thomas, Jess/N-2437-2019; Pecl, Gretta/D-7267-2011; van putten, ingrid/AAV-1301-2021; Leith, Peat/ABB-2829-2021; Bettiol, Silvana S/J-7606-2014</t>
  </si>
  <si>
    <t>Fleming, Aysha/0000-0001-9895-1928; Melbourne-Thomas, Jess/0000-0001-6585-876X; Pecl, Gretta/0000-0003-0192-4339; van putten, ingrid/0000-0001-8397-9768; Nettlefold, Jocelyn/0000-0002-8703-8639; Ogier, Emily/0000-0001-6157-5279; Kelly, Rachel/0000-0002-8364-1836</t>
  </si>
  <si>
    <t>Australian National Science Week 2019 grant; Tasmanian government through the Tasmanian Climate Change Office; Centre for Marine Socioecology at the University of Tasmania; Australian Research Council Future Fellowship</t>
  </si>
  <si>
    <t>Australian National Science Week 2019 grant; Tasmanian government through the Tasmanian Climate Change Office; Centre for Marine Socioecology at the University of Tasmania; Australian Research Council Future Fellowship(Australian Research Council)</t>
  </si>
  <si>
    <t>Curious Climate Tasmania was funded by an Australian National Science Week 2019 grant, by the Tasmanian government through the Tasmanian Climate Change Office, and by funds provided through the Centre for Marine Socioecology at the University of Tasmania. In-kind support was provided by the many scientific agencies that provided research staff for public presentations, material preparation, and media interviews. G.T.P. was supported by an Australian Research Council Future Fellowship. The figure graphics were produced by Visual Knowledge, Tasmania.</t>
  </si>
  <si>
    <t>CELL PRESS</t>
  </si>
  <si>
    <t>CAMBRIDGE</t>
  </si>
  <si>
    <t>50 HAMPSHIRE ST, FLOOR 5, CAMBRIDGE, MA 02139 USA</t>
  </si>
  <si>
    <t>2590-3330</t>
  </si>
  <si>
    <t>2590-3322</t>
  </si>
  <si>
    <t>One Earth</t>
  </si>
  <si>
    <t>OCT 23</t>
  </si>
  <si>
    <t>10.1016/j.oneear.2020.09.009</t>
  </si>
  <si>
    <t>Green &amp; Sustainable Science &amp; Technology; Environmental Sciences; Environmental Studies</t>
  </si>
  <si>
    <t>Science &amp; Technology - Other Topics; Environmental Sciences &amp; Ecology</t>
  </si>
  <si>
    <t>RW3JZ</t>
  </si>
  <si>
    <t>WOS:000646423500009</t>
  </si>
  <si>
    <t>Bomfleur, B; Mörs, T; Unverfärth, J; Liu, F; Läufer, A; Castillo, P; Oh, C; Park, TYS; Woo, J; Crispini, L</t>
  </si>
  <si>
    <t>Bomfleur, Benjamin; Mors, Thomas; Unverfaerth, Jan; Liu, Feng; Laeufer, Andreas; Castillo, Paula; Oh, Changhwan; Park, Tae-Yoon S.; Woo, Jusun; Crispini, Laura</t>
  </si>
  <si>
    <t>Uncharted Permian to Jurassic continental deposits in the far north of Victoria Land, East Antarctica</t>
  </si>
  <si>
    <t>JOURNAL OF THE GEOLOGICAL SOCIETY</t>
  </si>
  <si>
    <t>CENTRAL TRANSANTARCTIC MOUNTAINS; BRAIDED RIVER DEPOSIT; BEACON SUPERGROUP; TRIASSIC BOUNDARY; AGE CONSTRAINTS; ASSEMBLAGES; STRATIGRAPHY; GONDWANA; FOSSILS; GEOLOGY</t>
  </si>
  <si>
    <t>The remote lower reaches of the Rennick Glacier in the far north of Victoria Land hold some of the least-explored outcrop areas of the Transantarctic basin system. Following recent international field-work efforts in the Helliwell Hills, we here provide a comprehensive emendation to the regional stratigraphy. Results of geological and palaeontological reconnaissance and of petrographic, geochemical and palynostratigraphic analyses reveal a stack of three previously unknown sedimentary units in the study area: the Lower Triassic Van der Hoeven Formation (new unit, 115+ m thick) consists mainly of quartzose sandstone and non-carbonaceous mudstone rich in continental trace fossils. The Middle to Upper Triassic Helliwell Formation (new unit, 235 m thick) consists of coal-bearing overbank deposits and volcaniclastic sandstone and yielded typical plant fossils of the Gondwanan Dicroidium flora together with plant-bearing silicified peat. The succession is capped by c. 14 m of the sandstone-dominated Section Peak Formation (uppermost Triassic-Lower Jurassic). Our results enable more detailed correlation of the Palaeozoic-Mesozoic successions throughout East Antarctica and into Tasmania. Of particular interest is one section that spans the end-Permian mass extinction interval, which promises to allow detailed reconstructions of high-latitude vegetation dynamics across this critical interval in Earth history. Supplementary material: A Supplementary Data File containing supplementary information, figures S1-S7, and additional references is available at</t>
  </si>
  <si>
    <t>[Bomfleur, Benjamin; Unverfaerth, Jan; Castillo, Paula] Westfalische Wilhelms Univ Munster, Inst Geol &amp; Palaeontol, D-48149 Munster, Germany; [Mors, Thomas] Swedish Museum Nat Hist, Dept Palaeobiol, S-10405 Stockholm, Sweden; [Liu, Feng] Nanjing Inst Geol &amp; Palaeontol, State Key Lab Palaeobiol &amp; Stratig, Nanjing 210008, Peoples R China; [Liu, Feng] Ctr Excellence Life &amp; Paleoenvironm, Nanjing 210008, Peoples R China; [Laeufer, Andreas] Fed Inst Geosci &amp; Nat Resources BGR, D-30655 Hannover, Germany; [Oh, Changhwan] Chungbuk Natl Univ, Dept Earth Sci Educ, Chungbuk 28644, South Korea; [Park, Tae-Yoon S.] Korea Polar Res Inst, Div Polar Earth Syst Sci, Incheon 21990, South Korea; [Woo, Jusun] Seoul Natl Univ, Sch Earth &amp; Environm Sci, Seoul 21990, South Korea; [Crispini, Laura] Univ Genoa, DISTAV, I-16132 Genoa, Italy</t>
  </si>
  <si>
    <t>University of Munster; Swedish Museum of Natural History; Chinese Academy of Sciences; Chungbuk National University; Korea Polar Research Institute (KOPRI); Seoul National University (SNU); University of Genoa</t>
  </si>
  <si>
    <t>Bomfleur, B (corresponding author), Westfalische Wilhelms Univ Munster, Inst Geol &amp; Palaeontol, D-48149 Munster, Germany.</t>
  </si>
  <si>
    <t>bbomfleur@uni-muenster.de</t>
  </si>
  <si>
    <t>Crispini, Laura/N-1580-2019</t>
  </si>
  <si>
    <t>Crispini, Laura/0000-0001-5770-8569; Laufer, Andreas/0000-0003-2219-0450; Unverfarth, Jan/0000-0002-8046-2226; Mors, Thomas/0000-0003-2268-5824</t>
  </si>
  <si>
    <t>Swedish Research Council (VR grant) [2014-5232]; German Research Foundation (DFG) [BO3131/1-1]; Italian National Antarctic Research Programme (PNRA projects) [PNRA_2013/AZ2.02, PNRA_2016_0040-REGGAE]; Korea Polar Research Institute (KOPRI project) [PE20200]</t>
  </si>
  <si>
    <t>Swedish Research Council (VR grant)(Swedish Research Council); German Research Foundation (DFG)(German Research Foundation (DFG)); Italian National Antarctic Research Programme (PNRA projects); Korea Polar Research Institute (KOPRI project)(Korea Polar Research Institute of Marine Research Placement (KOPRI))</t>
  </si>
  <si>
    <t>Financial support has been provided by the Swedish Research Council (VR grant 2014-5232 to B.B.), the German Research Foundation (DFG grant BO3131/1-1, Emmy Noether Programme `Latitudinal Patterns in Plant Evolution' to B.B.), the Italian National Antarctic Research Programme (PNRA projects PNRA_2013/AZ2.02 and PNRA_2016_0040-REGGAE to L.C.), and the Korea Polar Research Institute (KOPRI project PE20200). Technical support has been provided by the AlfredWegener Institut, Helmholtz-Zentrum fur Polarund Meeresforschung (AWI, Bremerhaven) and by the Swedish Polar Research Secretariat (SPFS, Stockholm).</t>
  </si>
  <si>
    <t>GEOLOGICAL SOC PUBL HOUSE</t>
  </si>
  <si>
    <t>BATH</t>
  </si>
  <si>
    <t>UNIT 7, BRASSMILL ENTERPRISE CENTRE, BRASSMILL LANE, BATH BA1 3JN, AVON, ENGLAND</t>
  </si>
  <si>
    <t>0016-7649</t>
  </si>
  <si>
    <t>2041-479X</t>
  </si>
  <si>
    <t>J GEOL SOC LONDON</t>
  </si>
  <si>
    <t>J. Geol. Soc.</t>
  </si>
  <si>
    <t>jgs2020-062</t>
  </si>
  <si>
    <t>10.1144/jgs2020-062</t>
  </si>
  <si>
    <t>PZ9OJ</t>
  </si>
  <si>
    <t>WOS:000583905600001</t>
  </si>
  <si>
    <t>Joyce, W; Axelsson, M</t>
  </si>
  <si>
    <t>Joyce, William; Axelsson, Michael</t>
  </si>
  <si>
    <t>Regulation of splenic contraction persists as a vestigial trait in white-blooded Antarctic fishes</t>
  </si>
  <si>
    <t>JOURNAL OF FISH BIOLOGY</t>
  </si>
  <si>
    <t>adrenaline; blood volume; haematocrit; icefish; spleen; temperature</t>
  </si>
  <si>
    <t>CHAENOCEPHALUS-ACERATUS LONNBERG; DISSOSTICHUS-MAWSONI; SPLEEN; HEMOGLOBIN; TRANSCRIPTOME; ERYTHROCYTES; TOOTHFISH; VISCOSITY; TELEOST; COD</t>
  </si>
  <si>
    <t>In fishes, the spleen can function as an important reservoir for red blood cells (RBCs), which, following splenic contraction, may be released into the circulation to increase haematocrit during energy-demanding activities. This trait is particularly pronounced in red-blooded Antarctic fishes in which the spleen can sequester a large proportion of RBCs during rest, thereby reducing blood viscosity, which may serve as an adaptation to life in cold environments. In one species, Pagothenia borchgrevinki, it has previously been shown that splenic contraction primarily depends on cholinergic stimulation. The aim of the present study was to investigate the regulation of splenic contraction in five other Antarctic fish species, three red-blooded notothenioids (Dissostichus mawsoni Norman, 1937, Gobionotothen gibberifrons Lonnberg, 1905, Notothenia coriiceps Richardson 1844) and two white-blooded icefish (Chaenocephalus aceratus Lonnberg, 1906 and Champsocephalus gunnari Lonnberg, 1905), which lack haemoglobin and RBCs, but nevertheless possess a large spleen. In all species, splenic strips constricted in response to both cholinergic (carbachol) and adrenergic (adrenaline) agonists. Surprisingly, in the two species of icefish, the spleen responded with similar sensitivity to red-blooded species, despite contraction being of little obvious benefit for releasing RBCs into the circulation. Although the icefish lineage lost functional haemoglobin before diversifying over the past 7.8-4.8 millions of years, they retain the capacity to contract the spleen, likely as a vestige inherited from their red-blooded ancestors.</t>
  </si>
  <si>
    <t>[Joyce, William] Aarhus Univ, Dept Biol Zoophysiol, DK-8000 Aarhus C, Denmark; [Joyce, William] Univ Ottawa, Dept Biol, Ottawa, ON, Canada; [Axelsson, Michael] Univ Gothenburg, Dept Biol &amp; Environm Sci, Gothenburg, Sweden</t>
  </si>
  <si>
    <t>Aarhus University; University of Ottawa; University of Gothenburg</t>
  </si>
  <si>
    <t>Joyce, W (corresponding author), Aarhus Univ, Dept Biol Zoophysiol, DK-8000 Aarhus C, Denmark.</t>
  </si>
  <si>
    <t>william.joyce@bios.au.dk</t>
  </si>
  <si>
    <t>Joyce, William/U-7093-2019; Axelsson, Michael/D-1412-2009</t>
  </si>
  <si>
    <t>Joyce, William/0000-0002-3782-1641; Axelsson, Michael/0000-0002-7839-3233</t>
  </si>
  <si>
    <t>National Science Foundation [ANT 1341602, ANT 1341663]; Vetenskapsradet (Swedish Research Council) [2015-05286]; Swedish Research Council [2015-05286] Funding Source: Swedish Research Council</t>
  </si>
  <si>
    <t>National Science Foundation(National Science Foundation (NSF)); Vetenskapsradet (Swedish Research Council)(Swedish Research Council); Swedish Research Council(Swedish Research Council)</t>
  </si>
  <si>
    <t>National Science Foundation, Grant/Award Numbers: ANT 1341602, ANT 1341663; Vetenskapsradet (Swedish Research Council), Grant/Award Number: 2015-05286</t>
  </si>
  <si>
    <t>0022-1112</t>
  </si>
  <si>
    <t>1095-8649</t>
  </si>
  <si>
    <t>J FISH BIOL</t>
  </si>
  <si>
    <t>J. Fish Biol.</t>
  </si>
  <si>
    <t>10.1111/jfb.14579</t>
  </si>
  <si>
    <t>PR7ZO</t>
  </si>
  <si>
    <t>WOS:000581618400001</t>
  </si>
  <si>
    <t>Acuña-Rodríguez, IS; Galán, A; Torres-Díaz, C; Atala, C; Molina-Montenegro, MA</t>
  </si>
  <si>
    <t>Acuna-Rodriguez, Ian S.; Galan, Alexander; Torres-Diaz, Cristian; Atala, Cristian; Molina-Montenegro, Marco A.</t>
  </si>
  <si>
    <t>Fungal Symbionts Enhance N-Uptake for Antarctic Plants Even in Non-N Limited Soils</t>
  </si>
  <si>
    <t>plant-fungi interactions; nitrogen; endophytes; Antarctic vascular plants; ornithogenic soils</t>
  </si>
  <si>
    <t>N-15 NATURAL-ABUNDANCE; MYCORRHIZAL FUNGI; NITROGEN; TUNDRA; ISLAND; ADAPTATION; DIVERSITY; CARBON; POOLS</t>
  </si>
  <si>
    <t>Plant-fungi interactions have been identified as fundamental drivers of the plant host performance, particularly in cold environments where organic matter degradation rates are slow, precisely for the capacity of the fungal symbiont to enhance the availability of labile nitrogen (N) in the plant rhizosphere. Nevertheless, these positive effects appear to be modulated by the composition and amount of the N pool in the soil, being greater when plant hosts are growing where N is scarce as is the case of Antarctic soils. Nevertheless, in some coastal areas of this continent, seabirds and marine mammal colonies exert, through their accumulated feces and urine a strong influence on the edaphic N content surrounding their aggregation points. To evaluate if the fungal symbionts (root endophytes), associated to the only two Antarctic vascular plants Colobanthus quitensis and Deschampsia antarctica, act as N-uptake enhancers, even in such N-rich conditions as those found around animal influence, we assessed, under controlled conditions, the process of N mineralization in soil by the accumulation of NH4+ in the rizhosphere and the biomass accumulation of plants with (E+) and without (E-) fungal symbionts. Complementarily, taking advantage of the isotopic N-fractionation that root-fungal symbionts exert on organic N molecules during its acquisition process, we also determined if endophytes actively participate in the Antarctic plants N-uptake, when inorganic N is not a limiting factor, by estimating the delta N-15 isotopic signatures in leaves. Overall, symbiotic interaction increased the availability of NH4+ in the rhizosphere of both species. As expected, the enhanced availability of inorganic N resulted in a higher final biomass in E + compared with E- plants of both species. In addition, we found that the positive role of fungal symbionts was also actively linked to the process of N-uptake in both species, evidenced by the contrasting delta N-15 signatures present in E+ (-0.4 to -2.3 parts per thousand) relative to E- plants (2.7-3.1 parts per thousand). In conclusion, despite being grown under rich N soils, the two Antarctic vascular plants showed that the presence of root-fungal endophytes, furthermore enhanced the availability of inorganic N sources in the rhizosphere, has a positive impact in their biomass, remarking the active participation of these endophytes in the N-uptake process for plants inhabiting the Antarctic continent.</t>
  </si>
  <si>
    <t>[Acuna-Rodriguez, Ian S.; Molina-Montenegro, Marco A.] Univ Talca, Inst Ciencias Biol, Lab Biol Vegetal, Talca, Chile; [Galan, Alexander; Molina-Montenegro, Marco A.] Univ Catolica Maule, Vicerrectoria Invest &amp; Postgrad, Ctr Invest Estudios Avanzados Maule CIEAM, Talca, Chile; [Galan, Alexander] Univ Catolica Maule, Fac Ciencias Ingn, Dept Obras Civiles, Talca, Chile; [Galan, Alexander] Univ Catolica Santisima Concepcion, Ctr Reg Estudios Ambientales CREA, Concepcion, Chile; [Torres-Diaz, Cristian] Univ Bio Bio, Dept Ciencias Nat, Lab Genom &amp; Biodiversidad LGB, Chillan, Chile; [Atala, Cristian] Pontificia Univ Catolica Valparaiso, Lab Anat &amp; Ecol Func Plantes AEF, Inst Biol, Campus Curauma, Valparaiso, Chile; [Molina-Montenegro, Marco A.] Univ Catolica Norte, Ctr Estudios Avanzados Zonas Aridas CEAZA, Fac Ciencias Mar, Coquimbo, Chile</t>
  </si>
  <si>
    <t>Universidad de Talca; Universidad Catolica del Maule; Universidad Catolica del Maule; Universidad Catolica de la Santisima Concepcion; Universidad del Bio-Bio; Pontificia Universidad Catolica de Valparaiso; Universidad Catolica del Norte</t>
  </si>
  <si>
    <t>Molina-Montenegro, MA (corresponding author), Univ Talca, Inst Ciencias Biol, Lab Biol Vegetal, Talca, Chile.;Molina-Montenegro, MA (corresponding author), Univ Catolica Maule, Vicerrectoria Invest &amp; Postgrad, Ctr Invest Estudios Avanzados Maule CIEAM, Talca, Chile.;Molina-Montenegro, MA (corresponding author), Univ Catolica Norte, Ctr Estudios Avanzados Zonas Aridas CEAZA, Fac Ciencias Mar, Coquimbo, Chile.</t>
  </si>
  <si>
    <t>marco.molina@utalca.cl</t>
  </si>
  <si>
    <t>Galan, Alexander/0000-0001-8775-0426; Atala, Cristian/0000-0003-1337-9534; Torres Diaz, Cristian/0000-0002-5741-5288</t>
  </si>
  <si>
    <t>FONDECYT [1181034, 1181873]; ANID-PIA-Anillo INACH [ACT192057]</t>
  </si>
  <si>
    <t>FONDECYT(Comision Nacional de Investigacion Cientifica y Tecnologica (CONICYT)CONICYT FONDECYT); ANID-PIA-Anillo INACH</t>
  </si>
  <si>
    <t>This study was funded by the FONDECYT 1181034 and 1181873 and the ANID-PIA-Anillo INACH ACT192057.</t>
  </si>
  <si>
    <t>10.3389/fmicb.2020.575563</t>
  </si>
  <si>
    <t>OM3YD</t>
  </si>
  <si>
    <t>WOS:000585961800001</t>
  </si>
  <si>
    <t>Roman, L; Kastury, F; Petit, S; Aleman, R; Wilcox, C; Hardesty, BD; Hindell, MA</t>
  </si>
  <si>
    <t>Roman, Lauren; Kastury, Farzana; Petit, Sophie; Aleman, Rina; Wilcox, Chris; Hardesty, Britta Denise; Hindell, Mark A.</t>
  </si>
  <si>
    <t>Plastic, nutrition and pollution; relationships between ingested plastic and metal concentrations in the livers of two Pachyptila seabirds</t>
  </si>
  <si>
    <t>HEAVY-METALS; TRACE-METALS; SOUTHERN-OCEAN; HAZARDOUS ELEMENTS; PRODUCTION PELLETS; URIA AALGE; IRON; STARVATION; CADMIUM; CONTAMINATION</t>
  </si>
  <si>
    <t>Naturally occurring metals and metalloids [metal(loid)s] are essential for the physiological functioning of wildlife; however, environmental contamination by metal(loid) and plastic pollutants is a health hazard. Metal(loid)s may interact with plastic in the environment and there is mixed evidence about whether plastic ingested by wildlife affects metal(loid) absorption/assimilation and concentration in the body. We examined ingested plastic and liver concentration of eleven metal(loid)s in two seabird species: fairy (Pachyptila turtur) and slender-billed prions (P. belcheri). We found significant relationships between ingested plastic and the concentrations of aluminium (Al), manganese (Mn), iron (Fe), cobalt (Co), copper (Cu) and zinc (Zn) in the liver of prions. We investigated whether the pattern of significant relationships reflected plastic-metal(loid) associations predicted in the scientific literature, including by transfer of metals from ingested plastics or malnutrition due to dietary dilution by plastics in the gut. We found some support for both associations, suggesting that ingested plastic may be connected with dietary dilution / lack of essential nutrients, especially iron, and potential transfer of zinc. We did not find a relationship between plastic and non-essential metal(loid)s, including lead. The effect of plastic was minor compared to that of dietary exposure to metal(oid)s, and small plastic loads (&lt; 3 items) had no discernible link with metal(loid)s. This new evidence shows a relationship between plastic ingestion and liver metal(loid) concentrations in free-living wildlife.</t>
  </si>
  <si>
    <t>[Roman, Lauren; Wilcox, Chris; Hardesty, Britta Denise] CSIRO Oceans &amp; Atmosphere, Hobart, Tas, Australia; [Roman, Lauren; Hindell, Mark A.] Univ Tasmania, Inst Marine &amp; Antarctic Studies, Hobart, Tas, Australia; [Kastury, Farzana] Univ South Australia, Future Ind Inst, Adelaide, SA, Australia; [Petit, Sophie; Aleman, Rina] Univ South Australia, UniSA STEM, ScaRCE Res Ctr, Adelaide, SA, Australia; [Hindell, Mark A.] Univ Tasmania, Antarctic Climate &amp; Ecosyst CRC, Hobart, Tas, Australia</t>
  </si>
  <si>
    <t>Commonwealth Scientific &amp; Industrial Research Organisation (CSIRO); University of Tasmania; University of South Australia; University of South Australia; University of Tasmania</t>
  </si>
  <si>
    <t>Roman, L (corresponding author), CSIRO Oceans &amp; Atmosphere, Hobart, Tas, Australia.;Roman, L (corresponding author), Univ Tasmania, Inst Marine &amp; Antarctic Studies, Hobart, Tas, Australia.</t>
  </si>
  <si>
    <t>lauren.roman@utas.edu.au</t>
  </si>
  <si>
    <t>Kastury, Farzana/AAS-4944-2020; Hindell, Mark A/K-1131-2013; Hardesty, Britta Denise/A-3189-2011; Roman, Lauren/K-3804-2015; Petit, Sophie/D-1459-2010</t>
  </si>
  <si>
    <t>Kastury, Farzana/0000-0001-5593-0414; Roman, Lauren/0000-0003-3591-4905; Petit, Sophie/0000-0002-7984-5123</t>
  </si>
  <si>
    <t>BirdLife Australia's Australian Bird Environment Fund; Sea World Research and Rescue Foundation Inc (SWRRFI) Marine Vertebrates grant</t>
  </si>
  <si>
    <t>We acknowledge warmly the contribution and assistance of Matt Rayner and Auckland War Memorial Museum (storage and laboratory space, assistance with necropsies). We are further indebted to Ian Southey and Stephanie Borelli for assisting with collection of the prions, to Ian Southey for assisting with the carcass collection and necropsies, to Albert Juhasz for facilitating the organ analyses, and to Victoria Zawko for assisting with the laboratory work. We are grateful to the Department of Conservation, New Zealand, for research permission and to BirdLife Australia's Australian Bird Environment Fund grant and Sea World Research and Rescue Foundation Inc (SWRRFI) Marine Vertebrates grant for providing the financial support for this project.</t>
  </si>
  <si>
    <t>OCT 22</t>
  </si>
  <si>
    <t>10.1038/s41598-020-75024-6</t>
  </si>
  <si>
    <t>QD2UK</t>
  </si>
  <si>
    <t>WOS:000615379800016</t>
  </si>
  <si>
    <t>Hogg, CJ; Lea, MA; Soler, MG; Vasquez, VN; Payo-Payo, A; Parrott, ML; Santos, MM; Shaw, J; Brooks, CM</t>
  </si>
  <si>
    <t>Hogg, Carolyn J.; Lea, Mary-Anne; Gual Soler, Marga; Vasquez, Valeri N.; Payo-Payo, Ana; Parrott, Marissa L.; Santos, M. Mercedes; Shaw, Justine; Brooks, Cassandra M.</t>
  </si>
  <si>
    <t>Protect the Antarctic Peninsula - before it's too late</t>
  </si>
  <si>
    <t>Climate change; Ocean sciences; Policy</t>
  </si>
  <si>
    <t>[Hogg, Carolyn J.] Univ Sydney, Sch Life &amp; Environm Sci, Australasian Wildlife Genom Grp, Sydney, NSW, Australia; [Lea, Mary-Anne] Univ Tasmania, Inst Marine &amp; Antarctic Studies, Hobart, Tas, Australia; [Lea, Mary-Anne; Shaw, Justine] Homeward Bound, San Francisco, CA USA; [Gual Soler, Marga] SciDipGLOBAL, Washington, DC USA; [Gual Soler, Marga] EU Sci Diplomacy Cluster, Madrid, Spain; [Vasquez, Valeri N.] Univ Calif Berkeley, Rausser Coll Nat Resources, Energy &amp; Resources Grp, Berkeley, CA 94720 USA; [Payo-Payo, Ana] Univ Aberdeen, Sch Biol Sci, Aberdeen, Scotland; [Parrott, Marissa L.] Zoos Victoria, Wildlife Conservat &amp; Sci, Melbourne, Vic, Australia; [Santos, M. Mercedes] Natl Pk Adm, Marine Protected Areas, Buenos Aires, DF, Argentina; [Santos, M. Mercedes] Argentine Antarctic Inst, Buenos Aires, DF, Argentina; [Shaw, Justine] Univ Queensland, Sch Earth &amp; Environm Sci, Brisbane, Qld, Australia; [Brooks, Cassandra M.] Univ Colorado, Environm Studies Program, Boulder, CO 80309 USA</t>
  </si>
  <si>
    <t>University of Sydney; University of Tasmania; University of California System; University of California Berkeley; University of Aberdeen; Melbourne Genomics Health Alliance; University of Queensland; University of Colorado System; University of Colorado Boulder</t>
  </si>
  <si>
    <t>Hogg, CJ (corresponding author), Univ Sydney, Sch Life &amp; Environm Sci, Australasian Wildlife Genom Grp, Sydney, NSW, Australia.</t>
  </si>
  <si>
    <t>carolyn.hogg@sydney.edu.au</t>
  </si>
  <si>
    <t>Hogg, Carolyn J/A-5435-2012; Payo-Payo, Ana/AGG-0483-2022; Lea, Mary-Anne/E-9054-2013</t>
  </si>
  <si>
    <t>Payo-Payo, Ana/0000-0001-5482-242X; Hogg, Carolyn/0000-0002-6328-398X; Gual Soler, Marga/0000-0002-9606-349X; Lea, Mary-Anne/0000-0001-8318-9299</t>
  </si>
  <si>
    <t>10.1038/d41586-020-02939-5</t>
  </si>
  <si>
    <t>OC3QK</t>
  </si>
  <si>
    <t>WOS:000579073000001</t>
  </si>
  <si>
    <t>Wynne, JW; Thakur, KK; Slinger, J; Samsing, F; Milligan, B; Powell, JFF; McKinnon, A; Nekouei, O; New, D; Richmond, Z; Gardner, I; Siah, A</t>
  </si>
  <si>
    <t>Wynne, James W.; Thakur, Krishna K.; Slinger, Joel; Samsing, Francisca; Milligan, Barry; Powell, James F. F.; McKinnon, Allison; Nekouei, Omid; New, Danielle; Richmond, Zina; Gardner, Ian; Siah, Ahmed</t>
  </si>
  <si>
    <t>Microbiome Profiling Reveals a Microbial Dysbiosis During a Natural Outbreak of Tenacibaculosis (Yellow Mouth) in Atlantic Salmon</t>
  </si>
  <si>
    <t>Tenacibaculum maritimum; microbiome; yellow mouth; aquaculture; dysbiosis</t>
  </si>
  <si>
    <t>MARITIMUM; BACTERIUM; INFECTION; DISEASE; 20J</t>
  </si>
  <si>
    <t>Tenacibaculosis remains a major health issue for a number of important aquaculture species globally. On the west coast of Canada, yellow mouth (YM) disease is responsible for significant economic loss to the Atlantic salmon industry. While Tenacibaculum maritimum is considered to be the primary agent of clinical YM, the impact of YM on the resident microbial community and their influence on the oral cavity is poorly understood. Using a 16s rRNA amplicon sequencing analysis, the present study demonstrates a significant dysbiosis and a reduction in diversity of the microbial community in the YM affected Atlantic salmon. The microbial community of YM affected fish was dominated by two amplicon sequence variants (ASVs) of T. maritimum, although other less abundant ASVs were also found. Interestingly clinically unaffected (healthy) and YM surviving fish also had a high relative abundance of T. maritimum, suggesting that the presence of T. maritimum is not solely responsible for YM. A statistically significant association was observed between the abundance of T. maritimum and increased abundance of Vibrio spp. within fish displaying clinical signs of YM. Findings from our study provide further evidence that YM is a complex multifactorial disease, characterized by a profound dysbiosis of the microbial community which is dominated by distinct ASVs of T. maritimum. Opportunistic taxa, including Vibrio spp., may also play a role in clinical disease progression.</t>
  </si>
  <si>
    <t>[Wynne, James W.; Slinger, Joel; Samsing, Francisca] CSIRO Agr &amp; Food, Hobart, Tas, Australia; [Thakur, Krishna K.; Gardner, Ian] Univ Prince Edward Isl, Atlantic Vet Coll, Charlottetown, PE, Canada; [Slinger, Joel] Univ Tasmania, Inst Marine &amp; Antarctic Studies, Launceston, Tas, Australia; [Milligan, Barry; New, Danielle] CERMAQ Canada, Campbell River, BC, Canada; [Powell, James F. F.; Richmond, Zina; Siah, Ahmed] British Columbia Ctr Aquat Hlth Sci, Campbell River, BC, Canada; [McKinnon, Allison] Elanco Anim Hlth, Charlottetown, PE, Canada; [Nekouei, Omid] Anim Hlth Serv, Food &amp; Agr Org United Nations FAO, Rome, Italy</t>
  </si>
  <si>
    <t>Commonwealth Scientific &amp; Industrial Research Organisation (CSIRO); University of Prince Edward Island; University of Tasmania; Food &amp; Agriculture Organization of the United Nations (FAO)</t>
  </si>
  <si>
    <t>Wynne, JW (corresponding author), CSIRO Agr &amp; Food, Hobart, Tas, Australia.</t>
  </si>
  <si>
    <t>james.wynne@csiro.au</t>
  </si>
  <si>
    <t>Samsing, Francisca/ABA-6072-2021; Slinger, Joel/AAD-6684-2022; Wynne, James W/H-7957-2013; Samsing, Francisca/AAL-8488-2021; Thakur, Krishna/H-8736-2019</t>
  </si>
  <si>
    <t>Wynne, James W/0000-0001-6846-757X; Samsing, Francisca/0000-0002-6343-2295; Thakur, Krishna/0000-0002-9964-4273; Nekouei, Omid/0000-0002-2427-4159</t>
  </si>
  <si>
    <t>CSIRO Julius career award; Canada Excellence Research Chair program in Aquatic Epidemiology at the University of Prince Edward Island</t>
  </si>
  <si>
    <t>This research was partly funded through a CSIRO Julius career award to JW and the Canada Excellence Research Chair program in Aquatic Epidemiology at the University of Prince Edward Island.</t>
  </si>
  <si>
    <t>10.3389/fmicb.2020.586387</t>
  </si>
  <si>
    <t>OL4ZT</t>
  </si>
  <si>
    <t>WOS:000585350800001</t>
  </si>
  <si>
    <t>Collins, M; Clark, MS; Spicer, JI; Truebano, M</t>
  </si>
  <si>
    <t>Collins, Michael; Clark, Melody S.; Spicer, John I.; Truebano, Manuela</t>
  </si>
  <si>
    <t>Transcriptional frontloading contributes to cross-tolerance between stressors</t>
  </si>
  <si>
    <t>EVOLUTIONARY APPLICATIONS</t>
  </si>
  <si>
    <t>cross-tolerance; environmental change; frontloading; multistressor; plasticity</t>
  </si>
  <si>
    <t>AMPHIPOD ECHINOGAMMARUS-MARINUS; PHYSIOLOGICAL-RESPONSES; MULTIPLE STRESSORS; GENE-EXPRESSION; RNA-SEQ; HYPOXIA; OXYGEN; ACCLIMATION; TEMPERATURE; POPULATIONS</t>
  </si>
  <si>
    <t>The adaptive value of phenotypic plasticity for performance under single stressors is well documented. However, plasticity may only truly be adaptive in the natural multifactorial environment if it confers resilience to stressors of a different nature, a phenomenon known as cross-tolerance. An understanding of the mechanistic basis of cross-tolerance is essential to aid prediction of species resilience to future environmental change. Here, we identified mechanisms underpinning cross-tolerance between two stressors predicted to increasingly challenge aquatic ecosystems under climate change, chronic warming and hypoxia, in an ecologically-important aquatic invertebrate. Warm acclimation improved hypoxic performance through an adaptive hypometabolic strategy and changes in the expression of hundreds of genes that are important in the response to hypoxia. These 'frontloaded' genes showed a reduced reaction to hypoxia in the warm acclimated compared to the cold acclimated group. Frontloaded genes included stress indicators, immune response and protein synthesis genes that are protective at the cellular level. We conclude that increased constitutive gene expression as a result of warm acclimation reduced the requirement for inducible stress responses to hypoxia. We propose that transcriptional frontloading contributes to cross-tolerance between stressors and may promote fitness of organisms in environments increasingly challenged by multiple anthropogenic threats.</t>
  </si>
  <si>
    <t>[Collins, Michael; Spicer, John I.; Truebano, Manuela] Univ Plymouth, Sch Biol &amp; Marine Sci, Marine Biol &amp; Ecol Res Ctr, Plymouth PL4 8AA, Devon, England; [Collins, Michael; Clark, Melody S.] NERC, British Antarctic Survey, Cambridge, England</t>
  </si>
  <si>
    <t>University of Plymouth; UK Research &amp; Innovation (UKRI); Natural Environment Research Council (NERC); NERC British Antarctic Survey</t>
  </si>
  <si>
    <t>Collins, M (corresponding author), Univ Plymouth, Sch Biol &amp; Marine Sci, Marine Biol &amp; Ecol Res Ctr, Plymouth PL4 8AA, Devon, England.</t>
  </si>
  <si>
    <t>michael.collins@plymouth.ac.uk</t>
  </si>
  <si>
    <t>Clark, Melody S/D-7371-2014; Truebano, Manuela/AAO-4545-2021</t>
  </si>
  <si>
    <t>Truebano, Manuela/0000-0003-2586-6524; Collins, Michael/0000-0003-2112-5294</t>
  </si>
  <si>
    <t>School of Biological and Marine Sciences, University of Plymouth, United Kingdom; NERC; NERC [bas0100036] Funding Source: UKRI</t>
  </si>
  <si>
    <t>School of Biological and Marine Sciences, University of Plymouth, United Kingdom; NERC(UK Research &amp; Innovation (UKRI)Natural Environment Research Council (NERC)); NERC(UK Research &amp; Innovation (UKRI)Natural Environment Research Council (NERC))</t>
  </si>
  <si>
    <t>The authors thank the MBERC technical staff and Prof. Simon Rundle for commenting on the manuscript. This research was funded by the School of Biological and Marine Sciences, University of Plymouth, United Kingdom. MSC was supported by NERC core funding to the British Antarctic Survey, United Kingdom.</t>
  </si>
  <si>
    <t>1752-4571</t>
  </si>
  <si>
    <t>EVOL APPL</t>
  </si>
  <si>
    <t>Evol. Appl.</t>
  </si>
  <si>
    <t>10.1111/eva.13142</t>
  </si>
  <si>
    <t>Evolutionary Biology</t>
  </si>
  <si>
    <t>QJ7JG</t>
  </si>
  <si>
    <t>WOS:000580981200001</t>
  </si>
  <si>
    <t>Britton, D; Schmid, M; Revill, AT; Virtue, P; Nichols, PD; Hurd, CL; Mundy, CN</t>
  </si>
  <si>
    <t>Britton, Damon; Schmid, Matthias; Revill, Andrew T.; Virtue, Patti; Nichols, Peter D.; Hurd, Catriona L.; Mundy, Craig N.</t>
  </si>
  <si>
    <t>Seasonal and site-specific variation in the nutritional quality of temperate seaweed assemblages: implications for grazing invertebrates and the commercial exploitation of seaweeds</t>
  </si>
  <si>
    <t>JOURNAL OF APPLIED PHYCOLOGY</t>
  </si>
  <si>
    <t>Polyunsaturated fatty acids (PUFA); Fatty acids; Macroalgae; Nutritional quality; Seasonal; Seaweed</t>
  </si>
  <si>
    <t>FATTY-ACID-COMPOSITION; ABALONE HALIOTIS-RUBRA; LIPID-COMPOSITION; OCEAN ACIDIFICATION; AUSTRALIAN ABALONE; LIGHT-INTENSITY; STABLE-ISOTOPE; GROWTH; MACROALGAE; ALGAE</t>
  </si>
  <si>
    <t>In coastal ecosystems, seaweeds provide habitat and a food source for a variety of species including herbivores of commercial importance. In these systems seaweeds are the ultimate source of energy with any changes in the seaweeds invariably affecting species of higher trophic levels. Seaweeds are rich sources of nutritionally important compounds such as polyunsaturated fatty acids (PUFA) and are particularly rich in long-chain (&gt;= C-20) PUFA (LC-PUFA). In southern Australia, the 'Great Southern Reef' has one of the most diverse assemblages of seaweeds in the world, which support highly productive fisheries and have been recognised as a promising resource of omega-3 LC-PUFA. Despite this, there is little information on the biochemical composition of most species and how it varies between sites and seasons. To address this knowledge gap, we undertook a survey to assess seasonal variability in the biochemical composition (fatty acids and nitrogen content) of abundant understory seaweeds across three sites in eastern Tasmania. The availability of nutritional compounds differed between sites and was primarily driven by differences in the biomass and the biochemical composition of the nutritious red seaweeds at each site. This variability may explain regional differences in the productivity of commercial fisheries. At the species level, seasonal changes in fatty acid composition were highly variable between species and sites, indicating that multiple environmental drivers influence fatty acid composition of seaweeds in this system. This finding suggests that commercial harvest of seaweeds from eastern Tasmania will need to consider species and site-specific variability in fatty acid composition.</t>
  </si>
  <si>
    <t>[Britton, Damon; Schmid, Matthias; Virtue, Patti; Nichols, Peter D.; Hurd, Catriona L.; Mundy, Craig N.] Univ Tasmania, Inst Marine &amp; Antarctic Studies, 20 Castray Esplanade, Hobart, Tas 7004, Australia; [Revill, Andrew T.; Virtue, Patti; Nichols, Peter D.] CSIRO Oceans &amp; Atmosphere, Hobart, Tas 7000, Australia; [Virtue, Patti] Antarctic Climate &amp; Ecosyst, Cooperat Res Ctr, Hobart, Tas 7004, Australia</t>
  </si>
  <si>
    <t>University of Tasmania; Commonwealth Scientific &amp; Industrial Research Organisation (CSIRO); Antarctic Climate &amp; Ecosystems Cooperative Research Centre (ACE CRC)</t>
  </si>
  <si>
    <t>Britton, D (corresponding author), Univ Tasmania, Inst Marine &amp; Antarctic Studies, 20 Castray Esplanade, Hobart, Tas 7004, Australia.</t>
  </si>
  <si>
    <t>damon.britton@utas.edu.au</t>
  </si>
  <si>
    <t>Revill, Andrew T/B-8733-2011; Mundy, Craig/G-3390-2014; Nichols, Peter D/C-5128-2011; Hurd, Catriona/J-2411-2013</t>
  </si>
  <si>
    <t>Mundy, Craig/0000-0002-1945-3750; Britton, Damon/0000-0002-9029-7527; Hurd, Catriona/0000-0001-9965-4917</t>
  </si>
  <si>
    <t>Tasmanian Abalone Council [UTAS 113626]</t>
  </si>
  <si>
    <t>Tasmanian Abalone Council</t>
  </si>
  <si>
    <t>The research was funded by a grant from the Tasmanian Abalone Council (UTAS 113626), matched by the Institute for Marine and Antarctic Studies.</t>
  </si>
  <si>
    <t>0921-8971</t>
  </si>
  <si>
    <t>1573-5176</t>
  </si>
  <si>
    <t>J APPL PHYCOL</t>
  </si>
  <si>
    <t>J. Appl. Phycol.</t>
  </si>
  <si>
    <t>10.1007/s10811-020-02302-1</t>
  </si>
  <si>
    <t>Biotechnology &amp; Applied Microbiology; Marine &amp; Freshwater Biology</t>
  </si>
  <si>
    <t>QB5AA</t>
  </si>
  <si>
    <t>WOS:000581549000001</t>
  </si>
  <si>
    <t>Sancho, L; de los Ríos, A; Pintado, A; Colesie, C; Raggio, J; Ascaso, C; Green, A</t>
  </si>
  <si>
    <t>Sancho, Leo; de los Rios, Asuncion; Pintado, Ana; Colesie, Claudia; Raggio, Jose; Ascaso, Carmen; Green, Allan</t>
  </si>
  <si>
    <t>Himantormia lugubris, an Antarctic endemic on the edge of the lichen symbiosis</t>
  </si>
  <si>
    <t>SYMBIOSIS</t>
  </si>
  <si>
    <t>Ecophysiology; Antarctic; Lichens; Photosynthesis; Anatomy; Himantormia lugubris</t>
  </si>
  <si>
    <t>SOUTH SHETLAND ISLANDS; CLIMATE-CHANGE; PLANT; ACCLIMATION; TEMPERATURE; CRYPTOGAMS; MODELS</t>
  </si>
  <si>
    <t>Himantormia lugubris is an Antarctic endemic with a distribution restricted to the northwest tip of Antarctic Peninsula, adjacent islands and South Georgia Island. In this region H. lugubris is an important component of the epilithic lichen community. The species has a fruticose thallus with usually simple and flattened branches whose grey surface is often disrupted exposing the black and dominant chondroid axis. Because the photobiont cells are mainly restricted to the patchy grey areas, positive carbon balance seems to be rather difficult for this species. Therefore, the aim of this paper is to elucidate which functional strategy, possibly linked with thallus anatomy, is used by H. lugubris that enables it to be a successful species in the maritime Antarctic. To achieve this goal, we constructed a picture of the lichen's physiological, anatomical and morphological characteristics by using a broad range of technologies, such as chlorophyll fluorescence, CO2 exchange and electron microscopy. We found that H. lugubris has a very low net photosynthesis, apparently restricted to the grey areas, but high respiratory rates. Therefore, positive net photosynthesis is only possible at low temperatures. Chlorophyll content is also low but is present in both gray and black areas. Our conclusion is that the only possibility for this species to achieve a positive carbon balance is to be active for long periods under optimal conditions, that means, wet, cold and with enough light, a common combination in this region of Antarctica. Given these constrains, we suggest that H. lugubris is likely to be especially sensitive species to predicted climate warming in the maritime Antarctic.</t>
  </si>
  <si>
    <t>[Sancho, Leo; Pintado, Ana; Raggio, Jose; Green, Allan] Univ Complutense Madrid, Fac Farm, Unidad Bot, Plaza Ramon y Cajal S-N, S-28040 Madrid, Spain; [de los Rios, Asuncion; Ascaso, Carmen] CSIC, Museo Nacl Ciencias Nat, Dept Biogeoquim &amp; Ecol Microbiana, Serrano 115 Dup, Madrid 28006, Spain; [Colesie, Claudia] Univ Edinburgh, Sch GeoSci, Global Change Inst, Alexander Crum Brown Rd, Edinburgh EH9 3FF, Midlothian, Scotland</t>
  </si>
  <si>
    <t>Complutense University of Madrid; Consejo Superior de Investigaciones Cientificas (CSIC); CSIC - Museo Nacional de Ciencias Naturales (MNCN); University of Edinburgh</t>
  </si>
  <si>
    <t>Sancho, L (corresponding author), Univ Complutense Madrid, Fac Farm, Unidad Bot, Plaza Ramon y Cajal S-N, S-28040 Madrid, Spain.</t>
  </si>
  <si>
    <t>sancholg@ucm.es</t>
  </si>
  <si>
    <t>de los Rios, Asuncion/L-3694-2014; Raggio, Jose/H-4167-2015; Colesie, Claudia/H-4258-2015</t>
  </si>
  <si>
    <t>de los Rios, Asuncion/0000-0002-0266-3516; Colesie, Claudia/0000-0003-1136-0290</t>
  </si>
  <si>
    <t>MINECO/FEDER, UE [CTM2015-64728-C2-1-R, CTM2015-64728-C2-2-R]; Alexander von Humboldt Foundation via the Feodor Lynen Research Fellowship</t>
  </si>
  <si>
    <t>MINECO/FEDER, UE(Spanish Government); Alexander von Humboldt Foundation via the Feodor Lynen Research Fellowship(Alexander von Humboldt Foundation)</t>
  </si>
  <si>
    <t>We would like to acknowledge the excellent logistic support of the staff of Spanish Antarctic Station Juan Carlos I. We are also indebted to the Spanish Meteorological Agency (AEMET) for the accurate daily weather forecast for Livingston Island that allows us a successful design of the experiments using natural hydration. Field work as well as most of the lab experiments were supported by the grant CTM2015-64728-C2-1-R (MINECO/FEDER, UE). We thank technical support of Carlos Arroyo (MNCN), Virginia Souza Egipsy (IEM) and personal of MNCN and CNB Microscopy Services. Electron microscopy work was supported by the grant CTM2015-64728-C2-2-R (MINECO/FEDER, UE). CC gratefully acknowledges the Alexander von Humboldt Foundation for financial support via the Feodor Lynen Research Fellowship. We thank Dr. Jose Pizarro for his expert contribution to the design of the distribution map.</t>
  </si>
  <si>
    <t>0334-5114</t>
  </si>
  <si>
    <t>1878-7665</t>
  </si>
  <si>
    <t>Symbiosis</t>
  </si>
  <si>
    <t>10.1007/s13199-020-00723-7</t>
  </si>
  <si>
    <t>OS6AI</t>
  </si>
  <si>
    <t>WOS:000581554800005</t>
  </si>
  <si>
    <t>Ajani, PA; Davies, CH; Eriksen, RS; Richardson, AJ</t>
  </si>
  <si>
    <t>Ajani, Penelope A.; Davies, Claire H.; Eriksen, Ruth S.; Richardson, Anthony J.</t>
  </si>
  <si>
    <t>Global Warming Impacts Micro-Phytoplankton at a Long-Term Pacific Ocean Coastal Station</t>
  </si>
  <si>
    <t>climate change; community temperature index; time-series; diatom; phytoplankton</t>
  </si>
  <si>
    <t>CLIMATE-CHANGE; ASTERIONELLOPSIS-GLACIALIS; DIVERSITY; WATERS; VARIABILITY; ABUNDANCE; BLOOM; BACILLARIOPHYTA; COMMUNITIES; DYNAMICS</t>
  </si>
  <si>
    <t>Understanding impacts of global warming on phytoplankton-the foundation of marine ecosystems-is critical to predicting changes in future biodiversity, ocean productivity, and ultimately fisheries production. Using phytoplankton community abundance and environmental data that span similar to 90 years (1931-2019) from a long-term Pacific Ocean coastal station off Sydney, Australia, we examined the response of the phytoplankton community to long-term ocean warming using the Community Temperature Index (CTI), an index of the preferred temperature of a community. With warming of similar to 1.8 degrees C at the site since 1931, we found a significant increase in the CTI from 1931-1932 to 2009-2019, suggesting that the relative proportion of warm-water to cold-water species has increased. The CTI also showed a clear seasonal cycle, with highest values at the end of austral summer (February/March) and lowest at the end of winter (August/September), a pattern well supported by other studies at this location. The shift in CTI was a consequence of the decline in the relative abundance of the cool-affinity (optimal temperature = 18.7 degrees C), chain-forming diatom Asterionellopsis glacialis (40% in 1931-1932 to 13% in 2009 onward), and a substantial increase in the warm-affinity (21.5 degrees C), also chain-forming diatom Leptocylindrus danicus (20% in 1931-1932 to 57% in 2009 onward). L. danicus reproduces rapidly, forms resting spores under nutrient depletion, and displays a wide thermal range. Species such as L. danicus may provide a glimpse of the functional traits necessary to be a winner under climate change.</t>
  </si>
  <si>
    <t>[Ajani, Penelope A.] Univ Technol Sydney, Sch Life Sci, Sydney, NSW, Australia; [Davies, Claire H.; Eriksen, Ruth S.] CSIRO Oceans &amp; Atmosphere, Hobart, Tas, Australia; [Eriksen, Ruth S.] Univ Tasmania, Inst Marine &amp; Antarctic Studies, Hobart, Tas, Australia; [Richardson, Anthony J.] Univ Queensland, Sch Math &amp; Phys, St Lucia, Qld, Australia; [Richardson, Anthony J.] CSIRO Oceans &amp; Atmosphere, Queensland Biosci Precinct, St Lucia, Qld, Australia</t>
  </si>
  <si>
    <t>University of Technology Sydney; Commonwealth Scientific &amp; Industrial Research Organisation (CSIRO); University of Tasmania; University of Queensland; Commonwealth Scientific &amp; Industrial Research Organisation (CSIRO)</t>
  </si>
  <si>
    <t>Ajani, PA (corresponding author), Univ Technol Sydney, Sch Life Sci, Sydney, NSW, Australia.</t>
  </si>
  <si>
    <t>Penelope.Ajani@uts.edu.au</t>
  </si>
  <si>
    <t>Richardson, Anthony J/B-3649-2010; Davies, Claire H/G-6888-2013; Eriksen, Ruth/J-7760-2014</t>
  </si>
  <si>
    <t>Richardson, Anthony J/0000-0002-9289-7366; Davies, Claire H/0000-0002-0424-1835; Eriksen, Ruth/0000-0002-5184-2465; Ajani, Penelope/0000-0001-5364-9936</t>
  </si>
  <si>
    <t>Australian Government</t>
  </si>
  <si>
    <t>Australian Government(Australian Government)</t>
  </si>
  <si>
    <t>We acknowledge all contributors, past and present to the PH100m time-series dataset especially Prof. Gustaaf Hallegraeff, Ms. Alex Coughlan, Dr. Tim Ingleton, and Dr. Andrew Allen. National Reference Station data are sourced from the Integrated Marine Observing System (IMOS). IMOS is a national collaborative research infrastructure, supported by the Australian Government. All data are available through the Australian Ocean Data Network (AODN) portal (https://portal.aodn.org.au/search).The data used for calculating the STIs can be sourced from the AusCPR and NRS data collections and the other datasets are included in the Australian Phytoplankton Database (Davies et al., 2016). The data collection titles at the AODN are as follows: IMOS-AusCPR: Phytoplankton Abundance; IMOS National Reference Station (NRS)-Phytoplankton Abundance and Biovolume; The Australian Phytoplankton Database (1844-ongoing)-Abundance and Biovolume.</t>
  </si>
  <si>
    <t>OCT 21</t>
  </si>
  <si>
    <t>10.3389/fmars.2020.576011</t>
  </si>
  <si>
    <t>OE5YL</t>
  </si>
  <si>
    <t>WOS:000580605700001</t>
  </si>
  <si>
    <t>Ford, AK; Jouffray, JB; Norstrom, AV; Moore, BR; Nugues, MM; Williams, GJ; Bejarano, S; Magron, F; Wild, C; Ferse, SCA</t>
  </si>
  <si>
    <t>Ford, Amanda K.; Jouffray, Jean-Baptiste; Norstrom, Albert, V; Moore, Bradley R.; Nugues, Maggy M.; Williams, Gareth J.; Bejarano, Sonia; Magron, Franck; Wild, Christian; Ferse, Sebastian C. A.</t>
  </si>
  <si>
    <t>Local Human Impacts Disrupt Relationships Between Benthic Reef Assemblages and Environmental Predictors</t>
  </si>
  <si>
    <t>climate change; reef degradation; ecological reorganisation; ecological homogenisation; generalised additive models; model selection</t>
  </si>
  <si>
    <t>CARIBBEAN CORAL-REEFS; RESPONSE DIVERSITY; RECOVERY PATTERNS; RESILIENCE; HURRICANES; SHIFTS; DISTURBANCE; ECOSYSTEMS; KNOWLEDGE; ABUNDANCE</t>
  </si>
  <si>
    <t>Human activities are changing ecosystems at an unprecedented rate, yet large-scale studies into how local human impacts alter natural systems and interact with other aspects of global change are still lacking. Here we provide empirical evidence that local human impacts fundamentally alter relationships between ecological communities and environmental drivers. Using tropical coral reefs as a study system, we investigated the influence of contrasting levels of local human impact using a spatially extensive dataset spanning 62 outer reefs around inhabited Pacific islands. We tested how local human impacts (low versus high determined using a threshold of 25 people km(-2) reef) affected benthic community (i) structure, and (ii) relationships with environmental predictors using pre-defined models and model selection tools. Data on reef depth, benthic assemblages, and herbivorous fish communities were collected from field surveys. Additional data on thermal stress, storm exposure, and market gravity (a function of human population size and reef accessibility) were extracted from public repositories. Findings revealed that reefs subject to high local human impact were characterised by relatively more turf algae (&gt;10% higher mean absolute coverage) and lower live coral cover (9% less mean absolute coverage) than reefs subject to low local human impact, but had similar macroalgal cover and coral morphological composition. Models based on spatio-physical predictors were significantly more accurate in explaining the variation of benthic assemblages at sites with low (mean adjusted-R-2 = 0.35) rather than high local human impact, where relationships became much weaker (mean adjusted-R-2 = 0.10). Model selection procedures also identified a distinct shift in the relative importance of different herbivorous fish functional groups in explaining benthic communities depending on the local human impact level. These results demonstrate that local human impacts alter natural systems and indicate that projecting climate change impacts may be particularly challenging at reefs close to higher human populations, where dependency and pressure on ecosystem services are highest.</t>
  </si>
  <si>
    <t>[Ford, Amanda K.; Ferse, Sebastian C. A.] Leibniz Ctr Trop Marine Res ZMT, Dept Ecol, Bremen, Germany; [Ford, Amanda K.; Wild, Christian; Ferse, Sebastian C. A.] Univ Bremen, Fac Biol &amp; Chem FB2, Dept Marine Ecol, Bremen, Germany; [Ford, Amanda K.; Jouffray, Jean-Baptiste; Norstrom, Albert, V] Stockholm Univ, Stockholm Resilience Ctr, Stockholm, Sweden; [Ford, Amanda K.] Univ South Pacific, Fac Sci Technol &amp; Environm, Sch Marine Studies, Suva, Fiji; [Jouffray, Jean-Baptiste] Royal Swedish Acad Sci, Global Econ Dynam &amp; Biosphere Acad Programme, Stockholm, Sweden; [Moore, Bradley R.; Magron, Franck] Pacific Community SPC, Noumea, New Caledonia; [Moore, Bradley R.] Univ Tasmania, Inst Marine &amp; Antarctic Studies, Hobart, Tas, Australia; [Moore, Bradley R.] Natl Inst Water &amp; Atmospher Res, Nelson, New Zealand; [Nugues, Maggy M.] PSL Res Univ, USR3278 CRIOBE, UPVD CNRS, EPHE, Paris, France; [Nugues, Maggy M.] CRIOBE, Labex Coral, Moorea, French Polynesi, France; [Williams, Gareth J.] Bangor Univ, Sch Ocean Sci, Anglesey, Wales; [Bejarano, Sonia] Lebniz Ctr Trop Marine Res ZMT, Reef Syst Res Grp, Bremen, Germany</t>
  </si>
  <si>
    <t>Leibniz Zentrum fur Marine Tropenforschung (ZMT); University of Bremen; Stockholm University; University of the South Pacific; Royal Swedish Academy of Sciences; Global Economic Dynamics &amp; Biosphere - The Erling-Persson Family Academy Program; University of Tasmania; National Institute of Water &amp; Atmospheric Research (NIWA) - New Zealand; Universite PSL; Ecole Pratique des Hautes Etudes (EPHE); Bangor University</t>
  </si>
  <si>
    <t>Ford, AK (corresponding author), Leibniz Ctr Trop Marine Res ZMT, Dept Ecol, Bremen, Germany.;Ford, AK (corresponding author), Univ Bremen, Fac Biol &amp; Chem FB2, Dept Marine Ecol, Bremen, Germany.;Ford, AK (corresponding author), Stockholm Univ, Stockholm Resilience Ctr, Stockholm, Sweden.;Ford, AK (corresponding author), Univ South Pacific, Fac Sci Technol &amp; Environm, Sch Marine Studies, Suva, Fiji.</t>
  </si>
  <si>
    <t>amandakford@hotmail.com</t>
  </si>
  <si>
    <t>Norström, Albert/JMA-9942-2023; Nugues, Maggy M/O-4314-2015; Ford, Amanda K/J-9774-2019; Jouffray, Jean-Baptiste/AAN-1329-2020; Ferse, Sebastian/AAH-8048-2021; Bejarano, Sonia/S-3770-2019</t>
  </si>
  <si>
    <t>Ford, Amanda K/0000-0002-4971-048X; Jouffray, Jean-Baptiste/0000-0002-4105-6372; Ferse, Sebastian/0000-0003-0930-5356; Bejarano, Sonia/0000-0001-6451-6354; Williams, Dr Gareth J./0000-0001-7837-1619; Norstrom, Albert/0000-0002-0706-9233</t>
  </si>
  <si>
    <t>European Union; (German) Federal Ministry of Education and Research (BMBF) through the Nachwuchsgruppen Globaler Wandel 4 + 1 (REPICORE) [01LN1303A]</t>
  </si>
  <si>
    <t>European Union(European Union (EU)); (German) Federal Ministry of Education and Research (BMBF) through the Nachwuchsgruppen Globaler Wandel 4 + 1 (REPICORE)(Federal Ministry of Education &amp; Research (BMBF))</t>
  </si>
  <si>
    <t>The COFish and PROCFish-C Programmes were funded by the European Union. AF, SB, and SF were funded by the (German) Federal Ministry of Education and Research (BMBF) through the Nachwuchsgruppen Globaler Wandel 4 + 1 (REPICORE, grant number 01LN1303A).</t>
  </si>
  <si>
    <t>10.3389/fmars.2020.571115</t>
  </si>
  <si>
    <t>OE5YE</t>
  </si>
  <si>
    <t>gold, Green Published, Green Accepted, Green Submitted</t>
  </si>
  <si>
    <t>WOS:000580605000001</t>
  </si>
  <si>
    <t>Wachter, P; Reiser, F; Friedl, P; Jacobeit, J</t>
  </si>
  <si>
    <t>Wachter, Paul; Reiser, Fabian; Friedl, Peter; Jacobeit, Jucundus</t>
  </si>
  <si>
    <t>A new approach to classification of 40 years of Antarctic sea ice concentration data</t>
  </si>
  <si>
    <t>passive microwave data; sea ice climatology; sea ice trends; sea ice variability</t>
  </si>
  <si>
    <t>VARIABILITY; CLIMATE; TRENDS; COVER</t>
  </si>
  <si>
    <t>In this paper, we present a characterization of Antarctic sea ice based on the classification of annual sea ice concentration (SIC) data from 1979 to 2018. A clustering algorithm was applied to provide a climatological description of significant annual cycles of SIC and their spatial distribution around the Southern Ocean. Based on these classification results, we investigate the variability of SIC cycles on decadal and inter-annual time scales. First, we discuss significant spatial shifts of SIC cycles during 1979-1998 and 1999-2018. In the Weddell Sea and in large parts of the Ross Sea, we observed higher SIC during the summer season, and an extension of sea ice cover in winter compared to the long-term average. Second, we introduce the Climatological Sea Ice Anomaly Index (CSIAI), which is an annual measure for year-round sea ice anomalies of the Southern Ocean and its regional sub-sectors. By relating selected years of significant sea ice conditions (1981, 2007 and 2014) with atmospheric influences, we demonstrate that the CSIAI is very useful for assessing inter-annular Antarctic SIC variability. Positive and negative sea ice anomalies can be qualitatively explained by atmospheric circulation anomalies in the years 1981 and 2007. However, in 2014, the year with the largest observed sea ice extent in our time series, we found that this positive sea ice anomaly was surprisingly not associated with a stationary and inter-seasonally persistent pattern of circulation anomaly. This suggests that sub-seasonal to seasonal circulation anomalies and ocean-related processes favoured the formation of the sea ice maximum in 2014. With this study we provide additional information on the long-term annual SIC variability around Antarctica. Furthermore, our classification approach and its results have potential for application in the evaluation of sea ice model results.</t>
  </si>
  <si>
    <t>[Wachter, Paul] German Remote Sensing Data Ctr DFD, German Aerosp Ctr DLR, D-82234 Wessling, Germany; [Reiser, Fabian] Univ Trier, Dept Environm Meteorol, Trier, Germany; [Friedl, Peter] Friedrich Alexander Univ Erlangen Nuremberg, Inst Geog, Erlangen, Germany; [Jacobeit, Jucundus] Augsburg Univ, Inst Geog, Augsburg, Germany</t>
  </si>
  <si>
    <t>Helmholtz Association; German Aerospace Centre (DLR); Universitat Trier; University of Erlangen Nuremberg</t>
  </si>
  <si>
    <t>Wachter, P (corresponding author), German Remote Sensing Data Ctr DFD, German Aerosp Ctr DLR, D-82234 Wessling, Germany.</t>
  </si>
  <si>
    <t>paul.wachter@dlr.de</t>
  </si>
  <si>
    <t>Friedl, Peter/HTL-2333-2023</t>
  </si>
  <si>
    <t>Friedl, Peter/0009-0000-9891-6655; Wachter, Paul/0000-0002-8303-1675</t>
  </si>
  <si>
    <t>DLR Management Board: Young Investigator Group Leader Program - Deutsche Forschungsgemeinschaft [WI 3314/3, HE 2740/22]</t>
  </si>
  <si>
    <t>DLR Management Board: Young Investigator Group Leader Program - Deutsche Forschungsgemeinschaft</t>
  </si>
  <si>
    <t>DLR Management Board: Young Investigator Group Leader Program. F.R. was funded by the Deutsche Forschungsgemeinschaft, Grant/Award Number: WI 3314/3 and HE 2740/22</t>
  </si>
  <si>
    <t>E2683</t>
  </si>
  <si>
    <t>E2699</t>
  </si>
  <si>
    <t>10.1002/joc.6874</t>
  </si>
  <si>
    <t>WOS:000580488200001</t>
  </si>
  <si>
    <t>Paul, AJ; Bach, LT</t>
  </si>
  <si>
    <t>Paul, Allanah J.; Bach, Lennart T.</t>
  </si>
  <si>
    <t>Universal response pattern of phytoplankton growth rates to increasing CO2</t>
  </si>
  <si>
    <t>NEW PHYTOLOGIST</t>
  </si>
  <si>
    <t>carbonate chemistry; Monod kinetics; ocean acidification; optimum response curve; phytoplankton growth; reaction norm</t>
  </si>
  <si>
    <t>CARBON-CONCENTRATING MECHANISMS; MARINE-PHYTOPLANKTON; OCEAN ACIDIFICATION; EMILIANIA-HUXLEYI; HIGH PH; CALCIFICATION; ACQUISITION; TEMPERATURE; LIMITATION; CULTURES</t>
  </si>
  <si>
    <t>Phytoplankton growth rate is a key variable controlling species succession and ecosystem structure throughout the surface ocean. Carbonate chemistry conditions are known to influence phytoplankton growth rates but there is no conceptual framework allowing us to compare growth rate responses across taxa. Here we analyse the literature to show that phytoplankton growth rates follow an optimum curve response pattern whenever the tested species is exposed to a sufficiently large gradient in proton (H+) concentrations. Based on previous findings with coccolithophores and diatoms, we argue that this 'universal reaction norm' is shaped by the stimulating influence of increasing inorganic carbon substrate (left side of the optimum) and the inhibiting influence of increase H+(right side of the optimum). We envisage that exploration of carbonate chemistry-dependent optimum curves as a default experimental approach will boost our mechanistic understanding of phytoplankton responses to ocean acidification, like temperature curves have already boosted our mechanistic understanding to global warming.</t>
  </si>
  <si>
    <t>[Paul, Allanah J.] GEOMAR Helmholtz Ctr Ocean Res Kiel, Marine Biogeochem, Dusternbrooker Weg 20, D-24105 Kiel, Germany; [Bach, Lennart T.] Univ Tasmania, Inst Marine &amp; Antarctic Studies, 20 Castray Esplanade, Battery Point, Tas 7004, Australia</t>
  </si>
  <si>
    <t>Helmholtz Association; GEOMAR Helmholtz Center for Ocean Research Kiel; University of Tasmania</t>
  </si>
  <si>
    <t>Paul, AJ (corresponding author), GEOMAR Helmholtz Ctr Ocean Res Kiel, Marine Biogeochem, Dusternbrooker Weg 20, D-24105 Kiel, Germany.</t>
  </si>
  <si>
    <t>apaul@geomar.de</t>
  </si>
  <si>
    <t>Bach, Lennart/0000-0003-0202-3671; Paul, Allanah/0000-0003-1037-5239</t>
  </si>
  <si>
    <t>Excellence Cluster 'The Future Ocean' [CP1141]; Australian Research Council [FL160100131]; Australian Research Council [FL160100131] Funding Source: Australian Research Council</t>
  </si>
  <si>
    <t>Excellence Cluster 'The Future Ocean'; Australian Research Council(Australian Research Council); Australian Research Council(Australian Research Council)</t>
  </si>
  <si>
    <t>AJP acknowledges funding from the Excellence Cluster 'The Future Ocean' (project CP1141) and LTB acknowledges funding to a Laureate (FL160100131) by the Australian Research Council granted to Philip Boyd.</t>
  </si>
  <si>
    <t>0028-646X</t>
  </si>
  <si>
    <t>1469-8137</t>
  </si>
  <si>
    <t>NEW PHYTOL</t>
  </si>
  <si>
    <t>New Phytol.</t>
  </si>
  <si>
    <t>10.1111/nph.16806</t>
  </si>
  <si>
    <t>OU1WO</t>
  </si>
  <si>
    <t>WOS:000579878200001</t>
  </si>
  <si>
    <t>Zhang, WY; Jiao, Y; Zhu, RB; Rhew, RC</t>
  </si>
  <si>
    <t>Zhang, Wanying; Jiao, Yi; Zhu, Renbin; Rhew, Robert C.</t>
  </si>
  <si>
    <t>Methyl Chloride and Methyl Bromide Production and Consumption in Coastal Antarctic Tundra Soils Subject to Sea Animal Activities</t>
  </si>
  <si>
    <t>KING-GEORGE-ISLAND; AMMONIA EMISSIONS; ORGANIC-CARBON; CHLOROMETHANE; DEGRADATION; FLUXES; BIOSYNTHESIS; HALOMETHANES; METHANETHIOL; VEGETATION</t>
  </si>
  <si>
    <t>Methyl chloride (CH3CI) and methyl bromide (CH3Br) are the predominant carriers of natural chlorine and bromine from the troposphere to the stratosphere, which can catalyze the destruction of stratospheric ozone. Here, penguin colony soils (PCS) and the adjacent tundra soils (i.e., penguin-lacking colony soils, PLS), seal colony soils (SCS), tundra marsh soils (TMS), and normal upland tundra soils (UTS) in coastal Antarctica were collected and incubated for the first time to confirm that these soils were CH3Cl and CH3Br sources or sinks. Overall, tundra soil acted as a net sink for CH3Cl and CH3Br with potential flux ranges from -18.1 to -2.8 pmol g(-1) d(-1) and -1.32 to -0.24 pmol g(-1) d(-1), respectively. The deposition of penguin guano or seal excrement into tundra soils facilitated the simultaneous production of CH3Cl and CH3Br and resulted in a smaller sink in PCS, SCS, and PLS. Laboratory-based thermal treatments and anaerobic incubation experiments suggested that the consumption of CH3Cl and CH3Br was predominantly mediated by microbes while the production was abiotic and O-2 independent. Temperature gradient incubations revealed that increasing soil temperature promoted the consumption of CH3Cl and CH3Br in UTS, suggesting that the regional sink may increase with Antarctic warming, depending on changes in soil moisture and abiotic production rates.</t>
  </si>
  <si>
    <t>[Zhang, Wanying; Zhu, Renbin] Univ Sci &amp; Technol China, Sch Earth &amp; Space Sci, Anhui Prov Key Lab Polar Environm &amp; Global Change, Hefei 230026, Peoples R China; [Jiao, Yi; Rhew, Robert C.] Univ Calif Berkeley, Dept Geog, Berkeley, CA 94720 USA; [Rhew, Robert C.] Univ Calif Berkeley, Dept Environm Sci Policy &amp; Management, Berkeley, CA 94720 USA</t>
  </si>
  <si>
    <t>Chinese Academy of Sciences; University of Science &amp; Technology of China, CAS; University of California System; University of California Berkeley; University of California System; University of California Berkeley</t>
  </si>
  <si>
    <t>Zhu, RB (corresponding author), Univ Sci &amp; Technol China, Sch Earth &amp; Space Sci, Anhui Prov Key Lab Polar Environm &amp; Global Change, Hefei 230026, Peoples R China.;Rhew, RC (corresponding author), Univ Calif Berkeley, Dept Geog, Berkeley, CA 94720 USA.;Rhew, RC (corresponding author), Univ Calif Berkeley, Dept Environm Sci Policy &amp; Management, Berkeley, CA 94720 USA.</t>
  </si>
  <si>
    <t>zhurb@ustc.edu.cn; rrhew@berkeley.edu</t>
  </si>
  <si>
    <t>Jiao, Yi/HNP-9992-2023; Zhang, Wanying/IXD-8104-2023; Jiao, Yi/ABD-2092-2021; Rhew, Robert C/M-8110-2016</t>
  </si>
  <si>
    <t>Jiao, Yi/0000-0001-5027-3144; Zhu, RenBin/0000-0001-7757-3622; Zhang, Wanying/0000-0001-9874-9834</t>
  </si>
  <si>
    <t>National Natural Science Foundation of China [41776190, 41976220]; Strategic Priority Research Program of Chinese Academy of Sciences [XDB40010200]; National Science Foundation [EAR-1530375]; University of California, Berkeley; Chinese Arctic and Antarctic Administration of the State Oceanic Administration</t>
  </si>
  <si>
    <t>National Natural Science Foundation of China(National Natural Science Foundation of China (NSFC)); Strategic Priority Research Program of Chinese Academy of Sciences(Chinese Academy of Sciences); National Science Foundation(National Science Foundation (NSF)); University of California, Berkeley(University of California System); Chinese Arctic and Antarctic Administration of the State Oceanic Administration</t>
  </si>
  <si>
    <t>This work was primarily funded by the National Natural Science Foundation of China (Grant No. 41776190; 41976220) and the Strategic Priority Research Program of Chinese Academy of Sciences (No. XDB40010200). Chemicals and materials used in GS/MS analysis were funded by the National Science Foundation (EAR-1530375) and the University of California, Berkeley. The authors acknowledge the Chinese Arctic and Antarctic Administration of the State Oceanic Administration for support and the team of the 34th Chinese Antarctic Research Expedition for assistance on fieldwork.</t>
  </si>
  <si>
    <t>OCT 20</t>
  </si>
  <si>
    <t>10.1021/acs.est.0c04257</t>
  </si>
  <si>
    <t>OK1PA</t>
  </si>
  <si>
    <t>WOS:000584422500057</t>
  </si>
  <si>
    <t>Jouanno, J; Capet, X</t>
  </si>
  <si>
    <t>Jouanno, Julien; Capet, Xavier</t>
  </si>
  <si>
    <t>Connecting flow-topography interactions, vorticity balance, baroclinic instability and transport in the Southern Ocean: the case of an idealized storm track</t>
  </si>
  <si>
    <t>OCEAN SCIENCE</t>
  </si>
  <si>
    <t>ANTARCTIC CIRCUMPOLAR CURRENT; SMALL-SCALE TOPOGRAPHY; FORM STRESS; WIND-DRIVEN; MOMENTUM BALANCE; STRATIFIED OCEAN; EDDY SATURATION; SPIN-UP; CIRCULATION; MODEL</t>
  </si>
  <si>
    <t>The dynamical balance of the Antarctic Circumpolar Current and its implications on the functioning of the world ocean are not fully understood and poorly represented in global circulation models. In this study, the sensitivities of an idealized Southern Ocean (SO) storm track are explored with a set of eddy-rich numerical simulations. The classical partition between barotropic and baroclinic modes is sensitive to current-topography interactions in the mesoscale range 10-100 km, as comparisons between simulations with rough or smooth bathymetry reveal. Configurations with a rough bottom have weak barotropic motions, ubiquitous bottom form stress/pressure torque, no wind-driven gyre in the lee of topographic ridges, less efficient baroclinic turbulence and, thus, larger circumpolar transport rates. The difference in circumpolar transport produced by topographic roughness depends on the strength with which (external) thermohaline forcings by the rest of the world ocean constrain the stratification at the northern edge of the SO. The study highlights the need for a more comprehensive treatment of the Antarctic Circumpolar Current (ACC) interactions with the ocean floor, including realistic fields of bottom form stress and pressure torque. It also sheds some light on the behavior of idealized storm tracks recently modeled: (i) the saturation mechanism, whereby the circumpolar transport does not depend on wind intensity, is a robust and generic attribute of ACC-like circumpolar flows; (ii) the adjustment toward saturation can take place over widely different timescales (from months to years) depending on the possibility (or not) for barotropic Rossby waves to propagate signals of wind change and accelerate/decelerate SO wind-driven gyres. The real SO having both gyres and ACC saturation timescales typical of our no gyre simulations may be in an intermediate regime in which mesoscale topography away from major ridges provides partial and localized support for bottom form stress/pressure torque.</t>
  </si>
  <si>
    <t>[Jouanno, Julien] Univ Toulouse, UPS, LEGOS, IRD,CNRS,CNES, Toulouse, France; [Capet, Xavier] CNRS IRD Sorbonne Univ, UPMC, MNHN, LOCEAN Lab, Paris, France</t>
  </si>
  <si>
    <t>Universite de Toulouse; Universite Toulouse III - Paul Sabatier; Centre National de la Recherche Scientifique (CNRS); Institut de Recherche pour le Developpement (IRD); Laboratoire d'Etudes en Geophysique et oceanographie spatiales; Museum National d'Histoire Naturelle (MNHN); Sorbonne Universite</t>
  </si>
  <si>
    <t>Jouanno, J (corresponding author), Univ Toulouse, UPS, LEGOS, IRD,CNRS,CNES, Toulouse, France.</t>
  </si>
  <si>
    <t>julien.jouanno@ird.fr</t>
  </si>
  <si>
    <t>Jouanno, Julien/0000-0001-7750-060X</t>
  </si>
  <si>
    <t>IRD; CNRS; French ANR project SMOC [ANR-11-JS56-0009]; Agence Nationale de la Recherche (ANR) [ANR-11-JS56-0009] Funding Source: Agence Nationale de la Recherche (ANR)</t>
  </si>
  <si>
    <t>IRD; CNRS(Centre National de la Recherche Scientifique (CNRS)); French ANR project SMOC(Agence Nationale de la Recherche (ANR)); Agence Nationale de la Recherche (ANR)(Agence Nationale de la Recherche (ANR))</t>
  </si>
  <si>
    <t>This study has been supported by IRD and CNRS and has been funded by the French ANR project SMOC (grant ANR-11-JS56-0009).</t>
  </si>
  <si>
    <t>1812-0784</t>
  </si>
  <si>
    <t>OCEAN SCI</t>
  </si>
  <si>
    <t>Ocean Sci.</t>
  </si>
  <si>
    <t>10.5194/os-16-1207-2020</t>
  </si>
  <si>
    <t>Meteorology &amp; Atmospheric Sciences; Oceanography</t>
  </si>
  <si>
    <t>OK0ZD</t>
  </si>
  <si>
    <t>WOS:000584380600001</t>
  </si>
  <si>
    <t>Smith, VC; Costa, A; Aguirre-Díaz, G; Pedrazzi, D; Scifo, A; Plunkett, G; Poret, M; Tournigand, PY; Miles, D; Dee, MW; McConnell, JR; Sunyé-Puchol, I; Harris, PD; Sigl, M; Pilcher, JR; Chellman, N; Gutiérrez, E</t>
  </si>
  <si>
    <t>Smith, Victoria C.; Costa, Antonio; Aguirre-Diaz, Gerardo; Pedrazzi, Dario; Scifo, Andrea; Plunkett, Gill; Poret, Mattieu; Tournigand, Pierre-Yves; Miles, Dan; Dee, Michael W.; McConnell, Joseph R.; Sunye-Puchol, Ivan; Harris, Pablo Davila; Sigl, Michael; Pilcher, Jonathan R.; Chellman, Nathan; Gutierrez, Eduardo</t>
  </si>
  <si>
    <t>The magnitude and impact of the 431 CE Tierra Blanca Joven eruption of Ilopango, El Salvador</t>
  </si>
  <si>
    <t>Maya; large volcanic eruptions; sulfate; eruption dispersal; radiocarbon</t>
  </si>
  <si>
    <t>VOLCANIC SULFATE DEPOSITION; ICE-CORE; GREENLAND; ASH; RADIOCARBON; ANTARCTICA; CALIBRATION; CYCLE</t>
  </si>
  <si>
    <t>The Tierra Blanca Joven (TBJ) eruption from Iopango volcano deposited thick ash over much of El Salvador when it was inhabited by the Maya, and rendered all areas within at least 80 km of the volcano uninhabitable for years to decades after the eruption. Nonetheless, the more widespread environmental and climatic impacts of this large eruption are not well known because the eruption magnitude and date are not well constrained. In this multifaceted study we have resolved the date of the eruption to 431 +/- 2 CE by identifying the ash layer in a well-dated, high-resolution Greenland ice-core record that is &gt;7,000 km from Ilopango; and calculated that between 37 and 82 km(3) of magma was dispersed from an eruption coignimbrite column that rose to similar to 45 km by modeling the deposit thickness using state-of-the-art tephra dispersal methods. Sulfate records from an array of ice cores suggest stratospheric injection of 14 +/- 2 Tg S associated with the TBJ eruption, exceeding those of the historic eruption of Pinatubo in 1991. Based on these estimates it is likely that the TBJ eruption produced a cooling of around 0.5 degrees C for a few years after the eruption. The modeled dispersal and higher sulfate concentrations recorded in Antarctic ice cores imply that the cooling would have been more pronounced in the Southern Hemisphere. The new date confirms the eruption occurred within the Early Classic phase when Maya expanded across Central America.</t>
  </si>
  <si>
    <t>[Smith, Victoria C.; Miles, Dan; Sunye-Puchol, Ivan] Univ Oxford, Sch Archaeol, Res Lab Archaeol &amp; Hist Art, Oxford OX1 3TG, England; [Costa, Antonio] Ist Nazl Geofis &amp; Vulcanol, Sez Bologna, I-40128 Bologna, Italy; [Aguirre-Diaz, Gerardo; Sunye-Puchol, Ivan] Univ Nacl Autonoma Mexico, Ctr Geociencias, Queretaro 76230, Mexico; [Pedrazzi, Dario] Inst Earth Sci Jaume Almera, Grp Volcanol, Lab Geol Proc Simulat SIMGEO UB CSIC, Lluis Sole i Sabaris S-N, Barcelona 08028, Spain; [Scifo, Andrea; Dee, Michael W.] Univ Groningen, Ctr Isotope Res, NL-9747 AG Groningen, Netherlands; [Plunkett, Gill; Pilcher, Jonathan R.] Queens Univ Belfast, Sch Nat &amp; Built Environm, Archaeol &amp; Palaeoecol, Belfast BT7 1NN, Antrim, North Ireland; [Poret, Mattieu] Univ Clermont Auvergne, CNRS, Inst Rech Dev, Lab Magmas &amp; Volcans, F-63170 Clermont Ferrand, France; [Tournigand, Pierre-Yves] Univ Padua, Dipartimento Geosci, I-35131 Padua, Italy; [McConnell, Joseph R.; Chellman, Nathan] Desert Res Inst, Div Hydrol Sci, Reno, NV 89512 USA; [Harris, Pablo Davila] Inst Potosino Invest Cient &amp; Tecnol, Div Geociencias Aplicadas, San Luis Potosi 78216, San Luis Potosi, Mexico; [Sigl, Michael] Univ Bern, Phys, Climate &amp; Environm Phys, CH-3012 Bern, Switzerland; [Sigl, Michael] Univ Bern, Oeschger Ctr Climate Change Res, CH-3012 Bern, Switzerland; [Gutierrez, Eduardo] Minist Medio Ambiente &amp; Recursos Nat, Gerencia Geol Observ Ambiental, San Salvador 76230, El Salvador</t>
  </si>
  <si>
    <t>University of Oxford; Istituto Nazionale Geofisica e Vulcanologia (INGV); Universidad Nacional Autonoma de Mexico; Consejo Superior de Investigaciones Cientificas (CSIC); CSIC - Geociencias Barcelona (GEO3BCN); University of Groningen; Queens University Belfast; Centre National de la Recherche Scientifique (CNRS); Institut de Recherche pour le Developpement (IRD); Universite Clermont Auvergne (UCA); University of Padua; Nevada System of Higher Education (NSHE); Desert Research Institute NSHE; Instituto Potosino Investigacion Cientifica y Tecnologica; University of Bern; University of Bern</t>
  </si>
  <si>
    <t>Smith, VC (corresponding author), Univ Oxford, Sch Archaeol, Res Lab Archaeol &amp; Hist Art, Oxford OX1 3TG, England.;Costa, A (corresponding author), Ist Nazl Geofis &amp; Vulcanol, Sez Bologna, I-40128 Bologna, Italy.</t>
  </si>
  <si>
    <t>victoria.smith@arch.ox.ac.uk; antonio.costa@ingv.it</t>
  </si>
  <si>
    <t>Smith, Victoria/AAA-4152-2021; Dee, Michael/ABA-4786-2020; Dee, M.W./AAU-3258-2020; Costa, Antonio/D-2410-2009; Pedrazzi, Dario/G-1214-2016; Plunkett, Gill/F-3311-2010; Davila Harris, Pablo/C-7891-2013</t>
  </si>
  <si>
    <t>Smith, Victoria/0000-0003-0878-5060; Dee, Michael/0000-0002-3116-453X; Costa, Antonio/0000-0002-4987-6471; Sigl, Michael/0000-0002-9028-9703; Tournigand, Pierre-Yves/0000-0003-0803-9797; Davila Harris, Pablo/0000-0002-0620-5459; Sunye-Puchol, Ivan/0000-0002-1838-3666; Plunkett, Gill/0000-0003-1014-3454; Scifo, Andrea/0000-0002-7174-3966</t>
  </si>
  <si>
    <t>CONACYT-CB Grant [240447]; Natural Environment ResearchCouncil (NERC) [NE/5009035/1]; European Research Council (ERC) (ECHOES) [714679]; ERC European Union's Horizon 2020 research and innovation programme [820047]; Juande la Cierva Grant [IJC-201630482]; NSF Division of Polar Programs [1204176]; European Research Council (ERC) [820047] Funding Source: European Research Council (ERC); Office of Polar Programs (OPP); Directorate For Geosciences [1204176] Funding Source: National Science Foundation; NERC [NE/S009035/1] Funding Source: UKRI</t>
  </si>
  <si>
    <t>CONACYT-CB Grant; Natural Environment ResearchCouncil (NERC)(UK Research &amp; Innovation (UKRI)Natural Environment Research Council (NERC)); European Research Council (ERC) (ECHOES)(European Research Council (ERC)); ERC European Union's Horizon 2020 research and innovation programme; Juande la Cierva Grant; NSF Division of Polar Programs(National Science Foundation (NSF)NSF - Directorate for Geosciences (GEO)); European Research Council (ERC)(European Research Council (ERC)Spanish Government); Office of Polar Programs (OPP); Directorate For Geosciences(National Science Foundation (NSF)NSF - Directorate for Geosciences (GEO)); NERC(UK Research &amp; Innovation (UKRI)Natural Environment Research Council (NERC))</t>
  </si>
  <si>
    <t>Fieldwork in El Salvador was funded by a grant awarded to G.A.-D. (CONACYT-CB Grant 240447), and we acknowledge logistical support from the following institutions in El Salvador: Ministerio del Medio Ambiente y Recursos Naturales (MARN), Museo Nacional de Arqueologia (MUNA), Universidad de El Salvador, and Policia Nacional Civil. V.C.S. and I.S.-P. acknowledge funding from the Natural Environment ResearchCouncil (NERC;Grant NE/5009035/1).A.C. acknowledges the Ministero dell'Istruzione dell'Universita e della Ricerca project Ash-RESILIENCE. A.S. and M.W.D. acknowledge funding from the European Research Council (ERC) (ECHOES, Grant 714679). M.S. acknowledges funding from the ERC European Union's Horizon 2020 research and innovation programme (Grant 820047). D.P. acknowledges support from Juande la Cierva GrantIJC-201630482. The collection and analysis of the TUNU2013 core was supported by an NSF Division of Polar Programs Grant 1204176 awarded to J.R.M. We thank Walter Hernandez (MARN) and Hugo Diaz Chavez (MUNA) for assistance in the field, Stephen Harris (Department of Plant Sciences, University of Oxford) for identifying the species of the tree that we radiocarbon dated, and Ian Cartwright (School of Archaeology, University of Oxford) for photographing the cross-section of the tree. The meteorological data (ERA-Interim) were provided by European Center for Medium-Range Weather Forecasts. We thank three anonymous reviewers and the editor, Kathy Cashman, for their detailed reviews and constructive comments.</t>
  </si>
  <si>
    <t>1091-6490</t>
  </si>
  <si>
    <t>10.1073/pnas.2003008117</t>
  </si>
  <si>
    <t>OE5VG</t>
  </si>
  <si>
    <t>Green Published, Green Accepted, Green Submitted</t>
  </si>
  <si>
    <t>WOS:000580597300020</t>
  </si>
  <si>
    <t>Chilvers, BL; Amey, JM; Costa, DP</t>
  </si>
  <si>
    <t>Chilvers, B. Louise; Amey, Jacinda M.; Costa, Daniel P.</t>
  </si>
  <si>
    <t>Extreme diving of females at the largest colony of New Zealand sea lions,Phocarctos hookeri</t>
  </si>
  <si>
    <t>Diving behaviour; Calculated anaerobic dive limit; Fisheries interactions; Otariids</t>
  </si>
  <si>
    <t>LIONS PHOCARCTOS-HOOKERI; ANTARCTIC FUR SEALS; FORAGING STRATEGIES; OXYGEN STORES; POPULATION DECLINE; AUCKLAND ISLANDS; BEHAVIOR; PREDATOR; BLOOD; CONSEQUENCES</t>
  </si>
  <si>
    <t>The diving behaviours of marine predators are thought to be coupled with species demographics. Species that forage at or close to their physiological limits will be limited in their ability to respond to natural or anthropogenic induced changes in their environment. This is the case for the New Zealand sea lion (Phocarctos hookeri). A previous study from Enderby Island, Auckland Islands, the third largest colony for the endangered species, showed lactating females exhibit extreme diving behaviour, and that individuals have either: a benthic diving ecotype or a deeper, more varied mesopelagic diving ecotype which are maintained throughout their adult life. The ecological significance and implications for individual foraging specialisation has major consequences for this species as mesopelagic foragers are more likely to suffer mortality from fisheries than benthic foragers. We investigated the diving behaviour of lactating females from Dundas Island, Auckland Islands, the largest breeding colony for New Zealand sea lions. The diving behaviour of 24 lactating females was examined and confirmed that both diving ecotypes exist and that females at this colony are also operating at the upper limit of their physiological capability. Enderby and Dundas Island are the largest breeding colonies for the New Zealand sea lion and together represent 69% of this species pup production. This population has significantly declined since 1998, predominantly due to direct and indirect fisheries interactions. Measurable conservation and management steps are therefore critical to mitigate the impacts of fisheries on this population.</t>
  </si>
  <si>
    <t>[Chilvers, B. Louise] Massey Univ, Sch Vet Sci, Wildbase, Private Bag 11222, Palmerston North, New Zealand; [Amey, Jacinda M.] Dept Conservat, POB 50, Haast 784, New Zealand; [Costa, Daniel P.] Univ Calif Santa Cruz, Inst Marine Sci, Santa Cruz, CA 95060 USA; [Costa, Daniel P.] Univ Calif Santa Cruz, Dept Ecol &amp; Evolutionary Biol, Santa Cruz, CA 95060 USA</t>
  </si>
  <si>
    <t>Massey University; University of California System; University of California Santa Cruz; University of California System; University of California Santa Cruz</t>
  </si>
  <si>
    <t>Chilvers, BL (corresponding author), Massey Univ, Sch Vet Sci, Wildbase, Private Bag 11222, Palmerston North, New Zealand.</t>
  </si>
  <si>
    <t>B.L.Chilvers@massey.ac.nz</t>
  </si>
  <si>
    <t>Chilvers, B. Louise/AAV-1965-2021</t>
  </si>
  <si>
    <t>Chilvers, B. Louise/0000-0002-7657-4217</t>
  </si>
  <si>
    <t>New Zealand Department of Conservation [1638, POP2006/01]</t>
  </si>
  <si>
    <t>New Zealand Department of Conservation</t>
  </si>
  <si>
    <t>This data was collected under funding from the New Zealand Department of Conservation (DOC-Investigation no. 1638) in parallel with field work undertaken for DOC Conservation Services Programme (www.csp.org.nz) project POP2006/01.</t>
  </si>
  <si>
    <t>10.1007/s00300-020-02763-7</t>
  </si>
  <si>
    <t>WOS:000581086000001</t>
  </si>
  <si>
    <t>Strain, EMA; Steinberg, PD; Vozzo, M; Johnston, EL; Abbiati, M; Aguilera, MA; Airoldi, L; Aguirre, JD; Ashton, G; Bernardi, M; Brooks, P; Chan, BKK; Cheah, CB; Chee, SY; Coutinho, R; Crowe, T; Davey, A; Firth, LB; Fraser, C; Hanley, ME; Hawkins, SJ; Knick, KE; Lau, ETC; Leung, KMY; McKenzie, C; Macleod, C; Mafanya, S; Mancuso, FP; Messano, LVR; Naval-Xavier, LPD; Ng, TPT; O'Shaughnessy, KA; Pattrick, P; Perkins, MJ; Perkol-Finkel, S; Porri, F; Ross, DJ; Ruiz, G; Sella, I; Seitz, R; Shirazi, R; Thiel, M; Thompson, RC; Yee, JC; Zabin, C; Bishop, MJ</t>
  </si>
  <si>
    <t>Strain, Elisabeth M. A.; Steinberg, Peter D.; Vozzo, Maria; Johnston, Emma L.; Abbiati, Marco; Aguilera, Moises A.; Airoldi, Laura; Aguirre, J. David; Ashton, Gail; Bernardi, Maritina; Brooks, Paul; Chan, Benny K. K.; Cheah, Chee B.; Chee, Su Yin; Coutinho, Ricardo; Crowe, Tasman; Davey, Adam; Firth, Louise B.; Fraser, Clarissa; Hanley, Mick E.; Hawkins, Stephen J.; Knick, Kathleen E.; Lau, Edward T. C.; Leung, Kenneth M. Y.; McKenzie, Connor; Macleod, Catriona; Mafanya, Sandisiwe; Mancuso, Francesco P.; Messano, Luciana V. R.; Naval-Xavier, Lais P. D.; Ng, Terrence P. T.; O'Shaughnessy, Kathryn A.; Pattrick, Paula; Perkins, Mathew J.; Perkol-Finkel, Shimrit; Porri, Francesca; Ross, Donald J.; Ruiz, Gregory; Sella, Ido; Seitz, Rochelle; Shirazi, Raviv; Thiel, Martin; Thompson, Richard C.; Yee, Jean C.; Zabin, Chela; Bishop, Melanie J.</t>
  </si>
  <si>
    <t>A global analysis of complexity-biodiversity relationships on marine artificial structures</t>
  </si>
  <si>
    <t>GLOBAL ECOLOGY AND BIOGEOGRAPHY</t>
  </si>
  <si>
    <t>bays; benthic; biodiversity; breakwaters; eco-engineering; estuaries; intertidal; seawalls; tile; urban</t>
  </si>
  <si>
    <t>HABITAT COMPLEXITY; COASTAL INFRASTRUCTURE; URBAN INFRASTRUCTURE; SPECIES RICHNESS; PREY REFUGES; FISH; URBANIZATION; COMMUNITIES; ASSEMBLAGES; PREDATION</t>
  </si>
  <si>
    <t>Aim Topographic complexity is widely accepted as a key driver of biodiversity, but at the patch-scale, complexity-biodiversity relationships may vary spatially and temporally according to the environmental stressors complexity mitigates, and the species richness and identity of potential colonists. Using a manipulative experiment, we assessed spatial variation in patch-scale effects of complexity on intertidal biodiversity. Location 27 sites within 14 estuaries/bays distributed globally. Time period 2015-2017. Major taxa studied Functional groups of algae, sessile and mobile invertebrates. Methods Concrete tiles of differing complexity (flat; 2.5-cm or 5-cm complex) were affixed at low-high intertidal elevation on coastal defence structures, and the richness and abundance of the colonizing taxa were quantified after 12 months. Results The patch-scale effects of complexity varied spatially and among functional groups. Complexity had neutral to positive effects on total, invertebrate and algal taxa richness, and invertebrate abundances. However, effects on the abundance of algae ranged from positive to negative, depending on location and functional group. The tidal elevation at which tiles were placed accounted for some variation. The total and invertebrate richness were greater at low or mid than at high intertidal elevations. Latitude was also an important source of spatial variation, with the effects of complexity on total richness and mobile mollusc abundance greatest at lower latitudes, whilst the cover of sessile invertebrates and sessile molluscs responded most strongly to complexity at higher latitudes. Conclusions After 12 months, patch-scale relationships between biodiversity and habitat complexity were not universally positive. Instead, the relationship varied among functional groups and according to local abiotic and biotic conditions. This result challenges the assumption that effects of complexity on biodiversity are universally positive. The variable effect of complexity has ramifications for community and applied ecology, including eco-engineering and restoration that seek to bolster biodiversity through the addition of complexity.</t>
  </si>
  <si>
    <t>[Strain, Elisabeth M. A.; Steinberg, Peter D.; Johnston, Emma L.; Bishop, Melanie J.] Sydney Inst Marine Sci, Chowder Bay Rd, Mosman, NSW 2061, Australia; [Strain, Elisabeth M. A.; Steinberg, Peter D.] Univ New South Wales, Sch Biol Earth &amp; Environm Sci, Ctr Marine Sci &amp; Innovat, Sydney, NSW, Australia; [Strain, Elisabeth M. A.; Davey, Adam; Macleod, Catriona; Ross, Donald J.] Univ Tasmania, Inst Marine &amp; Antarctic Sci, Hobart, Tas, Australia; [Vozzo, Maria; Johnston, Emma L.; Bishop, Melanie J.] Macquarie Univ, Dept Biol Sci, Sydney, NSW, Australia; [Johnston, Emma L.] Univ New South Wales, BEES, Sch Biol Earth &amp; Environm Sci, Sydney, NSW, Australia; [Abbiati, Marco] Univ Bologna, UO CoNISMa, Dept Cultural Heritage, Ravenna, Italy; [Aguilera, Moises A.; Thiel, Martin] Univ Catolic Norte, Fac Ciencias del Mar, Dept Biol Marina, Coquimbo, Chile; [Airoldi, Laura; Bernardi, Maritina; Mancuso, Francesco P.] Univ Bologna, Dipartimento Sci Biol Geol &amp; Ambientali BIGEA, UO CoNISMa, Ravenna, Italy; [Airoldi, Laura; Bernardi, Maritina; Mancuso, Francesco P.] Univ Bologna, Ctr Interdipartimentale Ric Sci Ambientali CIRSA, UO CoNISMa, Ravenna, Italy; [Airoldi, Laura] Univ Padua, Chioggia Hydrobiol Stn Umberto DAncona, Dept Biol, Chioggia, Italy; [Aguirre, J. David; McKenzie, Connor] Massey Univ, Sch Nat &amp; Math Sci, Auckland, New Zealand; [Ashton, Gail; Ruiz, Gregory; Zabin, Chela] Smithsonian Environm Res Ctr, Tiburon, CA USA; [Brooks, Paul; Crowe, Tasman] Univ Coll Dublin, Earth Inst &amp; Sch Biol &amp; Environm Sci, Dublin, Ireland; [Chan, Benny K. K.; Fraser, Clarissa] Acad Sinica, Biodivers Res Ctr, Taipei, Taiwan; [Cheah, Chee B.] Univ Sains Malaysia, Sch Housing Bldg &amp; Planning, George Town, Malaysia; [Chee, Su Yin; Yee, Jean C.] Univ Sains Malaysia, Ctr Marine &amp; Coastal Studies, George Town, Malaysia; [Coutinho, Ricardo; Messano, Luciana V. R.; Naval-Xavier, Lais P. D.] Inst Estudos Mar Almirante Paulo Moreira, Programa Posgrad Biotecnol Marinha IEAPM UFF, Rio De Janeiro, Brazil; [Coutinho, Ricardo; Messano, Luciana V. R.; Naval-Xavier, Lais P. D.] Inst Estudos Mar Almirante Paulo Moreira, Dept Biotecnol Marinha, Rio De Janeiro, Brazil; [Firth, Louise B.; Hanley, Mick E.; Hawkins, Stephen J.; Thompson, Richard C.] Univ Plymouth, Sch Biol &amp; Marine Sci, Plymouth, Devon, England; [Hawkins, Stephen J.] Univ Southampton, Natl Oceanog Ctr Southampton, Sch Ocean &amp; Earth Sci, Southampton, Hants, England; [Hawkins, Stephen J.] Marine Biol Assoc UK, Lab, Plymouth, Devon, England; [Knick, Kathleen E.; Seitz, Rochelle] William &amp; Mary, Virginia Inst Marine Sci, Gloucester Point, VA USA; [Lau, Edward T. C.; Leung, Kenneth M. Y.; Ng, Terrence P. T.; Perkins, Mathew J.] Univ Hong Kong, Swire Inst Marine Sci, Hong Kong, Peoples R China; [Lau, Edward T. C.; Leung, Kenneth M. Y.; Ng, Terrence P. T.; Perkins, Mathew J.] Univ Hong Kong, Sch Biol Sci, Hong Kong, Peoples R China; [Leung, Kenneth M. Y.] City Univ Hong Kong, State Key Lab Marine Pollut, Kowloon, Hong Kong, Peoples R China; [Leung, Kenneth M. Y.] City Univ Hong Kong, Dept Chem, Kowloon, Hong Kong, Peoples R China; [Mafanya, Sandisiwe; Pattrick, Paula; Porri, Francesca] South African Inst Aquat Biodivers, Grahamstown, South Africa; [Mafanya, Sandisiwe; Pattrick, Paula; Porri, Francesca] Rhodes Univ, Dept Zool &amp; Entomol, Grahamstown, South Africa; [O'Shaughnessy, Kathryn A.] Univ Plymouth, Sch Geog Earth &amp; Environm Sci, Plymouth, Devon, England; [Pattrick, Paula] South African Environm Observat Network, Port Elizabeth, South Africa; [Perkol-Finkel, Shimrit; Sella, Ido; Shirazi, Raviv] ECOncrete Tech LTD, Tel Aviv, Israel</t>
  </si>
  <si>
    <t>Sydney Institute of Marine Science; University of New South Wales Sydney; University of Tasmania; Macquarie University; University of New South Wales Sydney; University of Bologna; Universidad Catolica del Norte; University of Bologna; University of Bologna; University of Padua; Massey University; Smithsonian Institution; Smithsonian Environmental Research Center; University College Dublin; Academia Sinica - Taiwan; Universiti Sains Malaysia; Universiti Sains Malaysia; University of Plymouth; University of Southampton; NERC National Oceanography Centre; Marine Biological Association United Kingdom; William &amp; Mary; Virginia Institute of Marine Science; University of Hong Kong; University of Hong Kong; City University of Hong Kong; City University of Hong Kong; National Research Foundation - South Africa; South African Institute for Aquatic Biodiversity; Rhodes University; University of Plymouth; National Research Foundation - South Africa; South African Environmental Observation Network (SAEON)</t>
  </si>
  <si>
    <t>Strain, EMA (corresponding author), Sydney Inst Marine Sci, Chowder Bay Rd, Mosman, NSW 2061, Australia.</t>
  </si>
  <si>
    <t>strain.beth@gmail.com</t>
  </si>
  <si>
    <t>coutinho, ricardo/AAW-2458-2020; Chee, Su Yin/E-2977-2018; Thompson, Richard C/J-8879-2014; Strain, Elisabeth/U-3520-2017; Pattrick, Paula/AAS-8808-2020; Johnston, Emma/AAC-2878-2022; Airoldi, Laura/I-3553-2019; Aguirre, J. David/I-3759-2014; Bishop, Melanie/AGA-7862-2022; MANCUSO, Francesco Paolo/V-1621-2017; Cheah, Chee Ban/F-2556-2012; Macleod, Catriona/J-7176-2014; Porri, Francesca/M-4258-2017; Leung, Kenneth Mei Yee/C-1055-2009</t>
  </si>
  <si>
    <t>coutinho, ricardo/0000-0001-5430-2176; Pattrick, Paula/0000-0001-9488-6444; Johnston, Emma/0000-0002-2117-366X; Airoldi, Laura/0000-0001-5046-0871; MANCUSO, Francesco Paolo/0000-0001-7217-5131; Cheah, Chee Ban/0000-0003-2261-2991; Firth, Louise/0000-0002-6620-8512; Steinberg, Peter/0000-0002-1781-0726; O'Shaughnessy, Kathryn/0000-0002-8587-4473; Ashton, Gail/0000-0001-5884-3383; Seitz, Rochelle/0000-0001-8044-7424; Macleod, Catriona/0000-0002-0539-6361; Davey, Adam/0009-0009-6918-7313; Porri, Francesca/0000-0001-8247-4506; Bishop, Melanie/0000-0001-8210-6500; Thompson, Richard/0000-0003-2262-6621; Brooks, Paul/0000-0002-8105-0813; Vozzo, Maria/0000-0002-3885-9908; Aguilera, Moises/0000-0002-3517-6255; Chee, Su Yin/0000-0001-5239-0563; Leung, Kenneth Mei Yee/0000-0002-2164-4281</t>
  </si>
  <si>
    <t>Ministry of Science and Technology, Taiwan; Academia Sinica Senior Investigator Award, Taiwan; Academia Sinica Post-doctoral Fellowship, Taiwan; National Research Foundation (South Africa)</t>
  </si>
  <si>
    <t>Ministry of Science and Technology, Taiwan(Ministry of Science and Technology, Taiwan); Academia Sinica Senior Investigator Award, Taiwan; Academia Sinica Post-doctoral Fellowship, Taiwan; National Research Foundation (South Africa)(National Research Foundation - South AfricaSouth African Medical Research Council)</t>
  </si>
  <si>
    <t>This project was part of the World Harbour Project. We thank the various funding bodies (see Supporting Information S9 for full details).r Ministry of Science and Technology, Taiwanr Academia Sinica Senior Investigator Award, Taiwanr Academia Sinica Post-doctoral Fellowship, Taiwanr National Research Foundation (South Africa)</t>
  </si>
  <si>
    <t>1466-822X</t>
  </si>
  <si>
    <t>1466-8238</t>
  </si>
  <si>
    <t>GLOBAL ECOL BIOGEOGR</t>
  </si>
  <si>
    <t>Glob. Ecol. Biogeogr.</t>
  </si>
  <si>
    <t>10.1111/geb.13202</t>
  </si>
  <si>
    <t>Ecology; Geography, Physical</t>
  </si>
  <si>
    <t>Environmental Sciences &amp; Ecology; Physical Geography</t>
  </si>
  <si>
    <t>PF6HL</t>
  </si>
  <si>
    <t>WOS:000579518300001</t>
  </si>
  <si>
    <t>Celis-Plá, PSM; Moenne, F; Rodríguez-Rojas, F; Pardo, D; Lavergne, C; Moenne, A; Brown, MT; Huovinen, P; Gómez, I; Navarro, N; Sáez, CA</t>
  </si>
  <si>
    <t>Celis-Pla, Paula S. M.; Moenne, Fabiola; Rodriguez-Rojas, Fernanda; Pardo, Diego; Lavergne, Celine; Moenne, Alejandra; Brown, Murray T.; Huovinen, Pirjo; Gomez, Ivan; Navarro, Nelso; Saez, Claudio A.</t>
  </si>
  <si>
    <t>Antarctic intertidal macroalgae under predicted increased temperatures mediated by global climate change: Would they cope?</t>
  </si>
  <si>
    <t>Rhodophyceae; Ulvophyceae; Phaeophyceae; Global warming; Extremophiles</t>
  </si>
  <si>
    <t>ECTOCARPUS-SILICULOSUS; GENE-EXPRESSION; ANTIOXIDANT RESPONSES; H2O2 PRODUCTION; UV-RADIATION; LIGHT; BROWN; CHLOROPHYTA; TOLERANCE; CO2</t>
  </si>
  <si>
    <t>The Antarctic Peninsula is one of the regions to be most affected by increase in sea surface temperatures (SSTs) mediated by Global Climate Change; indeed, most negative predictions imply an up to 6 degrees C increment by the end of the XXI century. Temperature is one of the most important factors mediating diversity and distribution of macroalgae, although there is still no consensus as to the likely effects of higher SSTs, especially for polar seaweeds. Some available information suggests that potential strategies to withstand future increases in SSTs will be founded upon the glutathione-ascorbate cycle and the induction of chaperone-functioning heat shock proteins (HSPs); however, their eventual role, even for general stress responses, is unclear. The intertidal green, brown and red macroalgae species Monostroma hariotii, Adenocystis utricularis and Pyropia endiviifolia, respectively, from King George Island, Antarctic Peninsula, were exposed to 2 degrees C (control) and 8 degrees C (climate change scenario) for up to 5 days (d). Photosynthetic activity (alpha(ETR) and ETRmax and Ek(ETR)), photoinhibition (F-v/F-m) and photoprotection processes (alpha(NPQ), NPQ(max) and Ek(NPQ)) provided no evidence of negative ecophysiological effects. There were moderate increases in H2O2 production and levels of lipid peroxidation with temperature, results supported by stable levels of total glutathione and ascorbate pools, with mostly higher levels of reduced ascorbate and glutathione than oxidized forms in all species. Transcripts of P. endivdfolia indicated a general upregulation of all antioxidant enzymes and HSPs genes studied under warmer temperature, although with different levels of activation with time. This pioneering investigation exploring different levels of biological organization, suggested that Antarctic intertidal macroalgae may be able to withstand future rise in SSTs, probably slightly altering their latitudinal distribution and/or range of thermal tolerance, by exhibiting robust glutathione-ascorbate production and recycling, as well as the induction of associated antioxidant enzymatic machinery and the syntheses of HSPs. (C) 2020 Elsevier B.V. All rights reserved.</t>
  </si>
  <si>
    <t>[Celis-Pla, Paula S. M.; Moenne, Fabiola; Rodriguez-Rojas, Fernanda; Pardo, Diego; Lavergne, Celine; Saez, Claudio A.] Univ Playa Ancha, Ctr Estudios Avanzados, Lab Aquat Environm Res, Vina Del Mar, Chile; [Celis-Pla, Paula S. M.; Moenne, Fabiola; Rodriguez-Rojas, Fernanda; Pardo, Diego; Lavergne, Celine; Saez, Claudio A.] Univ Playa Ancha, HUB Ambiental UPLA, Valparaiso, Chile; [Pardo, Diego] Univ Playa Ancha, Fac Ingn, Dept Medio Ambiente, Valparaiso, Chile; [Lavergne, Celine] Pontificia Univ Catolica Valparaiso, Escuela Ingn Bioquim, Ave Brasil 2085, Valparaiso 2340950, Chile; [Moenne, Alejandra] Fac Quim &amp; Biol, Dept Biol, Lab Marine Biotechnol, Estn Cent, Valparaiso, Chile; [Brown, Murray T.] Univ Plymouth, Sch Biol &amp; Marine Sci, Plymouth, Devon, England; [Huovinen, Pirjo; Gomez, Ivan] Univ Austral Chile, Fac Ciencias, Inst Ciencias Marinas &amp; Limnol, Valdivia, Chile; [Huovinen, Pirjo; Gomez, Ivan; Navarro, Nelso] Ctr Invest Dinam Ecosistemas Marinos Altas Latitu, Punta Arenas, Chile; [Navarro, Nelso] Univ Magallanes, Fac Ciencias, Dept Ciencias &amp; Recursos Nat, Punta Arenas, Chile</t>
  </si>
  <si>
    <t>Universidad de Playa Ancha; Universidad de Playa Ancha; Universidad de Playa Ancha; Pontificia Universidad Catolica de Valparaiso; University of Plymouth; Universidad Austral de Chile; Universidad de Magallanes</t>
  </si>
  <si>
    <t>Sáez, CA (corresponding author), Univ Playa Ancha, HUB Ambiental UPLA, Valparaiso, Chile.</t>
  </si>
  <si>
    <t>claudio.saez@upla.cl</t>
  </si>
  <si>
    <t>Lavergne, Céline/B-4208-2015; Sáez, Claudio/AAP-6923-2021</t>
  </si>
  <si>
    <t>Lavergne, Céline/0000-0002-2002-8655; Sáez, Claudio/0000-0002-5037-3484; Huovinen, Pirjo/0000-0002-7754-4933; Rodriguez Rojas, Fernanda Jimena/0009-0006-1232-5891; Gomez, Ivan/0000-0001-8381-3792; Moenne, Alejandra/0000-0002-7309-9713</t>
  </si>
  <si>
    <t>projects INACH (Chilean Antarctic Institute) [RT_09_16, RG_10_18]; Fondap IDEAL [15150003]; ANID FONDECYT Postdoctorado [3180374, 3180394]</t>
  </si>
  <si>
    <t>projects INACH (Chilean Antarctic Institute); Fondap IDEAL; ANID FONDECYT Postdoctorado</t>
  </si>
  <si>
    <t>This work was financed and logistic support granted through the projects INACH (Chilean Antarctic Institute) RT_09_16 and RG_10_18 directed by C.A. Saez and P. S. M. Celis-Pla, respectively. P. Huovinen and I. Gomez were funded by Fondap IDEAL 15150003, while C. Lavergne was funded by ANID FONDECYT Postdoctorado (#3180374) and Fernanda Rodriguez-Rojas by ANID FONDECYT Postdoctorado (#3180394).</t>
  </si>
  <si>
    <t>10.1016/j.scitotenv.2020.140379</t>
  </si>
  <si>
    <t>NE1TF</t>
  </si>
  <si>
    <t>WOS:000562379400015</t>
  </si>
  <si>
    <t>Speakman, CN; Hoskins, AJ; Hindell, MA; Costa, DP; Hartog, JR; Hobday, AJ; Arnould, JPY</t>
  </si>
  <si>
    <t>Speakman, Cassie N.; Hoskins, Andrew J.; Hindell, Mark A.; Costa, Daniel P.; Hartog, Jason R.; Hobday, Alistair J.; Arnould, John P. Y.</t>
  </si>
  <si>
    <t>Environmental influences on foraging effort, success and efficiency in female Australian fur seals</t>
  </si>
  <si>
    <t>ARCTOCEPHALUS-PUSILLUS-DORIFERUS; SOUTHERN ANNULAR MODE; CLIMATE-CHANGE; EL-NINO; BASS STRAIT; PSEUDOPHYCIS-BACHUS; DIPOLE MODE; RED COD; MARINE; BEHAVIOR</t>
  </si>
  <si>
    <t>Understanding the factors which influence foraging behaviour and success in marine mammals is crucial to predicting how their populations may respond to environmental change. The Australian fur seal (Arctocephalus pusillus doriferus, AUFS) is a predominantly benthic forager on the shallow continental shelf of Bass Strait, and represents the greatest biomass of marine predators in south-eastern Australia. The south-east Australian region is experiencing rapid oceanic warming, predicted to lead to substantial alterations in prey diversity, distribution and abundance. In the present study, foraging effort and indices of foraging success and efficiency were investigated in 138 adult female AUFS (970 foraging trips) during the winters of 1998-2019. Large scale climate conditions had a strong influence on foraging effort, foraging success and efficiency. Foraging effort and foraging success were also strongly influenced by winter chlorophyll-a concentrations and sea-surface height anomalies in Bass Strait. The results suggest increasing foraging effort and decreasing foraging success and efficiency under anticipated environmental conditions, which may have population-level impacts.</t>
  </si>
  <si>
    <t>[Speakman, Cassie N.; Arnould, John P. Y.] Deakin Univ, Sch Life &amp; Environm Sci, Burwood, Vic, Australia; [Hoskins, Andrew J.] CSIRO Hlth &amp; Biosecur, Townsville, Qld, Australia; [Hindell, Mark A.] Univ Tasmania, Inst Marine &amp; Antarctic Studies, Hobart, Tas, Australia; [Costa, Daniel P.] Univ Calif Santa Cruz, Ecol &amp; Evolutionary Biol Dept, Santa Cruz, CA USA; [Hartog, Jason R.; Hobday, Alistair J.] CSIRO Oceans &amp; Atmosphere, Hobart, Tas, Australia</t>
  </si>
  <si>
    <t>Deakin University; Commonwealth Scientific &amp; Industrial Research Organisation (CSIRO); University of Tasmania; University of California System; University of California Santa Cruz; Commonwealth Scientific &amp; Industrial Research Organisation (CSIRO)</t>
  </si>
  <si>
    <t>Speakman, CN (corresponding author), Deakin Univ, Sch Life &amp; Environm Sci, Burwood, Vic, Australia.</t>
  </si>
  <si>
    <t>cspeakman@deakin.edu.au</t>
  </si>
  <si>
    <t>Hobday, Alistair/A-1460-2012; Speakman, Cassie/IST-8189-2023; Hoskins, Andrew/T-2694-2019; Hindell, Mark A/K-1131-2013</t>
  </si>
  <si>
    <t>Speakman, Cassie/0000-0002-0023-518X; Hoskins, Andrew/0000-0001-8907-6682;</t>
  </si>
  <si>
    <t>Australian Research Council; Sea World Research and Rescue Foundation; Winnifred Violet Scott Trust; Holsworth Wildlife Research Endowment</t>
  </si>
  <si>
    <t>Australian Research Council(Australian Research Council); Sea World Research and Rescue Foundation; Winnifred Violet Scott Trust; Holsworth Wildlife Research Endowment</t>
  </si>
  <si>
    <t>We thank the many researchers, students and volunteers who have assisted in the data collection over the years. Logistical support was provided by Parks Victoria, Prom Adventurer Charters and Best Helicopters, and the assistance of the many Parks Victoria rangers involved, Geoff Boyd and Sean Best is gratefully acknowledged. Financial support was provided by research Grants from the Australian Research Council, Sea World Research and Rescue Foundation, Winnifred Violet Scott Trust and Holsworth Wildlife Research Endowment. All work was carried out with the approval of the Deakin University Animal Ethics committee and under Department of Sustainability and Environment (Victoria, Australia) wildlife research permits (10000187, 10000706, 10001143, 10001672, 10005362, and 10005848).</t>
  </si>
  <si>
    <t>OCT 19</t>
  </si>
  <si>
    <t>10.1038/s41598-020-73579-y</t>
  </si>
  <si>
    <t>OL2UQ</t>
  </si>
  <si>
    <t>WOS:000585197800040</t>
  </si>
  <si>
    <t>Small, RJ; DuVivier, AK; Whitt, DB; Long, MTC; Grooms, I; Large, WG</t>
  </si>
  <si>
    <t>Small, R. Justin; DuVivier, Alice K.; Whitt, Daniel B.; Long, Matthew C.; Grooms, Ian; Large, William G.</t>
  </si>
  <si>
    <t>On the control of subantarctic stratification by the ocean circulation</t>
  </si>
  <si>
    <t>SEA-SURFACE TEMPERATURE; EARTH SYSTEM MODEL; SOUTHERN-OCEAN; LANGMUIR TURBULENCE; HEAT FLUXES; PARAMETERIZATION; IMPACT; SENSITIVITY; WIND; CLIMATOLOGY</t>
  </si>
  <si>
    <t>A shallow mixed layer depth bias in Austral winter in the Subantarctic Zone is a common feature of Coupled Model Intercomparison Project (CMIP5) models, including the Community Earth System Model (CESM). The bias is related to other deficiencies in the model solution, including too-weak Subantarctic Mode water formation and excessive leakage of Agulhas waters into the Atlantic instead of into the Indian Ocean and Subantarctic Frontal Zone. This work investigates the hypothesis that the shallow bias is due to errors in the simulated ocean circulation. Results from a model with low resolution ocean component (1 degrees grid) are compared against: (i) an experiment with an eddy resolving (0.1 degrees) grid and (ii) experiments using the 1 degrees grid and employing an adiabatic nudging of the ocean pressure field to observations that is referred to as a semi-prognostic method. For both the higher resolution and semi-prognostic experiments, improved horizontal advection of warm and salty water near the surface leads to a more realistic sea surface temperature (SST) and salinity front associated with the Agulhas Return Current and Antarctic Circumpolar Current. The warmer surface waters in the high-resolution model and semi-prognostic model lead to stronger air-sea heat loss, with a response of about 40 Wm(-2) degrees C(-1)in winter in the area of deep mixed layers. Budgets of the temperature and salinity stratification show that the deeper mixed layers in the high-resolution experiment are primarily a result of the increased surface heat loss, whereas in the semi-prognostic case salinity advection is the main factor leading to destabilization of the water column. Both results indicate that ocean circulation is a key factor in wintertime deep Southern Ocean mixing, associated with advection of water masses and air-sea feedbacks.</t>
  </si>
  <si>
    <t>[Small, R. Justin; DuVivier, Alice K.; Whitt, Daniel B.; Long, Matthew C.; Large, William G.] Natl Ctr Atmospher Res, Climate &amp; Global Dynam Div, 1850 Table Mesa Dr, Boulder, CO 80305 USA; [Grooms, Ian] Univ Colorado, Dept Appl Math, Boulder, CO 80309 USA</t>
  </si>
  <si>
    <t>National Center Atmospheric Research (NCAR) - USA; University of Colorado System; University of Colorado Boulder</t>
  </si>
  <si>
    <t>Small, RJ (corresponding author), Natl Ctr Atmospher Res, Climate &amp; Global Dynam Div, 1850 Table Mesa Dr, Boulder, CO 80305 USA.</t>
  </si>
  <si>
    <t>jsmall@ucar.edu</t>
  </si>
  <si>
    <t>Long, Matthew C/H-4632-2016; DuVivier, Alice K./JJC-1516-2023; Whitt, Daniel/JHT-2301-2023</t>
  </si>
  <si>
    <t>DuVivier, Alice K./0000-0001-6920-5926; Whitt, Daniel/0000-0002-3209-5572; Long, Matthew/0000-0003-1273-2957; GROOMS, IAN/0000-0002-4678-7203; Small, Richard/0000-0002-3452-2179</t>
  </si>
  <si>
    <t>DOE Biological and Environmental Research (BER) SCI-DAC [DE-SC0012605]; NASA Physical Oceanography Awards [80NSSC18K0769]; National Science Foundation [OPP-1501993, OCE-1658541]; National Oceanic and Atmospheric Administration [NA18OAR4310408]; National Science Foundation (NSF); National Center for Atmospheric Research (NCAR) - NSF [1852977]; National Science Foundation; National Science Foundation through NCAR; U.S. Department of Energy (DOE) [DE-SC0012605] Funding Source: U.S. Department of Energy (DOE)</t>
  </si>
  <si>
    <t>DOE Biological and Environmental Research (BER) SCI-DAC(United States Department of Energy (DOE)); NASA Physical Oceanography Awards; National Science Foundation(National Science Foundation (NSF)); National Oceanic and Atmospheric Administration(National Oceanic Atmospheric Admin (NOAA) - USA); National Science Foundation (NSF)(National Science Foundation (NSF)); National Center for Atmospheric Research (NCAR) - NSF; National Science Foundation(National Science Foundation (NSF)); National Science Foundation through NCAR; U.S. Department of Energy (DOE)(United States Department of Energy (DOE))</t>
  </si>
  <si>
    <t>The editor and two anonymous reviewers are thanked for helping to improve the manuscript. This work was funded by DOE Biological and Environmental Research (BER) SCI-DAC #DE-SC0012605 and NASA Physical Oceanography Awards 80NSSC18K0769. DBW was supported by the National Science Foundation, via NSF Grants OPP-1501993 and OCE-1658541, and the National Oceanic and Atmospheric Administration, via Grant NA18OAR4310408. Thank you to Peter Gent, Baylor Fox-Kemper and Qing Li for extensive discussions on Southern Ocean mixing, and to Frank Bryan and Matt Mazloff for suggesting (independently) regional restoring, including the semi-prognostic experiments. Thanks further to Ivana Cerovecki for discussions on Subantarctic mode waters. Ben Johnson and Frank Bryan are thanked for providing POP-HR data (Johnson et al. 2016), Keith Lindsay for providing heat budget code, and Fred Castruccio for help with semi-prognostic simulations. John Fasullo and Kevin Trenberth and Lisan Yu are thanked for providing air-sea heat flux datasets. WOCE data was collected from a cruise in February 2016, on R/V Roger Revelle, chief scientist Allison Macdonald. Data gathered from https://cchdo.ucsd.edu/cruise/33RR201602 08. The CESM project is supported primarily by the National Science Foundation (NSF). This material is based upon work supported by the National Center for Atmospheric Research (NCAR), which is a major facility sponsored by the NSF under Cooperative Agreement No. 1852977. Computing and data storage resources, including the Cheyenne supercomputer (https://doi.org/10.5065/D6RX99HX), were provided by the Computational and Information Systems Laboratory (CISL) at NCAR. NCAR is sponsored by the National Science Foundation. M. C. Long and W. G. Large were supported by the National Science Foundation through their sponsorship of NCAR. All authors contributed to the experimental approach and paper writing. A. K. D provided model and observation datasets, analysis scripts and interpretation of results. D.B. W. and I. G. provided analysis and theoretical interpretation. RJS led the analysis and paper writing and performed semi-prog. experiments and budget analysis. MCL and WGL motivated the study.</t>
  </si>
  <si>
    <t>10.1007/s00382-020-05473-2</t>
  </si>
  <si>
    <t>WOS:000579722800006</t>
  </si>
  <si>
    <t>Uffman-Kirsch, LB; Richardson, BJ; van Putten, EI</t>
  </si>
  <si>
    <t>Uffman-Kirsch, Lisa B.; Richardson, Benjamin J.; van Putten, Elizabeth Ingrid</t>
  </si>
  <si>
    <t>A New Paradigm for Social License as a Path to Marine Sustainability</t>
  </si>
  <si>
    <t>marine governance; free; prior, and informed consent; public participation; public trust doctrine; social license to engage; stakeholder decision making; stakeholder deliberation; social license to operate</t>
  </si>
  <si>
    <t>INDIGENOUS PEOPLES; PARTICIPATION; RIGHTS</t>
  </si>
  <si>
    <t>Traditional marine governance can create inferior results. Management decisions customarily reflect fluctuating political priorities and formidable special-interest influence. Governments face distrust and conflicts of interest. Industries face fluctuating or confusing rules. Communities feel disenfranchised to affect change. The marine environment exhibits the impacts. While perceived harm to diverse values and priorities, disputed facts and legal questions create conflict, informed and empowered public engagement prepares governments to forge socially legitimate and environmentally acceptable decisions. Integrity, transparency and inclusiveness matter. This article examines positive contributions engaged communities can make to marine governance and relates it to social license. Social license suffers critique as vague and manufactured. Here its traditional understanding as extra-legal approval that communities give to resource choices is broadened to include a legally sanctioned power to deliberate- social license to engage. The starting hypothesis rests in the legal tradition designating oceans as public assets for which governments hold fiduciary duties of sustainable management benefiting current and future generations. The public trust doctrine houses this legal custom. A procedural due process right for engaged communities should stem from this public-asset classification and afford marine stakeholders standing to ensure management policy accords with doctrinal principles. The (free), prior, informed consent participation standard provides best practice for engaged decision-making. Building on theories from law, social, and political science, we suggest robust public deliberation provides marine use actors methods to earn and sustain their social license to operate, while governmental legitimacy is bolstered by assuring public engagement opportunities are available and protected with outcomes utilized.</t>
  </si>
  <si>
    <t>[Uffman-Kirsch, Lisa B.; Richardson, Benjamin J.] Univ Tasmania, Fac Law, Hobart, Tas, Australia; [Uffman-Kirsch, Lisa B.; Richardson, Benjamin J.; van Putten, Elizabeth Ingrid] Univ Tasmania, Ctr Marine Socioecol, Hobart, Tas, Australia; [Richardson, Benjamin J.] Univ Tasmania, Inst Marine &amp; Antarctic Studies, Hobart, Tas, Australia; [van Putten, Elizabeth Ingrid] Commonwealth Sci &amp; Ind Res Org, Oceans &amp; Atmosphere, Hobart, Tas, Australia</t>
  </si>
  <si>
    <t>University of Tasmania; University of Tasmania; University of Tasmania; Commonwealth Scientific &amp; Industrial Research Organisation (CSIRO)</t>
  </si>
  <si>
    <t>Uffman-Kirsch, LB (corresponding author), Univ Tasmania, Fac Law, Hobart, Tas, Australia.;Uffman-Kirsch, LB (corresponding author), Univ Tasmania, Ctr Marine Socioecol, Hobart, Tas, Australia.</t>
  </si>
  <si>
    <t>Lisa.UffmanKirsch@utas.edu.au</t>
  </si>
  <si>
    <t>Richardson, Benjamin J/J-7340-2014; UffmankirschZ, Lisa/HKM-5533-2023</t>
  </si>
  <si>
    <t>Oceans and Atmosphere Division of the Commonwealth Scientific and Industrial Research Organisation (CSIRO), Hobart, Tasmania; University of Tasmania's Centre forMarine Socioecology; Faculty of Law</t>
  </si>
  <si>
    <t>The Oceans and Atmosphere Division of the Commonwealth Scientific and Industrial Research Organisation (CSIRO), Hobart, Tasmania, funded the open access publication fee for this article. It did not provide any funding for the primary/corresponding author's thesis research that is the basis for this Perspective article. That author's thesis research is funded by the University of Tasmania's Centre forMarine Socioecology and Faculty of Law.</t>
  </si>
  <si>
    <t>10.3389/fmars.2020.571373</t>
  </si>
  <si>
    <t>OD4SH</t>
  </si>
  <si>
    <t>WOS:000579841900001</t>
  </si>
  <si>
    <t>Taucher, J; Boxhammer, T; Bach, LT; Paul, AJ; Schartau, M; Stange, P; Riebesell, U</t>
  </si>
  <si>
    <t>Taucher, Jan; Boxhammer, Tim; Bach, Lennart T.; Paul, Allanah J.; Schartau, Markus; Stange, Paul; Riebesell, Ulf</t>
  </si>
  <si>
    <t>Changing carbon-to-nitrogen ratios of organic-matter export under ocean acidification</t>
  </si>
  <si>
    <t>TECHNICAL NOTE; PHYTOPLANKTON; METAANALYSIS; PLANKTON; SYSTEM; IMPACT; DEPTH; SIZE</t>
  </si>
  <si>
    <t>Ocean acidification (OA) will affect marine biotas from the organism to the ecosystem level. Yet, the consequences for the biological carbon pump and thereby the oceanic sink for atmospheric CO(2)are still unclear. Here we show that OA considerably alters the C/N ratio of organic-matter export (C/N-export), a key factor determining efficiency of the biological pump. By synthesizing sediment-trap data from in situ mesocosm studies in different marine biomes, we find distinct but highly variable impacts of OA on C/N-export, reaching up to a 20% increase/decrease under partial pressure of CO2(pCO(2)) conditions projected for 2100. These changes are driven by pCO(2) effects on a variety of plankton taxa and corresponding shifts in food-web structure. Notably, our findings suggest a pivotal role of heterotrophic processes in controlling the response of C/N(export)to OA, thus contradicting the paradigm of primary producers as the principal driver of biogeochemical responses to ocean change. The biological pump sequesters carbon to the deep ocean. Ocean acidification, through impacts on plankton and food-web structure, is shown to alter the carbon-to-nitrogen ratio of organic material export, with heterotrophic processes playing a key role.</t>
  </si>
  <si>
    <t>[Taucher, Jan; Boxhammer, Tim; Paul, Allanah J.; Schartau, Markus; Stange, Paul; Riebesell, Ulf] GEOMAR Helmholtz Ctr Ocean Res, Kiel, Germany; [Bach, Lennart T.] Univ Tasmania, Inst Marine &amp; Antarctic Studies, Hobart, Tas, Australia</t>
  </si>
  <si>
    <t>Taucher, J (corresponding author), GEOMAR Helmholtz Ctr Ocean Res, Kiel, Germany.</t>
  </si>
  <si>
    <t>jtaucher@geomar.de</t>
  </si>
  <si>
    <t>Boxhammer, Tim/GLN-6190-2022; Schartau, Markus/A-5918-2017</t>
  </si>
  <si>
    <t>Boxhammer, Tim/0000-0002-9632-5947; Bach, Lennart/0000-0003-0202-3671; Paul, Allanah/0000-0003-1037-5239; Schartau, Markus/0000-0003-1114-0415; Taucher, Jan/0000-0001-9944-0775</t>
  </si>
  <si>
    <t>German Federal Ministry of Science and Education (BMBF) [FKZ 03F0728, FKZ 03F0662]; European Project on Ocean Acidification (EPOCA) from the European Community's Seventh Framework Programme (FP7/2007-2013) [211384]; EU project MESOAQUA [228224]; BIOACID II [FKZ 03F06550]; SOPRAN II [03F0611]</t>
  </si>
  <si>
    <t>German Federal Ministry of Science and Education (BMBF)(Federal Ministry of Education &amp; Research (BMBF)); European Project on Ocean Acidification (EPOCA) from the European Community's Seventh Framework Programme (FP7/2007-2013); EU project MESOAQUA; BIOACID II; SOPRAN II</t>
  </si>
  <si>
    <t>This study was supported by the German Federal Ministry of Science and Education (BMBF) in the framework of the projects BIOACID III (Biological Impacts of Ocean Acidification, FKZ 03F0728) and SOPRAN III (Surface Ocean Processes in the ANthropocene, FKZ 03F0662). Funding for the different mesocosm studies was also provided by the European Project on Ocean Acidification (EPOCA, grant no. 211384) from the European Community's Seventh Framework Programme (FP7/2007-2013), the EU project MESOAQUA (grant no. 228224), as well as BIOACID II (FKZ 03F06550) and SOPRAN II (03F0611). Furthermore, we thank all participating scientists and technicians for their huge effort in realizing the different studies. We also thank the staff of the marine biological stations in the different study locations for providing logistics, technical assistance and support at all times. We also thank the captains and crews of R/V Viking Explorer, M/V Esperanza of Greenpeace, R/V Haokon Mosby (2011609), R/V Alkor (AL376, AL394, AL397, AL406, AL420), R/V Heincke (HE360), R/V Poseidon (POS463) and R/V Hesperides (29HE20140924) for support during transport, deployment and recovery of the mesocosm facilities.</t>
  </si>
  <si>
    <t>10.1038/s41558-020-00915-5</t>
  </si>
  <si>
    <t>PO7AR</t>
  </si>
  <si>
    <t>WOS:000579680500002</t>
  </si>
  <si>
    <t>Tebbe, J; Humble, E; Stoffel, MA; Tewes, LJ; Müller, C; Forcada, J; Caspers, B; Hoffman, JI</t>
  </si>
  <si>
    <t>Tebbe, Jonas; Humble, Emily; Stoffel, Martin Adam; Tewes, Lisa Johanna; Muller, Caroline; Forcada, Jaume; Caspers, Barbara; Hoffman, Joseph Ivan</t>
  </si>
  <si>
    <t>Chemical patterns of colony membership and mother-offspring similarity in Antarctic fur seals are reproducible</t>
  </si>
  <si>
    <t>PEERJ</t>
  </si>
  <si>
    <t>Reproducible science; Exact replication study; Olfactory communication; Gas chromatography-mass spectrometry (GC-MS); Chemical fingerprint; Wild population; Odour profile; Mother-offspring similarity; Fur seal; Pinniped</t>
  </si>
  <si>
    <t>MAJOR HISTOCOMPATIBILITY COMPLEX; INDIVIDUAL IDENTITY; KIN RECOGNITION; GENETIC QUALITY; SCENT; ECOLOGY; REPLICATION; RELATEDNESS; REUNIONS; LIONS</t>
  </si>
  <si>
    <t>Replication studies are essential for evaluating the validity of previous research findings. However, it has proven challenging to reproduce the results of ecological and evolutionary studies, partly because of the complexity and lability of many of the phenomena being investigated, but also due to small sample sizes, low statistical power and publication bias. Additionally, replication is often considered too difficult in field settings where many factors are beyond the investigator's control and where spatial and temporal dependencies may be strong. We investigated the feasibility of reproducing original research findings in the field of chemical ecology by performing an exact replication of a previous study of Antarctic fur seals (Arctocephalus gazella). In the original study, skin swabs from 41 mother-offspring pairs from two adjacent breeding colonies on Bird Island, South Georgia, were analyzed using gas chromatography-mass spectrometry. Seals from the two colonies differed significantly in their chemical fingerprints, suggesting that colony membership may be chemically encoded, and mothers were also chemically similar to their pups, hinting at the possible involvement of phenotype matching in mother-offspring recognition. In the current study, we generated and analyzed chemical data from a non-overlapping sample of 50 mother-offspring pairs from the same two colonies 5 years later. The original results were corroborated in both hypothesis testing and estimation contexts, with p-values remaining highly significant and effect sizes, standardized between studies by bootstrapping the chemical data over individuals, being of comparable magnitude. However, exact replication studies are only capable of showing whether a given effect can be replicated in a specific setting. We therefore investigated whether chemical signatures are colony-specific in general by expanding the geographic coverage of our study to include pups from a total of six colonies around Bird Island. We detected significant chemical differences in all but a handful of pairwise comparisons between colonies. This finding adds weight to our original conclusion that colony membership is chemically encoded, and suggests that chemical patterns of colony membership not only persist over time but can also be generalized over space. Our study systematically confirms and extends our previous findings, while also implying more broadly that spatial and temporal heterogeneity need not necessarily negate the reproduction and generalization of ecological research findings.</t>
  </si>
  <si>
    <t>[Tebbe, Jonas; Humble, Emily; Stoffel, Martin Adam; Hoffman, Joseph Ivan] Bielefeld Univ, Dept Anim Behav, Bielefeld, Germany; [Humble, Emily] Univ Edinburgh, Royal Dick Sch Vet Studies, Edinburgh, Midlothian, Scotland; [Humble, Emily] Univ Edinburgh, Roslin Inst, Edinburgh, Midlothian, Scotland; [Humble, Emily; Forcada, Jaume; Hoffman, Joseph Ivan] British Antarctic Survey, Cambridge, England; [Stoffel, Martin Adam] Univ Edinburgh, Inst Evolutionary Biol, Edinburgh, Midlothian, Scotland; [Tewes, Lisa Johanna; Muller, Caroline] Bielefeld Univ, Dept Chem Ecol, Bielefeld, Germany; [Caspers, Barbara] Bielefeld Univ, Dept Behav Ecol, Bielefeld, Germany</t>
  </si>
  <si>
    <t>University of Bielefeld; University of Edinburgh; University of Edinburgh; UK Research &amp; Innovation (UKRI); Biotechnology and Biological Sciences Research Council (BBSRC); Roslin Institute; UK Research &amp; Innovation (UKRI); Natural Environment Research Council (NERC); NERC British Antarctic Survey; University of Edinburgh; University of Bielefeld; University of Bielefeld</t>
  </si>
  <si>
    <t>Hoffman, JI (corresponding author), Bielefeld Univ, Dept Anim Behav, Bielefeld, Germany.;Hoffman, JI (corresponding author), British Antarctic Survey, Cambridge, England.</t>
  </si>
  <si>
    <t>joseph.hoffman@uni-bielefeld.de</t>
  </si>
  <si>
    <t>Forcada, Jaume/GYU-0677-2022; Caspers, Barbara A/C-5573-2011; Muller, Caroline/G-5073-2011; Hoffman, Joseph/K-7725-2012</t>
  </si>
  <si>
    <t>Stoffel, Martin/0000-0003-4030-3543; Muller, Caroline/0000-0002-8447-534X; Hoffman, Joseph/0000-0001-5895-8949</t>
  </si>
  <si>
    <t>Deutsche Forschungsgemeinschaft (DFG, German Research Foundation) [316099922, 396774617-TRR 212, SPP 1158, 424119118]; Natural Environment Research Council; Deutsche Forschungsgemeinschaft; Open Access Publication Fund of Bielefeld University; NERC [bas0100035] Funding Source: UKRI</t>
  </si>
  <si>
    <t>Deutsche Forschungsgemeinschaft (DFG, German Research Foundation)(German Research Foundation (DFG)); Natural Environment Research Council(UK Research &amp; Innovation (UKRI)Natural Environment Research Council (NERC)); Deutsche Forschungsgemeinschaft(German Research Foundation (DFG)); Open Access Publication Fund of Bielefeld University; NERC(UK Research &amp; Innovation (UKRI)Natural Environment Research Council (NERC))</t>
  </si>
  <si>
    <t>This research was funded by the Deutsche Forschungsgemeinschaft (DFG, German Research Foundation) in the framework of a Sonderforschungsbereich (project numbers 316099922 and 396774617-TRR 212) and the priority program Antarctic Research with Comparative Investigations in Arctic Ice Areas (SPP 1158, project number 424119118). It was also supported by core funding from the Natural Environment Research Council to the British Antarctic Survey's Ecosystems Program. Support for the Article Processing Charge was granted by the Deutsche Forschungsgemeinschaft and the Open Access Publication Fund of Bielefeld University. The funders had no role in study design, data collection and analysis, decision to publish, or preparation of the manuscript.</t>
  </si>
  <si>
    <t>PEERJ INC</t>
  </si>
  <si>
    <t>341-345 OLD ST, THIRD FLR, LONDON, EC1V 9LL, ENGLAND</t>
  </si>
  <si>
    <t>2167-8359</t>
  </si>
  <si>
    <t>PeerJ</t>
  </si>
  <si>
    <t>e10131</t>
  </si>
  <si>
    <t>10.7717/peerj.10131</t>
  </si>
  <si>
    <t>OC7JO</t>
  </si>
  <si>
    <t>Green Submitted, Green Accepted, Green Published, gold</t>
  </si>
  <si>
    <t>WOS:000579332800003</t>
  </si>
  <si>
    <t>Laptikhovsky, V; Naulaerts, J; Clingham, E; Collins, MA; Cranfield, M; Henry, L; Small, A; Stamford, T; Xavier, J; Wright, S</t>
  </si>
  <si>
    <t>Laptikhovsky, Vladimir; Naulaerts, Joachim; Clingham, Elizabeth; Collins, Martin A.; Cranfield, Martin; Henry, Leeann; Small, Alison; Stamford, Tammy; Xavier, Jose; Wright, Serena</t>
  </si>
  <si>
    <t>Comparative feeding strategies of yellowfin tuna around St Helena and adjacent seamounts of the South Atlantic Ocean</t>
  </si>
  <si>
    <t>diet; seamounts; St Helena; Thunnus albacares; tuna</t>
  </si>
  <si>
    <t>THUNNUS-ALBACARES BONNATERRE; VINCIGUERRIA-NIMBARIA; DIET COMPOSITION; PELAGIC FISH; BEHAVIOR; MOVEMENTS; ECOLOGY; BIOLOGY; HABITS; ISLAND</t>
  </si>
  <si>
    <t>Yellowfin tuna are the mainstay of the traditional tuna fisheries in St Helena waters, but there is limited knowledge of their ecology and feeding behaviour in the area. In this study yellowfin tuna stomach contents were used to assess spatio-temporal changes in feeding strategy and consider the role of tuna in the local ecosystem. Comparisons of the feeding spectra of yellowfin tuna between inshore regions of St Helena and oceanic seamounts demonstrated that in both areas the species was largely piscivorous. In inshore waters yellowfin consumed more neritic fauna, including significant numbers of crab megalopa, whereas around seamounts the diet included a greater diversity of epi- and mesopelagic fish and squids. The most important fish prey species in inshore waters was the St Helena butterflyfishChaetodon sanctahelenae, and around seamounts was the pufferfishLagocephalus lagocephalus. Results indicate that the diet spectrum of yellowfin tuna in St Helena waters is relatively similar to those of conspecifics living in waters with relatively low productivity, with strategies indicative of food-poor ecosystems. The availability of coastal fauna may make areas around islands and seamounts more attractive for feeding aggregations of yellowfin tuna, compared to the open ocean. The relatively unselective feeding of yellowfin tuna means that stomachs can provide valuable data on the species diversity, particularly in remote areas with limited opportunities for dedicated research expeditions.</t>
  </si>
  <si>
    <t>[Laptikhovsky, Vladimir; Stamford, Tammy; Wright, Serena] Ctr Environm Fisheries &amp; Aquaculture Sci, Pakefield Rd, Lowestoft NR33 0HT, Suffolk, England; [Naulaerts, Joachim; Clingham, Elizabeth; Cranfield, Martin; Henry, Leeann; Small, Alison] St Helena Govt, The Castle, Jamestown, St Helena; [Collins, Martin A.] British Antarctic Survey, NERC, Cambridge, England; [Xavier, Jose] Univ Coimbra, MARE Marine &amp; Environm Sci Ctr, Dept Life Sci, Coimbra, Portugal</t>
  </si>
  <si>
    <t>Centre for Environment Fisheries &amp; Aquaculture Science; UK Research &amp; Innovation (UKRI); Natural Environment Research Council (NERC); NERC British Antarctic Survey; Universidade de Coimbra</t>
  </si>
  <si>
    <t>Laptikhovsky, V (corresponding author), Ctr Environm Fisheries &amp; Aquaculture Sci, Pakefield Rd, Lowestoft NR33 0HT, Suffolk, England.</t>
  </si>
  <si>
    <t>vladimir.laptikhovsky@cefas.co.uk</t>
  </si>
  <si>
    <t>, Martin/ABE-6728-2020; Xavier, José/KFB-6739-2024</t>
  </si>
  <si>
    <t>, Martin/0000-0001-7132-8650; Wright, Serena/0000-0003-4912-1455; /0000-0002-9621-6660; Naulaerts, Joachim/0000-0003-0468-1563</t>
  </si>
  <si>
    <t>Darwin Plus Award [DPLUS 039]; UK Government through the Blue Belt Programme; MARE (Marine and Environmental Sciences Centre); FCT [Foundation for Science and Technology] [UIDB/04292/2020]; NERC [bas0100035] Funding Source: UKRI</t>
  </si>
  <si>
    <t>Darwin Plus Award; UK Government through the Blue Belt Programme; MARE (Marine and Environmental Sciences Centre); FCT [Foundation for Science and Technology](Fundacao para a Ciencia e a Tecnologia (FCT)); NERC(UK Research &amp; Innovation (UKRI)Natural Environment Research Council (NERC))</t>
  </si>
  <si>
    <t>This study was initiated under a Darwin Plus Award (DPLUS 039) and largely conducted under funding by the UK Government through the Blue Belt Programme https://www.gov.uk/government/publications/theblue-belt-programme).Jose Xavier benefited from the support of the strategic program of MARE (Marine and Environmental Sciences Centre), financed by FCT [Foundation for Science and Technology (UIDB/04292/2020)].</t>
  </si>
  <si>
    <t>10.1111/jai.14122</t>
  </si>
  <si>
    <t>WOS:000579112800001</t>
  </si>
  <si>
    <t>Lin, N; Liu, BL; Liu, ZD; Qi, T</t>
  </si>
  <si>
    <t>Lin, Na; Liu, Baolin; Liu, Zhidong; Qi, Ting</t>
  </si>
  <si>
    <t>Effects of different drying methods on the structures and functional properties of phosphorylated Antarctic krill protein</t>
  </si>
  <si>
    <t>JOURNAL OF FOOD SCIENCE</t>
  </si>
  <si>
    <t>Antarctic krill protein; drying methods; phosphorylation; structures and functional properties</t>
  </si>
  <si>
    <t>EUPHAUSIA-SUPERBA; EMULSIFYING PROPERTIES; FOOD PROTEINS; ACID; IMPROVEMENT; OVALBUMIN; PEPTIDES; GELATIN; FILMS; L.</t>
  </si>
  <si>
    <t>Antarctic krill protein (AKP) was extracted from Antarctic krill by an alkali dissolution-isoelectric precipitation method and then it was phosphorylated with sodium tripolyphosphate. The phosphorylated Antarctic krill protein (P-AKP) powder was obtained by spray-drying (SD), freeze-drying (FD), and hot-air drying (AD), and the effects of these drying methods on the structures and functional properties of proteins were investigated. The P-AKP powder dried by SD had the best sensory performance, and its particle size was much smaller than that of FD and AD. Scanning electron microscope displayed a uniform particle size of SD powder and the particles were uniformly dispersed. X-ray diffraction analysis showed a higher crystallinity of SD sample than AD and FD. Differential scanning calorimeter analysis revealed that SD sample had the best thermal stability and less protein denaturation (Delta H= 210.80 J/g), followed by FD (Delta H= 80.48 J/g) and AD (Delta H= 73.94 J/g;P&lt; 0.05). Fourier transform infrared showed that SD sample contained more protein secondary structure. Compared with SD, the phosphorylated group-related chemical bonds in FD and AD samples were partially destroyed. SD sample had the highest protein solubility, oil absorption capacity, emulsifying, and foaming activities than FD and AD (P&lt; 0.05). Although FD had the highest water absorption capacity, sample prepared with AD had the worst functional performance. Therefore, different drying methods used for preparation of the P-AKP can affect its physicochemical and associated functional properties, and SD could be an appropriate drying method for the industrial mass production of P-AKP powders with better functionalities. Practical Application The optimal drying method for preparing the phosphorylated Antarctic krill protein (P-AKP) powder was proved to be spray-drying (SD), because the physicochemical and functional properties were better for P-AKP dried by SD than the other drying methods. Hence, SD was recommended for the industrial mass production of P-AKP powders with better functionalities. This research can provide theoretical guidance for the further processing and utilization of P-AKP, and offer technical reference for food processing and preservation.</t>
  </si>
  <si>
    <t>[Lin, Na; Liu, Zhidong] Chinese Acad Fishery Sci, East China Sea Fisheries Res Inst, Shanghai 200090, Peoples R China; [Liu, Baolin; Qi, Ting] Univ Shanghai Sci &amp; Technol, Sch Med Instrument &amp; Food Engn, Shanghai 200093, Peoples R China</t>
  </si>
  <si>
    <t>Chinese Academy of Fishery Sciences; East China Sea Fisheries Research Institute, CAFS; University of Shanghai for Science &amp; Technology</t>
  </si>
  <si>
    <t>Liu, ZD (corresponding author), Chinese Acad Fishery Sci, East China Sea Fisheries Res Inst, Shanghai 200090, Peoples R China.</t>
  </si>
  <si>
    <t>zd-liu@hotmail.com</t>
  </si>
  <si>
    <t>Central Public-interest Scientific Institution Basal Research Fund, CAFS [2020XT1201, 2019HY-ZD0903]; Key Project of Shanghai Agriculture Prosperity through Science and Technology [2015 (5-5)]</t>
  </si>
  <si>
    <t>Central Public-interest Scientific Institution Basal Research Fund, CAFS; Key Project of Shanghai Agriculture Prosperity through Science and Technology</t>
  </si>
  <si>
    <t>This work was supported by Central Public-interest Scientific Institution Basal Research Fund, CAFS (Nos. 2020XT1201, 2019HY-ZD0903), Key Project of Shanghai Agriculture Prosperity through Science and Technology [No.2015 (5-5)].</t>
  </si>
  <si>
    <t>0022-1147</t>
  </si>
  <si>
    <t>1750-3841</t>
  </si>
  <si>
    <t>J FOOD SCI</t>
  </si>
  <si>
    <t>J. Food Sci.</t>
  </si>
  <si>
    <t>10.1111/1750-3841.15503</t>
  </si>
  <si>
    <t>OP5TP</t>
  </si>
  <si>
    <t>WOS:000578949400001</t>
  </si>
  <si>
    <t>Levine, MD; Steele, RV</t>
  </si>
  <si>
    <t>Levine, Mark D.; Steele, Robert V.</t>
  </si>
  <si>
    <t>Climate change: What we know and what is to be done</t>
  </si>
  <si>
    <t>WILEY INTERDISCIPLINARY REVIEWS-ENERGY AND ENVIRONMENT</t>
  </si>
  <si>
    <t>Gamma C; climate change; mitigation of climate change; Paris Agreement; zero-carbon technologies</t>
  </si>
  <si>
    <t>Our goal in this article is to explain briefly what we believe to be the scientifically confirmed findings of climate change and what actions in our judgment are needed to forestall the worst impacts of a changing climate. Climate change is well documented by data and scientific observation. The global average temperature has already increased by more than 1 degrees C (1.8 degrees F) above preindustrial levels, and the impacts already felt are significant and encompass the entire globe. A 1 degrees C increase in global temperature has resulted in increased melting of glaciers and the Antarctic and Greenland ice sheets; higher frequency of more severe hurricanes; greater severity of droughts and forest fires; and extinction of selected species on land and in the sea, among other impacts. These are due largely to the extreme temperatures that accompany the higher mean temperature. There exist policies and cost-effective technologies today that can achieve large reductions in carbon emissions. There is significant experience with all of the policies and technologies. R&amp;D needs to be carried out on key new zero-carbon technologies. Foremost among these technologies are electricity storage for large-scale application in wind and solar power plants, batteries for electric vehicles, and zero-carbon fuels for vehicles. Other than the (in our view limited but worthwhile) progress achieved through the Conference of the Parties meetings, especially the Paris Agreement, the world has not yet begun addressing climate change sufficiently to avoid very significant impacts. One early sign that the world has become serious about climate change will occur when oil and gas companies reduce and ultimately cease exploring for new resources. This article is categorized under: Energy and Climate &gt; Climate and Environment</t>
  </si>
  <si>
    <t>[Levine, Mark D.] Lawrence Berkeley Natl Lab, Int Energy Studies Dept, Berkeley, CA 94720 USA</t>
  </si>
  <si>
    <t>United States Department of Energy (DOE); Lawrence Berkeley National Laboratory</t>
  </si>
  <si>
    <t>Levine, MD (corresponding author), Lawrence Berkeley Natl Lab, Int Energy Studies Dept, Berkeley, CA 94720 USA.</t>
  </si>
  <si>
    <t>mdlevine@lbl.gov</t>
  </si>
  <si>
    <t>Levine, Mark/0000-0003-1722-2972</t>
  </si>
  <si>
    <t>WILEY PERIODICALS, INC</t>
  </si>
  <si>
    <t>SAN FRANCISCO</t>
  </si>
  <si>
    <t>ONE MONTGOMERY ST, SUITE 1200, SAN FRANCISCO, CA 94104 USA</t>
  </si>
  <si>
    <t>2041-8396</t>
  </si>
  <si>
    <t>2041-840X</t>
  </si>
  <si>
    <t>WIRES ENERGY ENVIRON</t>
  </si>
  <si>
    <t>Wiley Interdiscip. Rev. Energy Environ.</t>
  </si>
  <si>
    <t>e388</t>
  </si>
  <si>
    <t>10.1002/wene.388</t>
  </si>
  <si>
    <t>Energy &amp; Fuels</t>
  </si>
  <si>
    <t>PF2CA</t>
  </si>
  <si>
    <t>WOS:000579574600001</t>
  </si>
  <si>
    <t>Narayana, AC; Naidu, PD; Bhavani, PG; Ahmad, M</t>
  </si>
  <si>
    <t>Narayana, A. C.; Naidu, P. Divakar; Bhavani, P. G.; Ahmad, Masood</t>
  </si>
  <si>
    <t>A coherent response of Southern Indian Ocean to the Antarctic climate: Implications to the lead, lags of atmospheric CO2during deglaciation</t>
  </si>
  <si>
    <t>JOURNAL OF EARTH SYSTEM SCIENCE</t>
  </si>
  <si>
    <t>Southern Ocean; Antarctic climate; atmospheric CO2; delta O-18 records; deglaciation</t>
  </si>
  <si>
    <t>CARBON-DIOXIDE; ISOTOPE RECORDS; ICE CORE; CO2; TEMPERATURE; GREENLAND</t>
  </si>
  <si>
    <t>A record of delta(18)Oc from the Indian sector of Southern Ocean and atmospheric CO2, and delta O-18 of European Project for Ice Coring in Antarctica (EPICA) and Greenland Ice Sheet Project 2 (GISP2) reveals that a coherent response between delta O-18 record of Antarctic ice core and the delta(18)Oc record from Southern Indian Ocean during the deglaciation with initial warming starting around 18 kyr BP which is in agreement with the raise of atmospheric CO2 during same time. A distinct asynchrony between the records of delta(18)Oc from the Southern Indian Ocean and delta O-18 of GISP2 during the last deglaciation is noticed. We report that Southern Ocean degassing played an important role in raising atmospheric CO2 through Atlantic Meridional Overturning Circulation (AMOC), which has an implication in triggering abrupt climate events through coupling of ocean and atmospheric processes.</t>
  </si>
  <si>
    <t>[Narayana, A. C.; Bhavani, P. G.] Univ Hyderabad, Ctr Earth Ocean &amp; Atmospher Sci, Hyderabad 500046, India; [Naidu, P. Divakar] Natl Inst Oceanog, CSIR, Panaji 403002, Goa, India; [Ahmad, Masood] Natl Geophys Res Inst, CSIR, Hyderabad 500007, India</t>
  </si>
  <si>
    <t>University of Hyderabad; Council of Scientific &amp; Industrial Research (CSIR) - India; CSIR - National Institute of Oceanography (NIO); Council of Scientific &amp; Industrial Research (CSIR) - India; CSIR - National Geophysical Research Institute (NGRI)</t>
  </si>
  <si>
    <t>Narayana, AC (corresponding author), Univ Hyderabad, Ctr Earth Ocean &amp; Atmospher Sci, Hyderabad 500046, India.</t>
  </si>
  <si>
    <t>acnes@uohyd.ernet.in</t>
  </si>
  <si>
    <t>Ministry of Earth Sciences, Government of India, New Delhi [MoES/11-MRDF/1/25/P/08]; NCAOR</t>
  </si>
  <si>
    <t>Ministry of Earth Sciences, Government of India, New Delhi; NCAOR</t>
  </si>
  <si>
    <t>ACN thanks the Ministry of Earth Sciences, Government of India, New Delhi, for providing financial support through a research project (No. MoES/11-MRDF/1/25/P/08). ACN is particularly grateful to Dr M Sudhakar, Ministry of Earth Sciences (MOES), Leader of the Southern Ocean-Antarctic Cruise, for providing an opportunity to participate in the cruise onboard Akademic Boris Petrov. Authors thank Director, NCAOR, for providing partial financial support towards the costs of AMS C-14 dating.</t>
  </si>
  <si>
    <t>INDIAN ACAD SCIENCES</t>
  </si>
  <si>
    <t>BANGALORE</t>
  </si>
  <si>
    <t>C V RAMAN AVENUE, SADASHIVANAGAR, P B #8005, BANGALORE 560 080, INDIA</t>
  </si>
  <si>
    <t>2347-4327</t>
  </si>
  <si>
    <t>0973-774X</t>
  </si>
  <si>
    <t>J EARTH SYST SCI</t>
  </si>
  <si>
    <t>J. Earth Syst. Sci.</t>
  </si>
  <si>
    <t>OCT 17</t>
  </si>
  <si>
    <t>10.1007/s12040-020-01484-z</t>
  </si>
  <si>
    <t>Geosciences, Multidisciplinary; Multidisciplinary Sciences</t>
  </si>
  <si>
    <t>Geology; Science &amp; Technology - Other Topics</t>
  </si>
  <si>
    <t>OK3XG</t>
  </si>
  <si>
    <t>WOS:000584586900002</t>
  </si>
  <si>
    <t>Herman, R; Borowicz, A; Lynch, M; Trathan, P; Hart, T; Lynch, H</t>
  </si>
  <si>
    <t>Herman, Rachael; Borowicz, Alex; Lynch, Maureen; Trathan, Phil; Hart, Tom; Lynch, Heather</t>
  </si>
  <si>
    <t>Update on the global abundance and distribution of breeding Gentoo Penguins (Pygoscelis papua)</t>
  </si>
  <si>
    <t>Gentoo penguins; Range expansion; Global census; Antarctic peninsula; Glacial retreat; Sea ice</t>
  </si>
  <si>
    <t>CLIMATE-CHANGE; POPULATION TRENDS; ICE SHELVES; SEA-ICE; RANGE; VARIABILITY; FACILITATE; RESPONSES; DYNAMICS; COLONIES</t>
  </si>
  <si>
    <t>Though climate change is widely known to negatively affect the distribution and abundance of many species, few studies have focused on species that may benefit. Gentoo Penguin (Pygoscelis papua) populations have grown along the Western Antarctic Peninsula (WAP), a region accounting for similar to 30% of their global population. These trends of population growth in Gentoo Penguins are in stark contrast to those of Adelie and Chinstrap Penguins, which have experienced considerable population declines along the WAP attributed to environmental changes. The recent discovery of previously unknown Gentoo Penguin colonies along the WAP and evidence for southern range expansion since the last global assessment in 2013 motivates this review of the abundance and distribution of this species. We compiled and collated all available recent data for every known Gentoo Penguin colony in the world and report on previously unknown Gentoo Penguin colonies along the Northwestern section of the WAP. We estimate the global population of Gentoo Penguins to be 432,144 (95th CI 338,059 - 534,114) breeding pairs, with approximately 364,359 (95th CI 324,052 - 405,132) breeding pairs (85% of the population) living in the Atlantic sector. Our estimates suggest that the global population has increased by approximately 11% since 2013, with even greater increases (23%) along the WAP. The Falkland Islands population, which comprises 30% of the global population, has remained stable, though only a subset of colonies have been surveyed since the last comprehensive survey in 2010. Our assessment identifies South Georgia and sub-Antarctic islands in the Indian Ocean as being the most critical data gaps for this species.</t>
  </si>
  <si>
    <t>[Herman, Rachael; Borowicz, Alex; Lynch, Heather] SUNY Stony Brook, Dept Ecol &amp; Evolut, Nicholls Rd, Stony Brook, NY 11794 USA; [Lynch, Maureen] Vermont Fish &amp; Wildlife Dept, 3902 Roxbury Rd, Roxbury, VT USA; [Trathan, Phil] British Antarctic Survey, Madingley Rd, Cambridge CB3 0ET, England; [Hart, Tom] Dept Zool, South Parks Rd, Oxford OX1 3PS, England; [Lynch, Heather] SUNY Stony Brook, Inst Adv Computat Sci, Nicholls Rd, Stony Brook, NY 11794 USA</t>
  </si>
  <si>
    <t>State University of New York (SUNY) System; State University of New York (SUNY) Stony Brook; UK Research &amp; Innovation (UKRI); Natural Environment Research Council (NERC); NERC British Antarctic Survey; State University of New York (SUNY) System; State University of New York (SUNY) Stony Brook</t>
  </si>
  <si>
    <t>Herman, R; Lynch, H (corresponding author), SUNY Stony Brook, Dept Ecol &amp; Evolut, Nicholls Rd, Stony Brook, NY 11794 USA.;Lynch, H (corresponding author), SUNY Stony Brook, Inst Adv Computat Sci, Nicholls Rd, Stony Brook, NY 11794 USA.</t>
  </si>
  <si>
    <t>rachael.herman@stonybrook.edu; heather.lynch@stonybrook.edu</t>
  </si>
  <si>
    <t>Borowicz, Alex/AAW-9390-2021</t>
  </si>
  <si>
    <t>Borowicz, Alex/0000-0001-5888-5137; Lynch, Maureen/0000-0003-4494-7012</t>
  </si>
  <si>
    <t>Dalio Foundation; NERC [bas0100035] Funding Source: UKRI</t>
  </si>
  <si>
    <t>Dalio Foundation; NERC(UK Research &amp; Innovation (UKRI)Natural Environment Research Council (NERC))</t>
  </si>
  <si>
    <t>We would like to thank Ron Naveen and IAATO member cruise companies for logistical support of opportunistic field surveys, as well as the Dalio Foundation for funding the Danger Islands Expedition. We would like to thank Alastair Baylis and Henri Weimerskirch for providing information on Gentoo Penguins on the Falkland Islands and several other sub-Antarctic islands. We also thank reviewers Melanie Massaro, Charles-Andre Bost, and Thomas Mattern for their constructive and insightful feedback to improve this manuscript.</t>
  </si>
  <si>
    <t>10.1007/s00300-020-02759-3</t>
  </si>
  <si>
    <t>WOS:000579635500001</t>
  </si>
  <si>
    <t>Mitchell, EG; Whittle, RJ; Griffiths, HJ</t>
  </si>
  <si>
    <t>Mitchell, Emily G.; Whittle, Rowan J.; Griffiths, Huw J.</t>
  </si>
  <si>
    <t>Benthic ecosystem cascade effects in Antarctica using Bayesian network inference</t>
  </si>
  <si>
    <t>COMMUNICATIONS BIOLOGY</t>
  </si>
  <si>
    <t>MARINE; COMMUNITIES; BIODIVERSITY; EVOLUTION; ISLAND</t>
  </si>
  <si>
    <t>Antarctic sea-floor communities are unique, and more closely resemble those of the Palaeozoic than equivalent contemporary habitats. However, comparatively little is known about the processes that structure these communities or how they might respond to anthropogenic change. In order to investigate likely consequences of a decline or removal of key taxa on community dynamics we use Bayesian network inference to reconstruct ecological networks and infer changes of taxon removal. Here we show that sponges have the greatest influence on the dynamics of the Antarctic benthos. When we removed sponges from the network, the abundances of all major taxa reduced by a mean of 42%, significantly more than changes of substrate. To our knowledge, this study is the first to demonstrate the cascade effects of removing key ecosystem structuring organisms from statistical analyses of Antarctica data and demonstrates the importance of considering the community dynamics when planning ecosystem management. Mitchell et al. use Bayesian network inference to observe the effects of the removal of key taxa on Antarctic benthic community dynamics and find that the removal of sponges results in the dramatic reduction in abundance of all major taxa. These models show how the consideration of community dynamics has implications for ecosystem management.</t>
  </si>
  <si>
    <t>[Mitchell, Emily G.] Univ Cambridge, Dept Zool, Downing St, Cambridge CB2 3EJ, England; [Whittle, Rowan J.; Griffiths, Huw J.] British Antarctic Survey, Madingley Rd, Cambridge CB3 0ET, England</t>
  </si>
  <si>
    <t>University of Cambridge; UK Research &amp; Innovation (UKRI); Natural Environment Research Council (NERC); NERC British Antarctic Survey</t>
  </si>
  <si>
    <t>Mitchell, EG (corresponding author), Univ Cambridge, Dept Zool, Downing St, Cambridge CB2 3EJ, England.</t>
  </si>
  <si>
    <t>ek338@cam.ac.uk</t>
  </si>
  <si>
    <t>Mitchell, Emily/AAK-1991-2020; Griffiths, Huw J/D-4234-2009</t>
  </si>
  <si>
    <t>Griffiths, Huw J/0000-0003-1764-223X; Mitchell, Emily/0000-0001-6517-2231</t>
  </si>
  <si>
    <t>Natural Environment Research Council Independent Research Fellowship [NE/S014756/1]; NERC [NE/S014756/1, bas0100030, bas0100036] Funding Source: UKRI</t>
  </si>
  <si>
    <t>Natural Environment Research Council Independent Research Fellowship(UK Research &amp; Innovation (UKRI)Natural Environment Research Council (NERC)); NERC(UK Research &amp; Innovation (UKRI)Natural Environment Research Council (NERC))</t>
  </si>
  <si>
    <t>Natural Environment Research Council Independent Research Fellowship NE/S014756/1 to E.G.M. R.J.W. and H.J.G. are part of the British Antarctic Survey Polar Science for Planet Earth Programme; R.J.W. in the BAS Palaeoenvironments, Ice-sheets and Climate Change team and HJG in the Biodiversity, Evolution and Adaptation team. We thank Dr Madeline Brasier for analysing and quantifying the original photographs, the officers and crew of the RRS James Clark Ross and the participants in the SO-AntEco expedition (JR15005). This work is a contribution to the SCAR (Scientific Committee on Antarctic Research) AntEco (State of the Antarctic Ecosystem) Programme.</t>
  </si>
  <si>
    <t>2399-3642</t>
  </si>
  <si>
    <t>COMMUN BIOL</t>
  </si>
  <si>
    <t>Commun. Biol.</t>
  </si>
  <si>
    <t>OCT 16</t>
  </si>
  <si>
    <t>10.1038/s42003-020-01310-8</t>
  </si>
  <si>
    <t>Biology; Multidisciplinary Sciences</t>
  </si>
  <si>
    <t>Life Sciences &amp; Biomedicine - Other Topics; Science &amp; Technology - Other Topics</t>
  </si>
  <si>
    <t>OI5FY</t>
  </si>
  <si>
    <t>Green Submitted, gold, Green Accepted, Green Published</t>
  </si>
  <si>
    <t>WOS:000583305400007</t>
  </si>
  <si>
    <t>Hillebrand, FL; Bremer, UF; Arigony-Neto, J; da Rosa, CN; Mendes, CW; Costi, J; de Freitas, MWD; Schardong, F</t>
  </si>
  <si>
    <t>Hillebrand, Fernando Luis; Bremer, Ulisses Franz; Arigony-Neto, Jorge; da Rosa, Cristiano Niederauer; Mendes, Claudio Wilson, Jr.; Costi, Juliana; de Freitas, Marcos Wellausen Dias; Schardong, Frederico</t>
  </si>
  <si>
    <t>Comparison between Atmospheric Reanalysis Models ERA5 and ERA-Interim at the North Antarctic Peninsula Region</t>
  </si>
  <si>
    <t>ANNALS OF THE AMERICAN ASSOCIATION OF GEOGRAPHERS</t>
  </si>
  <si>
    <t>air temperature; Antarctic; atmospheric pressure; weather stations</t>
  </si>
  <si>
    <t>KING GEORGE ISLAND; SOUTHERN-HEMISPHERE; WEST ANTARCTICA; ANNULAR MODE; CLIMATE; TRENDS; PERFORMANCE</t>
  </si>
  <si>
    <t>The availability of accurate meteorological data is important for the modeling of atmospheric flows, enabling the understanding of climate change in a given environment over time. Therefore, this study aimed to evaluate the quality of the meteorological data of 2 m temperature (T) and mean sea level pressure (MSLP), obtained through the atmospheric reanalysis models ERA5 and ERA-Interim (ERA-i) in the northern region of the Antarctic Peninsula, covering the period from 1979 to 2018. To carry out the statistical process, local observations from nine weather stations installed in the study region were used, with data available from the Scientific Committee on Antarctic Research. Statistical analysis evaluated Pearson's linear correlation coefficient (R), standard deviation (sigma), normalized bias, normalized mean absolute error, and normalized root mean square error. Regarding the difference in (T) over bar between weather stations and reanalysis models, we found a better result for ERA5 (Delta(T) over bar = -0.34 degrees C) compared to ERA-i (Delta(T) over bar = 0.37 degrees C); however, for the difference in (MSLP) over bar the ERA-i (Delta(MSLP) over bar = -0.04 hPa) presented a better response in relation to ERA5 (Delta(MSLP) over bar = 0.24 hPa). When verifying the local meteorological observations trend, an increase of T in 0.31 degrees C decade(-1) (Esperanza station) and a reduction of MSLP between -0.56 (Bellingshausen station) and -0.80 hPa decade(-1) (Jubany station) were recorded.</t>
  </si>
  <si>
    <t>[Hillebrand, Fernando Luis; da Rosa, Cristiano Niederauer] Univ Fed Rio Grande do Sul, Remote Sensing Postgrad Program, Porto Alegre, RS, Brazil; [Bremer, Ulisses Franz; Mendes, Claudio Wilson, Jr.; de Freitas, Marcos Wellausen Dias] Univ Fed Rio Grande do Sul, Inst Geosci, Porto Alegre, RS, Brazil; [Arigony-Neto, Jorge] Fed Univ Rio Grande, Inst Oceanog, Rio Grande, Brazil; [Costi, Juliana] Fed Univ Rio Grande, Computat Modeling Postgrad Program, Rio Grande, Brazil; [Schardong, Frederico] Fed Inst Rio Grande Sul, Dept Educ, Porto Alegre, RS, Brazil</t>
  </si>
  <si>
    <t>Universidade Federal do Rio Grande do Sul; Universidade Federal do Rio Grande do Sul; Universidade Federal do Rio Grande; Universidade Federal do Rio Grande</t>
  </si>
  <si>
    <t>Hillebrand, FL (corresponding author), Univ Fed Rio Grande do Sul, Remote Sensing Postgrad Program, Porto Alegre, RS, Brazil.</t>
  </si>
  <si>
    <t>fernando.hillebrand@rolante.ifrs.edu.br; bremer@ufrgs.br; jorgearigony@furg.br; cristianonrd@gmail.com; claudio.mendes@ufrgs.br; juliana.costi@furg.br; mfreitas@ufrgs.br; frederico.schardong@rolante.ifrs.edu.br</t>
  </si>
  <si>
    <t>schardong, frederico/AAZ-3130-2021; Mendes, Claudio wilson/AAR-3664-2021; Bremer, Ulisses Franz/AAT-8733-2021; Costi, Juliana/AHI-7948-2022; Bremer, Ulisses F/D-3308-2013; Mendes junior, Claudio wilson/ABB-9811-2021; Hillebrand, Fernando Luis/AAK-5772-2020</t>
  </si>
  <si>
    <t>Mendes, Claudio wilson/0000-0003-1745-348X; Bremer, Ulisses Franz/0000-0003-0519-5807; Costi, Juliana/0000-0001-6220-2343; Hillebrand, Fernando Luis/0000-0002-0182-8526; Freitas, Marcos/0000-0001-9879-2584; Schardong, Frederico/0000-0003-4492-163X; Rosa, Cristiano Niederauer da/0000-0003-3693-4764; Arigony-Neto, Jorge/0000-0003-4848-2064</t>
  </si>
  <si>
    <t>ROUTLEDGE JOURNALS, TAYLOR &amp; FRANCIS LTD</t>
  </si>
  <si>
    <t>2-4 PARK SQUARE, MILTON PARK, ABINGDON OX14 4RN, OXON, ENGLAND</t>
  </si>
  <si>
    <t>2469-4452</t>
  </si>
  <si>
    <t>2469-4460</t>
  </si>
  <si>
    <t>ANN AM ASSOC GEOGR</t>
  </si>
  <si>
    <t>Ann. Am. Assoc. Geogr.</t>
  </si>
  <si>
    <t>JUN 7</t>
  </si>
  <si>
    <t>10.1080/24694452.2020.1807308</t>
  </si>
  <si>
    <t>Geography</t>
  </si>
  <si>
    <t>RM8WM</t>
  </si>
  <si>
    <t>WOS:000579733000001</t>
  </si>
  <si>
    <t>Coll, M; Steenbeek, J; Pennino, MG; Buszowski, J; Kaschner, K; Lotze, HK; Rousseau, Y; Tittensor, DP; Walters, C; Watson, RA; Christensen, V</t>
  </si>
  <si>
    <t>Coll, Marta; Steenbeek, Jeroen; Pennino, Maria Grazia; Buszowski, Joe; Kaschner, Kristin; Lotze, Heike K.; Rousseau, Yannick; Tittensor, Derek P.; Walters, Carl; Watson, Reg A.; Christensen, Villy</t>
  </si>
  <si>
    <t>Advancing Global Ecological Modeling Capabilities to Simulate Future Trajectories of Change in Marine Ecosystems</t>
  </si>
  <si>
    <t>marine ecosystems; climate change; fishing; future trajectories; projections; food web spatial-temporal model; model uncertainty</t>
  </si>
  <si>
    <t>CLIMATE-CHANGE IMPACTS; FOOD-WEB; EVOLUTIONARY RESPONSES; EXPLOITED ECOSYSTEMS; FISHERIES CATCHES; FISH POPULATIONS; PREDATION RISK; DEEP-OCEAN; BIODIVERSITY; SCENARIOS</t>
  </si>
  <si>
    <t>Considerable effort is being deployed to predict the impacts of climate change and anthropogenic activities on the ocean's biophysical environment, biodiversity, and natural resources to better understand how marine ecosystems and provided services to humans are likely to change and explore alternative pathways and options. We present an updated version of EcoOcean (v2), a spatial-temporal ecosystem modeling complex of the global ocean that spans food-web dynamics from primary producers to top predators. Advancements include an enhanced ability to reproduce spatial-temporal ecosystem dynamics by linking species productivity, distributions, and trophic interactions to the impacts of climate change and worldwide fisheries. The updated modeling platform is used to simulate past and future scenarios of change, where we quantify the impacts of alternative configurations of the ecological model, responses to climate-change scenarios, and the additional impacts of fishing. Climate-change scenarios are obtained from two Earth-System Models (ESMs, GFDL-ESM2M, and IPSL-CMA5-LR) and two contrasting emission pathways (RCPs 2.6 and 8.5) for historical (1950-2005) and future (2006-2100) periods. Standardized ecological indicators and biomasses of selected species groups are used to compare simulations. Results show how future ecological trajectories are sensitive to alternative configurations of EcoOcean, and yield moderate differences when looking at ecological indicators and larger differences for biomasses of species groups. Ecological trajectories are also sensitive to environmental drivers from alternative ESM outputs and RCPs, and show spatial variability and more severe changes when IPSL and RCP 8.5 are used. Under a non-fishing configuration, larger organisms show decreasing trends, while smaller organisms show mixed or increasing results. Fishing intensifies the negative effects predicted by climate change, again stronger under IPSL and RCP 8.5, which results in stronger biomass declines for species already losing under climate change, or dampened positive impacts for those increasing. Several species groups that win under climate change become losers under combined impacts, while only a few (small benthopelagic fish and cephalopods) species are projected to show positive biomass changes under cumulative impacts. EcoOcean v2 can contribute to the quantification of cumulative impact assessments of multiple stressors and of plausible ocean-based solutions to prevent, mitigate and adapt to global change.</t>
  </si>
  <si>
    <t>[Coll, Marta] Inst Marine Sci ICM CSIC, Dept Marine Renewal Resources, Barcelona, Spain; [Coll, Marta; Steenbeek, Jeroen] Ecopath Int Initiat EII Res Assoc, Barcelona, Spain; [Pennino, Maria Grazia] Spanish Inst Oceanog IEO, Vigo, Spain; [Buszowski, Joe] Mountainsoft, Canmore, AB, Canada; [Kaschner, Kristin] GEOMAR Helmholtz Zentrum Ozeanforsch, Kiel, Germany; [Lotze, Heike K.; Tittensor, Derek P.] Dalhousie Univ, Dept Biol, Halifax, NS, Canada; [Rousseau, Yannick; Watson, Reg A.] Univ Tasmania, Inst Marine &amp; Antarctic Studies, Hobart, Tas, Australia; [Walters, Carl; Christensen, Villy] Univ British Columbia, Inst Oceans &amp; Fisheries, Vancouver, BC, Canada</t>
  </si>
  <si>
    <t>Consejo Superior de Investigaciones Cientificas (CSIC); CSIC - Centro Mediterraneo de Investigaciones Marinas y Ambientales (CMIMA); CSIC - Instituto de Ciencias del Mar (ICM); Helmholtz Association; GEOMAR Helmholtz Center for Ocean Research Kiel; Dalhousie University; University of Tasmania; University of British Columbia</t>
  </si>
  <si>
    <t>Coll, M (corresponding author), Inst Marine Sci ICM CSIC, Dept Marine Renewal Resources, Barcelona, Spain.;Coll, M (corresponding author), Ecopath Int Initiat EII Res Assoc, Barcelona, Spain.</t>
  </si>
  <si>
    <t>mcoll@icm.csic.es</t>
  </si>
  <si>
    <t>Steenbeek, Jeroen Gerhard/F-9936-2016; Pennino, Maria Grazia/JDW-8804-2023; Tittensor, Derek P./AAV-1117-2021; Coll, Marta/A-9488-2012; rousseau, yannick/GWU-9830-2022; Kaschner, Kristin/GQQ-6475-2022; Christensen, Villy/C-3945-2009</t>
  </si>
  <si>
    <t>Steenbeek, Jeroen Gerhard/0000-0002-7878-8075; Tittensor, Derek P./0000-0002-9550-3123; Lotze, Heike/0000-0001-6258-1304; Rousseau, Yannick/0000-0003-0765-7518; pennino, maria grazia/0000-0002-7577-2617; Christensen, Villy/0000-0003-0688-2633</t>
  </si>
  <si>
    <t>European Union [817578]; German Federal Ministry of Education and Research through the Inter-Sectorial Impact Model Intercomparison Project (ISIMIP) [01LS1201A1]; Natural Sciences and Engineering Research Council (NSERC) of Canada [RGPIN2014-04491]; Jarislowsky Foundation; Natural Sciences and Engineering Research Council of Canada (NSERC) [RGPIN-2019-04901]</t>
  </si>
  <si>
    <t>European Union(European Union (EU)); German Federal Ministry of Education and Research through the Inter-Sectorial Impact Model Intercomparison Project (ISIMIP); Natural Sciences and Engineering Research Council (NSERC) of Canada(Natural Sciences and Engineering Research Council of Canada (NSERC)); Jarislowsky Foundation; Natural Sciences and Engineering Research Council of Canada (NSERC)(Natural Sciences and Engineering Research Council of Canada (NSERC))</t>
  </si>
  <si>
    <t>This study received funding from the European Union's Horizon 2020 research and innovation programme under grant agreement No. 817578 (TRIATLAS project). Additional financial support was provided by the German Federal Ministry of Education and Research through the Inter-Sectorial Impact Model Intercomparison Project (ISIMIP, Grant 01LS1201A1). HL further acknowledges funding by the Natural Sciences and Engineering Research Council (NSERC) of Canada (RGPIN2014-04491). DT acknowledges support from the Jarislowsky Foundation. VC received support from the Natural Sciences and Engineering Research Council of Canada (NSERC), Discovery Grant RGPIN-2019-04901.</t>
  </si>
  <si>
    <t>10.3389/fmars.2020.567877</t>
  </si>
  <si>
    <t>OD4RN</t>
  </si>
  <si>
    <t>Green Published, gold, Green Accepted</t>
  </si>
  <si>
    <t>WOS:000579839900001</t>
  </si>
  <si>
    <t>Wang, YL; Liu, YZ; Ma, L; Yang, L; Cong, PX; Lan, HH; Xue, CH; Xu, J</t>
  </si>
  <si>
    <t>Wang, Yuliu; Liu, Yanzi; Ma, Lei; Yang, Lu; Cong, Peixu; Lan, Haohui; Xue, Changhu; Xu, Jie</t>
  </si>
  <si>
    <t>Co-oxidation of Antarctic krill oil with whey protein and myofibrillar protein in oil-in-water emulsions</t>
  </si>
  <si>
    <t>Antarctic krill oil; co-oxidation; myofibrillar protein; O; W emulsion; whey protein</t>
  </si>
  <si>
    <t>LIPID OXIDATION; FISH-OIL; FLUORESCENCE; PHOSPHOLIPIDS; TOCOPHEROL; STABILITY; IMPACT; ALPHA; ACIDS</t>
  </si>
  <si>
    <t>Antarctic krill oil (AKO) is usually encapsulated by the protein materials, enhancing its oxidative stability. Proteins exhibit immense effect on lipid oxidation and induce protein-lipid co-oxidation. This study aimed at elucidating the co-oxidation mechanism of AKO and whey protein (WP) or myofibrillar protein (MP) in oil-in-water emulsions. The estimations of malondialdehyde (MDA) content, phospholipid molecular species, and pyrrole content resulted in increased and decreased oxidation rate of AKO (especially phosphatidylethanolamine) by WP and MP, respectively. Meanwhile, protein concentration, sulfhydryl content, the loss of tryptophan fluorescence intensity, and sodium dodecyl sulfate-polyacrylamide gel electrophoresis results demonstrated that AKO promoted WP oxidation but inhibited MP oxidation. Further, the antioxidative abilities of seven common antioxidants were evaluated. Ascorbyl palmitate showed the most substantial antioxidative effect for both AKO and proteins (about 70% decrease of MDA content and 30% decrease of the decrease ratio of tryptophan fluorescence intensity). This finding supported that different proteins could exhibit different pro/anti-oxidative effects on lipid oxidation, especially for marine lipids abundant in phospholipids and polyunsaturated fatty acids. Besides, MP could also act as antioxidant in MP AKO emulsions, further extending its application from traditional surfactants. Practical Application AKO is usually encapsulated by the protein materials, enhancing its oxidative stability. The results demonstrated MP could inhibit AKO oxidation, and vice versa, especially when ascorbyl palmitate was added at the same time. As a result, this finding explored a new potential wall material with antioxidative ability for the encapsulated products of AKO.</t>
  </si>
  <si>
    <t>[Wang, Yuliu; Liu, Yanzi; Ma, Lei; Yang, Lu; Cong, Peixu; Lan, Haohui; Xue, Changhu; Xu, Jie] Ocean Univ China, Coll Food Sci &amp; Engn, Qingdao 266003, Shandong, Peoples R China; [Xue, Changhu] Qingdao Natl Lab Marine Sci &amp; Technol, Qingdao 266235, Shandong, Peoples R China</t>
  </si>
  <si>
    <t>Ocean University of China; Laoshan Laboratory</t>
  </si>
  <si>
    <t>Xue, CH; Xu, J (corresponding author), Ocean Univ China, Coll Food Sci &amp; Engn, Qingdao 266003, Shandong, Peoples R China.;Xue, CH (corresponding author), Qingdao Natl Lab Marine Sci &amp; Technol, Qingdao 266235, Shandong, Peoples R China.</t>
  </si>
  <si>
    <t>xuech@ouc.edu.cn; xujie9@ouc.edu.cn</t>
  </si>
  <si>
    <t>National Key R&amp;D Program of China [2018YFC0311206]</t>
  </si>
  <si>
    <t>National Key R&amp;D Program of China</t>
  </si>
  <si>
    <t>This work was supported by the National Key R&amp;D Program of China (No. 2018YFC0311206).</t>
  </si>
  <si>
    <t>10.1111/1750-3841.15500</t>
  </si>
  <si>
    <t>WOS:000577981100001</t>
  </si>
  <si>
    <t>Wagner, M; Bathke, AC; Cary, SC; Green, TGA; Junker, RR; Trutschnig, W; Ruprecht, U</t>
  </si>
  <si>
    <t>Wagner, Monika; Bathke, Arne C.; Cary, S. Craig; Green, T. G. Allan; Junker, Robert R.; Trutschnig, Wolfgang; Ruprecht, Ulrike</t>
  </si>
  <si>
    <t>Myco- and photobiont associations in crustose lichens in the McMurdo Dry Valleys (Antarctica) reveal high differentiation along an elevational gradient</t>
  </si>
  <si>
    <t>Crustose lichens; Specificity; Spatial patterns; Polar desert; Foehn winds; Humidity</t>
  </si>
  <si>
    <t>ALGAL SYMBIONTS; VICTORIA LAND; GREEN-ALGAE; ALTITUDINAL GRADIENT; LECIDEOID LICHENS; GENETIC DIVERSITY; SPECIES RICHNESS; R PACKAGE; FUNGAL; SELECTIVITY</t>
  </si>
  <si>
    <t>Climatically extreme regions such as the polar deserts of the McMurdo Dry Valleys (78 degrees S) in Continental Antarctica are key areas for a better understanding of changes in ecosystems. Therefore, it is particularly important to analyze and communicate current patterns of biodiversity in these sensitive areas, where precipitation mostly occurs in form of snow and liquid water is rare. Humidity provided by dew, clouds, and fog are the main water sources, especially for rock-dwelling crustose lichens as one of the most common vegetation-forming organisms. We investigated the diversity and interaction specificity of myco-/photobiont associations of 232 crustose lichen specimens, collected along an elevational gradient (171-959 m a.s.l.) within the McMurdo Dry Valleys. The mycobiont species and photobiont OTUs were identified by using three markers each (nrITS, mtSSU,RPB1,and nrITS, psbJ-L, COX2). Elevation, positively associated with water availability, turned out to be the key factor explaining most of the distribution patterns of the mycobionts. Pairwise comparisons showedLecidea cancriformisandRhizoplaca macleaniito be significantly more common at higher elevations andCarbonea vorticosaandLecidea polypycnidophoraat lower elevations. Lichen photobionts were dominated by the globally distributedTrebouxiaOTU,Tr_A02 which occurred at all habitats. Network specialization resulting from myco-/photobiont bipartite network structure varied with elevation and associated abiotic factors. Along an elevational gradient, the spatial distribution, diversity, and genetic variability of the lichen symbionts appear to be mainly influenced by improved water relations at higher altitudes.</t>
  </si>
  <si>
    <t>[Wagner, Monika; Junker, Robert R.; Ruprecht, Ulrike] Paris Lodron Univ Salzburg, Dept Biosci, Salzburg, Austria; [Bathke, Arne C.; Trutschnig, Wolfgang] Paris Lodron Univ Salzburg, Dept Math, Salzburg, Austria; [Cary, S. Craig; Green, T. G. Allan] Univ Waikato, Sch Sci, Hamilton, New Zealand; [Cary, S. Craig] Univ Waikato, Int Ctr Terr Antarctic Res, Sch Sci, Hamilton, New Zealand; [Green, T. G. Allan] Univ Complutense Madrid, Dept Farmacol Farmacognosia &amp; Bot, Madrid, Spain; [Junker, Robert R.] Philipps Univ Marburg, Dept Biol, Marburg, Germany</t>
  </si>
  <si>
    <t>Salzburg University; Salzburg University; University of Waikato; University of Waikato; Complutense University of Madrid; Philipps University Marburg</t>
  </si>
  <si>
    <t>Ruprecht, U (corresponding author), Paris Lodron Univ Salzburg, Dept Biosci, Salzburg, Austria.</t>
  </si>
  <si>
    <t>ulrike.ruprecht@sbg.ac.at</t>
  </si>
  <si>
    <t>Trutschnig, Wolfgang/0000-0002-7131-1944; Cary, Stephen/0000-0002-2876-2387; Ruprecht, Ulrike/0000-0002-0898-7677</t>
  </si>
  <si>
    <t>Paris Lodron University of Salzburg</t>
  </si>
  <si>
    <t>Open access funding provided by Paris Lodron University of Salzburg.</t>
  </si>
  <si>
    <t>10.1007/s00300-020-02754-8</t>
  </si>
  <si>
    <t>WOS:000578347700002</t>
  </si>
  <si>
    <t>Siljak-Yakovlev, S; Lamy, F; Takvorian, N; Valentin, N; Gouesbet, V; Hennion, F; Robert, T</t>
  </si>
  <si>
    <t>Siljak-Yakovlev, Sonja; Lamy, Francoise; Takvorian, Najat; Valentin, Nicolas; Gouesbet, Valerie; Hennion, Francoise; Robert, Thierry</t>
  </si>
  <si>
    <t>Genome size and chromosome number of ten plant species from Kerguelen Islands</t>
  </si>
  <si>
    <t>2C DNA value; Endemic species; Flow cytometry; Genome size; Ploidy level; Sub-Antarctic flora</t>
  </si>
  <si>
    <t>NUCLEAR-DNA CONTENT; CONSTRAINT HYPOTHESIS; INDIAN-OCEAN; FESTUCA-PALLENS; C-VALUES; EVOLUTION; BRASSICACEAE; ANGIOSPERMS; POLYPLOIDY; CLIMATE</t>
  </si>
  <si>
    <t>Kerguelen Islands harbor a unique, probably very ancient flora with a high rate of endemism. However, the evolutionary history and characteristics of this flora still require investigation. This concerns in particular genome size and ploidy level variation, despite the evolutionary and ecological significance of those traits. Here we report the first assessment of genome size, using flow cytometry, for eight plant species of which two are endemics of Kerguelen Islands and four of the South Indian Ocean Province. The 2C DNA value ranged from 1.08 pg forPringlea antiscorbuticato 11.88 pg forRanunculus biternatus.The chromosome numbers ofColobanthus kerguelensis(2n = 80),Lyallia kerguelensis(2n = 96) andPoa kerguelensis(2n = 28) were also reported in this study for the first time. Overall, our data allowed to infer that all Kerguelen studied species are polyploid (from tetra- to octopolyploid). Intra-genus comparisons showed significant differences of 2C DNA values amongPoaand amongRanunculusspecies, despite their identical ploidy level. In addition, our data highlight the existence of an intraspecific variability of genome size for the two octoploid speciesColobanthus kerguelensisandLyallia kerguelensis. Finally, our data also support the hypothesis regarding which polyploidy may have played a major role in the adaptation of flowering plants to high latitudes, as it has been suggested for arctic species.</t>
  </si>
  <si>
    <t>[Siljak-Yakovlev, Sonja; Lamy, Francoise; Takvorian, Najat; Robert, Thierry] Univ Paris Saclay, Ecol Systemat Evolut, AgroParisTech, CNRS, F-91405 Orsay, France; [Lamy, Francoise] Univ Versailles St Quentin, Dept Biol, 45 Bd Etats Unis, F-78035 Versailles, France; [Takvorian, Najat; Robert, Thierry] Sorbonne Univ, UFR 927, 4 Pl Jussieu,75252, F-75252 Paris 05, France; [Valentin, Nicolas] Univ Paris Saclay, Inst Integrat Biol Cell I2BC, CNRS, CEA, F-91198 Gif Sur Yvette, France; [Gouesbet, Valerie; Hennion, Francoise] Univ Rennes 1, CNRS, OSUR, Ecosyst,Biodiversite,Evolut,UMR 6553,ECOBIO, F-35042 Rennes, France</t>
  </si>
  <si>
    <t>Universite Paris Cite; AgroParisTech; Universite Paris Saclay; Centre National de la Recherche Scientifique (CNRS); Universite Paris Saclay; Sorbonne Universite; Centre National de la Recherche Scientifique (CNRS); CEA; Universite Paris Cite; Universite Paris Saclay; Centre National de la Recherche Scientifique (CNRS); CNRS - Institute of Ecology &amp; Environment (INEE); Universite Rennes 2; Universite de Rennes</t>
  </si>
  <si>
    <t>Siljak-Yakovlev, S (corresponding author), Univ Paris Saclay, Ecol Systemat Evolut, AgroParisTech, CNRS, F-91405 Orsay, France.</t>
  </si>
  <si>
    <t>sonia.yakovlev@u-psud.fr</t>
  </si>
  <si>
    <t>Hennion, Francoise/P-3356-2014; Siljak-Yakovlev, Sonja/E-8433-2017</t>
  </si>
  <si>
    <t>Hennion, Francoise/0000-0001-5355-5614; Siljak-Yakovlev, Sonja/0000-0002-6247-3351</t>
  </si>
  <si>
    <t>French Polar Institute (IPEV); CNRS IRP grant AntarctPlantAdapt; [1116]</t>
  </si>
  <si>
    <t>French Polar Institute (IPEV); CNRS IRP grant AntarctPlantAdapt;</t>
  </si>
  <si>
    <t>The present research project No 1116 PlantEvol (resp. F. Hennion) was performed at Kerguelen station and was supported by the French Polar Institute (IPEV). This research was also supported by CNRS IRP grant AntarctPlantAdapt (F. Hennion). We thank B. Labarrere, L. Marchand (UMR ECOBIO, Rennes, France) and G. Bouger (UMS OSUR, Rennes, France), V. Normand (UMR ESE, Orsay, France), K. Delord (Centre d'etudes biologiques de Chize, CNRS, France), IPEV logistics, and Reserve naturelle Terres Australes et Antarctiques francaises for help in material collection during the summer campaigns (2015-2019). We thank Experimental Ecology platform (ECOLEX) of Ecobio lab, T. Fontaine-Breton, F. Nassur and R. Bodiguel for help in plant cultivation in the phytotron, T. Fontaine-Breton and O. Lima for leaf collection for flow cytometry. The authors thank B. Robert for his help in statistical analyses and Dr. M. Bourge for his expert assistance in flow cytometry on the Platform of Cytometry, Institute of Integrative Biology of the Cell (I2BC), Gif-sur-Yvette. Finally, we would like to thank Dr Dieter Piepenburg, Editor-in-chief of Polar Biology and three reviewers (Dr Joan Valles, Dr Teresa Garnatje and one anonymous reviewer) for their constructive comments that have fully contributed to improving our manuscript.</t>
  </si>
  <si>
    <t>10.1007/s00300-020-02755-7</t>
  </si>
  <si>
    <t>WOS:000578347700001</t>
  </si>
  <si>
    <t>García, R; Márquez, G; Hospitaleche, CA</t>
  </si>
  <si>
    <t>Garcia, Renato; Marquez, Gonzalo; Acosta Hospitaleche, Carolina</t>
  </si>
  <si>
    <t>Richness of lichens growing on Eocene fossil penguin remains from Antarctica</t>
  </si>
  <si>
    <t>Fossil penguin bones; Endolithic; Bioerosion; Taphonomy; Fungi systematic; Seymour; Marambio Island</t>
  </si>
  <si>
    <t>DIVERSITY</t>
  </si>
  <si>
    <t>Antarctica presents one of the most severe environmental conditions for life. Under these circumstances, cryptogams are the dominant photosynthetic organisms, among which we find a great richness of lichens. In Antarctic environments, lichens can grow on rocks or in this case on fossil remains, among the few available substrates. In the present contribution, we examined all fossil penguins of the Antarctic collection of the Museo de La Plata, as a significant sample of fossil vertebrates. The selected materials here described come from the Submeseta Formation (Eocene) on Seymour/Marambio Island, located northeast of the Antarctic Peninsula on the Weddell Sea. Given the scarcity of lichenological studies on this island, and the results presented here add significantly to our knowledge of the lichen species that occur there with the recognition of 11 taxa with a crustose morphology (epilithic and endolithic), the sampling of lichens growing on fossil bones acquired an evident importance.</t>
  </si>
  <si>
    <t>[Garcia, Renato] Univ Nacl Avellaneda, Lab Biodiversidad &amp; Genet Ambiental, CONICET, Mario Bravo 1460, RA-1870 Pineyro, Buenos Aires, Argentina; [Marquez, Gonzalo] Univ Nacl La Plata, CONICET, Catedra Palinol, Fac Ciencias Nat &amp; Museo, Paseo Bosque S-N, RA-1900 La Plata, Argentina; [Acosta Hospitaleche, Carolina] Univ Nacl La Plata, Div Paleontol Vertebrados, Fac Ciencias Nat &amp; Museo, Museo La Plata,CONICET, Paseo Bosque S-N,B1900FWA, La Plata, Argentina</t>
  </si>
  <si>
    <t>Consejo Nacional de Investigaciones Cientificas y Tecnicas (CONICET); Consejo Nacional de Investigaciones Cientificas y Tecnicas (CONICET); National University of La Plata; Museo La Plata; Consejo Nacional de Investigaciones Cientificas y Tecnicas (CONICET); National University of La Plata; Museo La Plata</t>
  </si>
  <si>
    <t>García, R (corresponding author), Univ Nacl Avellaneda, Lab Biodiversidad &amp; Genet Ambiental, CONICET, Mario Bravo 1460, RA-1870 Pineyro, Buenos Aires, Argentina.</t>
  </si>
  <si>
    <t>garciarenato86@gmail.com; cosme@fcnym.unlp.edu.ar; acostacaro@fcnym.unlp.edu.ar</t>
  </si>
  <si>
    <t>Acosta Hospitaleche, Carolina/E-5740-2017</t>
  </si>
  <si>
    <t>Acosta Hospitaleche, Carolina/0000-0002-2614-1448; Garcia, Renato/0000-0002-6040-2250; Marquez, Gonzalo/0000-0001-7378-836X</t>
  </si>
  <si>
    <t>Direccion Nacional del Antartico; Instituto Antartico Argentino; Agencia Nacional de Promocion Cientifica y Tecnologica [PICT 2017-0607]; Universidad Nacional de La Plata [N838]; Oceanwide Expeditions, Vlissingen (NL)</t>
  </si>
  <si>
    <t>Direccion Nacional del Antartico; Instituto Antartico Argentino; Agencia Nacional de Promocion Cientifica y Tecnologica(ANPCyTSpanish Government); Universidad Nacional de La Plata(National University of La Plata); Oceanwide Expeditions, Vlissingen (NL)</t>
  </si>
  <si>
    <t>Antarctic field trip was completely funded by Direccion Nacional del Antartico and the Instituto Antartico Argentino, and logistic support in the field was provided by Fuerza Aerea Argentina. Partial help was provided by the Consejo Nacional de Investigaciones Cientificas y Tecnologicas, Agencia Nacional de Promocion Cientifica y Tecnologica (PICT 2017-0607) and Universidad Nacional de La Plata (N838). CAH is particularly grateful to Oceanwide Expeditions, Vlissingen (NL) for financial support. Helpful comments of the reviewers Helen Peat, Paula Casanovas, and Leandro Perez improved the manuscript.</t>
  </si>
  <si>
    <t>10.1007/s00300-020-02761-9</t>
  </si>
  <si>
    <t>WOS:000578347700003</t>
  </si>
  <si>
    <t>Eswaraiah, S; Kim, JH; Lee, W; Hwang, J; Kumar, KN; Kim, YH</t>
  </si>
  <si>
    <t>Eswaraiah, S.; Kim, Jeong-Han; Lee, Wonseok; Hwang, Junyoung; Kumar, Kondapalli Niranjan; Kim, Yong Ha</t>
  </si>
  <si>
    <t>Unusual Changes in the Antarctic Middle Atmosphere During the 2019 Warming in the Southern Hemisphere</t>
  </si>
  <si>
    <t>sudden stratospheric warming (SSW); Antarctic middle atmosphere; meteor radar; mesosphere wind reversal; planetary waves</t>
  </si>
  <si>
    <t>QUASI-BIENNIAL OSCILLATION; STRATOSPHERE; MODEL; WAVE; WINTER</t>
  </si>
  <si>
    <t>A rare sudden stratosphere warming (SSW) occurred in the Southern Hemisphere polar region in 2019. The polar stratosphere temperature and planetary wave (PW) enhancements are found to be unusual from the history for 40 years; hence, it is an Extremely-Rare SSW. The distinct features of the mesosphere winds were observed during the SSW, in association with the traveling PWs in the stratosphere. The mesosphere zonal winds reversed for about 20 days before the peak SSW. Meteor radar (MR) and Modern-Era Retrospective Analysis for Research and Applications (MERRA)-2 observations indicate that the zonal wind reversal was descended with time, and the reversal was larger over similar to 72 degrees S than the MR site (62 degrees S). The MR detected the PWs of 14-22 days before and 8-12 days following the SSW in the mesosphere. We further noticed the enhancement of wavenumber 1 signature in the mesosphere during the peak SSW over the polar region. Thus, the polar middle-atmosphere is greatly affected by the SSW.</t>
  </si>
  <si>
    <t>[Eswaraiah, S.; Lee, Wonseok; Hwang, Junyoung; Kim, Yong Ha] Chungnam Natl Univ, Dept Astron Space Sci &amp; Geol, Daejeon, South Korea; [Kim, Jeong-Han] Korea Polar Res Inst, Div Polar Climate Sci, Incheon, South Korea; [Kumar, Kondapalli Niranjan] Minist Earth Sci, Natl Ctr Medium Range Weather Forecasting, Pune, Maharashtra, India</t>
  </si>
  <si>
    <t>Chungnam National University; Korea Polar Research Institute (KOPRI); Ministry of Earth Sciences (MoES) - India; National Centre for Medium Range Weather Forecasting (NCMRWF)</t>
  </si>
  <si>
    <t>Kim, YH (corresponding author), Chungnam Natl Univ, Dept Astron Space Sci &amp; Geol, Daejeon, South Korea.</t>
  </si>
  <si>
    <t>yhkim@cnu.ac.kr</t>
  </si>
  <si>
    <t>Kim, Jeong Han/J-6244-2016; Kim, Yong Ha/AAS-9908-2021; Niranjan Kumar, Kondapalli/M-1116-2013</t>
  </si>
  <si>
    <t>Sunkara, Eswaraiah/0000-0002-0419-6755; Lee, Wonseok/0000-0002-9524-8505; Niranjan Kumar, Kondapalli/0000-0003-0313-8542; Kim, Yongha/0000-0003-0200-9423</t>
  </si>
  <si>
    <t>Korea Polar Research Institute, Incheon, South Korea [PE20100]</t>
  </si>
  <si>
    <t>Korea Polar Research Institute, Incheon, South Korea</t>
  </si>
  <si>
    <t>This work was supported by the Korea Polar Research Institute (PE20100), Incheon, South Korea. We thank the MERRA-2 reanalysis authorities of the NASA Earth Observing System Data and Information System (https://earthdata.nasa.gov) for providing the data for the present study. We also thank the Earth Observing System (EOS) Microwave Limb Sounder (MLS) team for providing the geopotential height information used in the present analysis, and the data can be obtained at https://mls.jpl.nasa.gov/products/temp_product.php.</t>
  </si>
  <si>
    <t>e2020GL089199</t>
  </si>
  <si>
    <t>10.1029/2020GL089199</t>
  </si>
  <si>
    <t>OK5CS</t>
  </si>
  <si>
    <t>WOS:000584669000069</t>
  </si>
  <si>
    <t>Ao, H; Dupont-Nivet, G; Rohling, EJ; Zhang, P; Ladant, JB; Roberts, AP; Licht, A; Liu, QS; Liu, ZH; Dekkers, MJ; Coxall, HK; Jin, ZD; Huang, CJ; Xiao, GQ; Poulsen, CJ; Barbolini, N; Meijer, N; Sun, Q; Qiang, XK; Yao, J; An, ZS</t>
  </si>
  <si>
    <t>Ao, Hong; Dupont-Nivet, Guillaume; Rohling, Eelco J.; Zhang, Peng; Ladant, Jean-Baptiste; Roberts, Andrew P.; Licht, Alexis; Liu, Qingsong; Liu, Zhonghui; Dekkers, Mark J.; Coxall, Helen K.; Jin, Zhangdong; Huang, Chunju; Xiao, Guoqiao; Poulsen, Christopher J.; Barbolini, Natasha; Meijer, Niels; Sun, Qiang; Qiang, Xiaoke; Yao, Jiao; An, Zhisheng</t>
  </si>
  <si>
    <t>Orbital climate variability on the northeastern Tibetan Plateau across the Eocene-Oligocene transition</t>
  </si>
  <si>
    <t>XINING BASIN; ANTARCTIC GLACIATION; ASIAN MONSOONS; CARBON-DIOXIDE; LANZHOU BASIN; ARIDIFICATION; MAGNETOSTRATIGRAPHY; TEMPERATURE; GREENHOUSE; SOUTHERN</t>
  </si>
  <si>
    <t>The first major build-up of Antarctic glaciation occurred in two consecutive stages across the Eocene-Oligocene transition (EOT): the EOT-1 cooling event at similar to 34.1-33.9Ma and the Oi-1 glaciation event at similar to 33.8-33.6Ma. Detailed orbital-scale terrestrial environmental responses to these events remain poorly known. Here we present magnetic and geochemical climate records from the northeastern Tibetan Plateau margin that are dated precisely from similar to 35.5 to 31Ma by combined magneto- and astro-chronology. These records suggest a hydroclimate transition at similar to 33.7Ma from eccentricity dominated cycles to oscillations paced by a combination of eccentricity, obliquity, and precession, and confirm that major Asian aridification and cooling occurred at Oi-1. We conclude that this terrestrial orbital response transition coincided with a similar transition in the marine benthic delta O-18 record for global ice volume and deep-sea temperature variations. The dramatic reorganization of the Asian climate system coincident with Oi-1 was, thus, a response to coeval atmospheric CO2 decline and continental-scale Antarctic glaciation. Marine records indicate a greenhouse to icehouse climate transition at similar to 34 million years ago, but how the climate changed within continental interiors at this time is less well known. Here, the authors show an orbital climate response shift with aridification on the northeastern Tibetan Plateau during this time.</t>
  </si>
  <si>
    <t>[Ao, Hong; Zhang, Peng; Jin, Zhangdong; Qiang, Xiaoke; Yao, Jiao; An, Zhisheng] Chinese Acad Sci, Inst Earth Environm, State Key Lab Loess &amp; Quaternary Geol, Xian, Peoples R China; [Ao, Hong; Jin, Zhangdong; An, Zhisheng] Chinese Acad Sci, CAS Ctr Excellence Quaternary Sci &amp; Global Change, Xian, Peoples R China; [Ao, Hong; Zhang, Peng] Pilot Natl Lab Marine Sci &amp; Technol Qingdao, Open Studio Ocean Continental Climate &amp; Environm, Qingdao, Peoples R China; [Ao, Hong; Huang, Chunju; Xiao, Guoqiao] China Univ Geosci, Sch Earth Sci, State Key Lab Biogeol &amp; Environm Geol, Wuhan, Peoples R China; [Dupont-Nivet, Guillaume] Univ Rennes, CNRS, Geosci Rennes, UMR 6118, F-6118 Rennes, France; [Dupont-Nivet, Guillaume] Peking Univ, Key Lab Orogen Belts &amp; Crustal Evolut, Beijing, Peoples R China; [Dupont-Nivet, Guillaume; Meijer, Niels] Univ Potsdam, Inst Geosci, Potsdam, Germany; [Rohling, Eelco J.; Roberts, Andrew P.] Australian Natl Univ, Res Sch Earth Sci, Canberra, ACT, Australia; [Rohling, Eelco J.] Univ Southampton, Natl Oceanog Ctr, Ocean &amp; Earth Sci, Southampton, Hants, England; [Ladant, Jean-Baptiste; Poulsen, Christopher J.] Univ Michigan, Dept Earth &amp; Environm Sci, Ann Arbor, MI 48109 USA; [Licht, Alexis] Univ Washington, Dept Earth &amp; Space Sci, Seattle, WA 98195 USA; [Liu, Qingsong] Southern Univ Sci &amp; Technol, Dept Ocean Sci &amp; Engn, Ctr Marine Magnetism CM2, Shenzhen, Peoples R China; [Liu, Zhonghui] Univ Hong Kong, Dept Earth Sci, Hong Kong, Peoples R China; [Dekkers, Mark J.] Univ Utrecht, Fac Geosci, Dept Earth Sci, Paleomagnet Lab Ft Hoofddijk, Utrecht, Netherlands; [Coxall, Helen K.] Stockholm Univ, Dept Geol Sci, Stockholm, Sweden; [Jin, Zhangdong] Xi An Jiao Tong Univ, Inst Global Environm Change, Xian, Peoples R China; [Barbolini, Natasha] Univ Amsterdam, Inst Biodivers &amp; Ecosyst Dynam, Dept Ecosyst &amp; Landscape Dynam, Amsterdam, Netherlands; [Sun, Qiang] Xian Univ Sci &amp; Technol, Coll Geol &amp; Environm, Xian, Peoples R China; [An, Zhisheng] Beijing Normal Univ, Interdisciplinary Res Ctr Earth Sci Frontier, Beijing, Peoples R China</t>
  </si>
  <si>
    <t>Chinese Academy of Sciences; Institute of Earth Environment, CAS; Chinese Academy of Sciences; Laoshan Laboratory; China University of Geosciences; Centre National de la Recherche Scientifique (CNRS); CNRS - National Institute for Earth Sciences &amp; Astronomy (INSU); Universite de Rennes; Peking University; University of Potsdam; Australian National University; University of Southampton; NERC National Oceanography Centre; University of Michigan System; University of Michigan; University of Washington; University of Washington Seattle; Southern University of Science &amp; Technology; University of Hong Kong; Utrecht University; Stockholm University; Xi'an Jiaotong University; University of Amsterdam; Xi'an University of Science &amp; Technology; Beijing Normal University</t>
  </si>
  <si>
    <t>Ao, H; An, ZS (corresponding author), Chinese Acad Sci, Inst Earth Environm, State Key Lab Loess &amp; Quaternary Geol, Xian, Peoples R China.;Ao, H; An, ZS (corresponding author), Chinese Acad Sci, CAS Ctr Excellence Quaternary Sci &amp; Global Change, Xian, Peoples R China.;Ao, H (corresponding author), Pilot Natl Lab Marine Sci &amp; Technol Qingdao, Open Studio Ocean Continental Climate &amp; Environm, Qingdao, Peoples R China.;Ao, H (corresponding author), China Univ Geosci, Sch Earth Sci, State Key Lab Biogeol &amp; Environm Geol, Wuhan, Peoples R China.;Dupont-Nivet, G (corresponding author), Univ Rennes, CNRS, Geosci Rennes, UMR 6118, F-6118 Rennes, France.;Dupont-Nivet, G (corresponding author), Peking Univ, Key Lab Orogen Belts &amp; Crustal Evolut, Beijing, Peoples R China.;Dupont-Nivet, G (corresponding author), Univ Potsdam, Inst Geosci, Potsdam, Germany.;An, ZS (corresponding author), Beijing Normal Univ, Interdisciplinary Res Ctr Earth Sci Frontier, Beijing, Peoples R China.</t>
  </si>
  <si>
    <t>aohong@ieecas.cn; guillaume.dupont-nivet@univ-rennes1.fr; anzs@loess.llqg.ac.cn</t>
  </si>
  <si>
    <t>AN, Zhisheng/F-8834-2012; Zhang, Peng/P-8607-2014; Rohling, Eelco J/B-9736-2008; Poulsen, Christopher J/C-6213-2009; Roberts, Andrew P/E-6422-2010; DUPONT-NIVET, Guillaume/HII-9066-2022; Licht, Alexis/P-4284-2018; Liu, Zhonghui/D-3163-2009; Barbolini, Natasha/JHV-1549-2023; Meijer, Niels/AHE-1536-2022</t>
  </si>
  <si>
    <t>Rohling, Eelco J/0000-0001-5349-2158; DUPONT-NIVET, Guillaume/0000-0001-9905-9739; Licht, Alexis/0000-0002-5267-7545; Liu, Zhonghui/0000-0002-2168-8305; Barbolini, Natasha/0000-0001-7121-3634; Meijer, Niels/0000-0002-2186-5682; ao, hong/0000-0002-3337-520X; Coxall, Helen/0000-0002-2843-2898; Zhang, Peng/0000-0002-2521-9784; Roberts, Andrew P./0000-0003-0566-8117; Dekkers, Mark/0000-0002-4156-3841</t>
  </si>
  <si>
    <t>Chinese Academy of Sciences (CAS) Strategic Priority Research Program [XDB 40000000]; Second Tibetan Plateau Scientific Expedition and Research (STEP) program [2019QZKK0707, 2019QZKK0101]; CAS Key Research Program of Frontier Sciences [QYZDB-SSW-DQC021]; National Natural Science Foundation of China; Ministry of Science and Technology of China; Australian Research Council (ARC) Australian Laureate Fellowship [FL120100050]; ARC [DP120103952]; ERC [MAGIC 649081]; Bolin Center for Climate Research</t>
  </si>
  <si>
    <t>Chinese Academy of Sciences (CAS) Strategic Priority Research Program; Second Tibetan Plateau Scientific Expedition and Research (STEP) program; CAS Key Research Program of Frontier Sciences; National Natural Science Foundation of China(National Natural Science Foundation of China (NSFC)); Ministry of Science and Technology of China(Ministry of Science and Technology, China); Australian Research Council (ARC) Australian Laureate Fellowship(Australian Research Council); ARC(Australian Research Council); ERC(European Research Council (ERC)); Bolin Center for Climate Research</t>
  </si>
  <si>
    <t>This study was supported financially by the Chinese Academy of Sciences (CAS) Strategic Priority Research Program (XDB 40000000), the Second Tibetan Plateau Scientific Expedition and Research (STEP) program (2019QZKK0707, 2019QZKK0101), the CAS Key Research Program of Frontier Sciences (QYZDB-SSW-DQC021), the National Natural Science Foundation of China, the Ministry of Science and Technology of China, Australian Research Council (ARC) Australian Laureate Fellowship grant FL120100050 to E.J.R., ARC grant DP120103952 to A.P.R., ERC consolidator grant MAGIC 649081 to G.D.-N., N.B., N.M., and A.L., and the Bolin Center for Climate Research to H.C.</t>
  </si>
  <si>
    <t>10.1038/s41467-020-18824-8</t>
  </si>
  <si>
    <t>OG7JV</t>
  </si>
  <si>
    <t>WOS:000582056600012</t>
  </si>
  <si>
    <t>Maleska, S; Smith, KL; Virgin, J</t>
  </si>
  <si>
    <t>Maleska, Sarah; Smith, Karen L.; Virgin, John</t>
  </si>
  <si>
    <t>Impacts of Stratospheric Ozone Extremes on Arctic High Cloud</t>
  </si>
  <si>
    <t>Northern Hemisphere; Climate change; Cloud radiative effects; Ozone; Climate models</t>
  </si>
  <si>
    <t>CLIMATE FEEDBACKS; CIRCULATION; ANOMALIES; HOLE</t>
  </si>
  <si>
    <t>Stratospheric ozone depletion in the Antarctic is well known to cause changes in Southern Hemisphere tropospheric climate; however, because of its smaller magnitude in the Arctic, the effects of stratospheric ozone depletion on Northern Hemisphere tropospheric climate are not as obvious or well understood. Recent research using both global climate models and observational data has determined that the impact of ozone depletion on ozone extremes can affect interannual variability in tropospheric circulation in the Northern Hemisphere in spring. To further this work, we use a coupled chemistry-climate model to examine the difference in high cloud between years with anomalously low and high Arctic stratospheric ozone concentrations. We find that low ozone extremes during the late twentieth century, when ozone-depleting substances (ODS) emissions are higher, are related to a decrease in upper tropospheric stability and an increase in high cloud fraction, which may contribute to enhanced Arctic surface warming in spring through a positive longwave cloud radiative effect. A better understanding of how Arctic climate is affected by ODS emissions, ozone depletion, and ozone extremes will lead to improved predictions of Arctic climate and its associated feedbacks with atmospheric fields as ozone levels recover.</t>
  </si>
  <si>
    <t>[Maleska, Sarah; Smith, Karen L.] Univ Toronto Scarborough, Toronto, ON, Canada; [Virgin, John] Univ Waterloo, Waterloo, ON, Canada</t>
  </si>
  <si>
    <t>University of Toronto; University Toronto Scarborough; University of Waterloo</t>
  </si>
  <si>
    <t>Maleska, S (corresponding author), Univ Toronto Scarborough, Toronto, ON, Canada.</t>
  </si>
  <si>
    <t>sarahmaleska@gmail.com</t>
  </si>
  <si>
    <t>Smith, Karen/0000-0002-4652-6310; Virgin, John/0000-0003-0533-6761</t>
  </si>
  <si>
    <t>Department of Physical and Environmental Sciences at the University of Toronto Scarborough; National Science Foundation (NSF) Division of Polar Programs [PLR-1603350]; NSF</t>
  </si>
  <si>
    <t>Department of Physical and Environmental Sciences at the University of Toronto Scarborough; National Science Foundation (NSF) Division of Polar Programs(National Science Foundation (NSF)NSF - Directorate for Geosciences (GEO)); NSF(National Science Foundation (NSF))</t>
  </si>
  <si>
    <t>Authors Maleska and Smith gratefully acknowledge support from the Department of Physical and Environmental Sciences at the University of Toronto Scarborough. Smith also acknowledges support from the National Science Foundation (NSF) Division of Polar Programs, PLR-1603350. We also give tremendous thanks to the National Center for Atmospheric Research (NCAR) and associated supercomputing resources provided by NSF/CISL/Yellowstone. The complete CESM1(WACCM4) integrations are stored on theNCARHigh Performance Storage System. NCAR is sponsored by NSF.</t>
  </si>
  <si>
    <t>45 BEACON ST, BOSTON, MA 02108-3693, UNITED STATES</t>
  </si>
  <si>
    <t>OCT 15</t>
  </si>
  <si>
    <t>10.1175/JCLI-D-19-0867.1</t>
  </si>
  <si>
    <t>QC9DO</t>
  </si>
  <si>
    <t>WOS:000615131400003</t>
  </si>
  <si>
    <t>Mackie, S; Smith, IJ; Ridley, JK; Stevens, DP; Langhorne, PJ</t>
  </si>
  <si>
    <t>Mackie, Shona; Smith, Inga J.; Ridley, Jeff K.; Stevens, David P.; Langhorne, Patricia J.</t>
  </si>
  <si>
    <t>Climate Response to Increasing Antarctic Iceberg and Ice Shelf Melt</t>
  </si>
  <si>
    <t>Antarctica; Sea ice; Southern Ocean; Climate models; Coupled models</t>
  </si>
  <si>
    <t>Mass loss from the Antarctic continent is increasing; however, climate models either assume a constant mass loss rate or return snowfall over land to the ocean to maintain equilibrium. Numerous studies have investigated sea ice and ocean sensitivity to this assumption and reached different conclusions, possibly due to different representations of melt fluxes. The coupled atmosphere-land-ocean-sea ice model, HadGEM3-GC3.1, includes a realistic spatial distribution of coastal melt fluxes, a new ice shelf cavity parameterization, and explicit representation of icebergs. This configuration makes it appropriate to revisit how increasing melt fluxes influence ocean and sea ice and to assess whether responses to melt from ice shelves and icebergs are distinguishable. We present results from simulated scenarios of increasing meltwater fluxes and show that these drive sea ice increases and, for increasing ice shelf melt, a decline in Antarctic Bottom Water formation. In our experiments, the mixed layer around the Antarctic coast deepens in response to rising ice shelf meltwater and shallows in response to stratification driven by iceberg melt. We find similar surface temperature and salinity responses to increasing meltwater fluxes from ice shelves and icebergs, but midlayer waters warm to greater depths and farther north when ice shelf melt is present. We show that as meltwater fluxes increase, snowfall becomes more likely at lower latitudes and Antarctic Circumpolar Current transport declines. These insights are helpful for interpretation of climate simulations that assume constant mass loss rates and demonstrate the importance of representing increasing melt rates for both ice shelves and icebergs.</t>
  </si>
  <si>
    <t>[Mackie, Shona; Smith, Inga J.; Langhorne, Patricia J.] Univ Otago, Dept Phys, Dunedin, New Zealand; [Ridley, Jeff K.] Met Off, Exeter, Devon, England; [Stevens, David P.] Univ East Anglia, Sch Math, Norwich, Norfolk, England</t>
  </si>
  <si>
    <t>University of Otago; Met Office - UK; University of East Anglia</t>
  </si>
  <si>
    <t>Mackie, S (corresponding author), Univ Otago, Dept Phys, Dunedin, New Zealand.</t>
  </si>
  <si>
    <t>shona.mackie@otago.ac.nz</t>
  </si>
  <si>
    <t>Langhorne, Pat/C-3539-2018; Stevens, David/F-2509-2010</t>
  </si>
  <si>
    <t>Langhorne, Pat/0000-0003-0239-7657; mackie, shona/0000-0002-8382-2952; Stevens, David/0000-0002-7283-4405</t>
  </si>
  <si>
    <t>New Zealand Deep South National Science Challenge, MBIE [C01 3 142]</t>
  </si>
  <si>
    <t>New Zealand Deep South National Science Challenge, MBIE</t>
  </si>
  <si>
    <t>This work was funded by New Zealand Deep South National Science Challenge, MBIE Contract C01 3 142. Data for PIControl were calculated by the Met Office Hadley Centre for submission to the CMIP6 experiment. The project is grateful for support from Professor Bitz at the University of Washington. We acknowledge use of the Monsoon2 system, and the High Capacity Storage Service at University of Otago, New Zealand. Model data analyzed in this work are publicly available in Mackie et al. (2020a).</t>
  </si>
  <si>
    <t>10.1175/JCLI-D-19-0881.1</t>
  </si>
  <si>
    <t>WOS:000615131400006</t>
  </si>
  <si>
    <t>Mackie, S; Smith, IJ; Stevens, DP; Ridley, JK; Langhorne, PJ</t>
  </si>
  <si>
    <t>Mackie, Shona; Smith, Inga J.; Stevens, David P.; Ridley, Jeff K.; Langhorne, Patricia J.</t>
  </si>
  <si>
    <t>Interactions between Increasing CO2 and Antarctic Melt Rates</t>
  </si>
  <si>
    <t>Meltwater from the Antarctic ice sheet is expected to increase the sea ice extent. However, such an expansion may be moderated by sea ice decline associated with global warming. Here we investigate the relative balance of these two processes through experiments using HadGEM3-GC3.1 and compare these to two standard idealized CMIP6 experiments. Our results show that the decline in sea ice projected under scenarios of increasing CO2 may be inhibited by simultaneously increasing melt fluxes. We find that Antarctic Bottom Water formation, projected to decline as CO2 increases, is likely to decline further with an increasing meltwater flux. In our simulations, the response of the westerly wind jet to increasing CO2 is enhanced when the meltwater flux increases, resulting in a stronger peak wind stress than is found when either CO2 or melt rates increase exclusively. Wefind that the sensitivity of the Antarctic Circumpolar Current to increasing melt fluxes in the Southern Ocean is countered by increasing CO2, removing or reducing a feedback mechanism that may otherwise allow more heat to be transported to the polar regions and drive increasing ice shelf melt rates. The insights presented here and in a companion paper (which focuses on the effect of increasing melt fluxes under preindustrial forcings) provide insights helpful to the interpretation of both future climate projections and sensitivity studies into the effect of increasing melt fluxes from the Antarctic ice sheet when different forcing scenarios are used.</t>
  </si>
  <si>
    <t>[Mackie, Shona; Smith, Inga J.; Langhorne, Patricia J.] Univ Otago, Dept Phys, Dunedin, New Zealand; [Stevens, David P.] Univ East Anglia, Sch Math, Norwich, Norfolk, England; [Ridley, Jeff K.] Met Off, Exeter, Devon, England</t>
  </si>
  <si>
    <t>University of Otago; University of East Anglia; Met Office - UK</t>
  </si>
  <si>
    <t>shona.macicie@otago.ac.nz</t>
  </si>
  <si>
    <t>Langhorne, Pat/0000-0003-0239-7657; Stevens, David/0000-0002-7283-4405; mackie, shona/0000-0002-8382-2952</t>
  </si>
  <si>
    <t>This project was funded by the New Zealand Deep South National Science Challenge, MBIE contract C01 3 142. Data for PIControl and CO2 were calculated by the Hadley Centre, U.K. Met Office for submission to the CMIP6 experiment. The project is grateful for support from Professor Bitz at University of Washington. We acknowledge use of the Monsoon2 system, and the High Capacity Central File Storage Service at University of Otago, New Zealand. Model data analyzed in this work are publicly available at Mackie et al. (2020a).</t>
  </si>
  <si>
    <t>10.1175/JCLI-D-19-0882.1</t>
  </si>
  <si>
    <t>WOS:000615131400007</t>
  </si>
  <si>
    <t>García, JL; Hall, BL; Kaplan, MR; Gómez, GA; De Pol-Holz, R; García, VJ; Schaefer, JM; Schwartz, R</t>
  </si>
  <si>
    <t>Garcia, Juan-Luis; Hall, Brenda L.; Kaplan, Michael R.; Gomez, Gabriel A.; De Pol-Holz, Ricardo; Garcia, Victor J.; Schaefer, Joerg M.; Schwartz, Roseanne</t>
  </si>
  <si>
    <t>14C and 10Be dated Late Holocene fluctuations of Patagonian glaciers in Torres del Paine (Chile, 51°S) and connections to Antarctic climate change</t>
  </si>
  <si>
    <t>Torres del paine; Patagonian glaciers; Southern westerly winds; Holocene; Antarctic peninsula; Radiocarbon and Be-10 cosmogenic Dating</t>
  </si>
  <si>
    <t>NUCLIDE PRODUCTION-RATES; SOUTHERN PATAGONIA; NORTHERN PATAGONIA; ATMOSPHERIC CO2; LAGO ARGENTINO; ANNULAR MODE; NEW-ZEALAND; TREE-RING; ICE-AGE; PENINSULA</t>
  </si>
  <si>
    <t>Southern Hemisphere Holocene glacier chronologies are important for unraveling past climate change, mid-to-high latitude teleconnections, and regional to global climate forcing. At present, a significant number of glacier chronologies for Patagonia are based on C-14 dating, which may afford only maximum or minimum-limiting dates. Here, we combine geomorphology and stratigraphy with radiocarbon (C-14) and beryllium-10 (Be-10) surface exposure-age dating at three outlet glaciers, Zapata, Tyndall, and Pingo. These glaciers drain the southernmost tip of the Southern Patagonian Ice Field at Torres del Paine National Park, Chile (51 degrees S). After an expansion that we date at 3200 yr. B.P., the Torres del Paine glaciers expanded to their last major Late Holocene maxima at 600 and 340 yr. B.P., with the final dated readvance after 190 yr. B.P. We use these data, together with other Patagonian glacier records, to define the early, mid and final glacial stages of the last millennium. These cold events were separated by warm conditions that allowed the Nothofagus forest to colonize deglaciated land. The presence of nearconcurrent glacier fluctuations in Patagonia and Antarctic Peninsula indicates widespread cooling punctuated the Late Holocene, including the last millennium, across much of the extratropical Southern Hemisphere. We link this cooling to cold oceanographic-atmospheric conditions forced by a northern shift or intensification of the Southern Westerly Winds. Such scenario increased northward advection of cold Antarctic circumpolar water along western Patagonia and favored decreased upwelling of warm circumpolar deep water together with expanded sea ice around the Antarctic Peninsula. (C) 2020 Elsevier Ltd. All rights reserved.</t>
  </si>
  <si>
    <t>[Garcia, Juan-Luis; Gomez, Gabriel A.] Pontificia Univ Catolica Chile, Inst Geog, Ave Vicuna Mackenna 4860, Santiago 7820436, Chile; [Hall, Brenda L.] Univ Maine, Sch Earth &amp; Climate Sci, Orono, ME 04469 USA; [Hall, Brenda L.] Univ Maine, Climate Change Inst, Orono, ME 04469 USA; [Kaplan, Michael R.; Schaefer, Joerg M.; Schwartz, Roseanne] Columbia Univ, Lamont Doherty Earth Observ, Geochem, Palisades, NY 10964 USA; [De Pol-Holz, Ricardo] Univ Magallanes, Ctr Invest GAIA Antartica CIGA, Punta Arenas, Chile; [De Pol-Holz, Ricardo] Univ Magallanes, Network Extreme Environm Res NEXER, Punta Arenas, Chile; [Garcia, Victor J.] Espoz 4100,Dept 32, Santiago, Chile; [Schaefer, Joerg M.] Columbia Univ, Dept Earth &amp; Environm Sci, New York, NY 10027 USA</t>
  </si>
  <si>
    <t>Pontificia Universidad Catolica de Chile; University of Maine System; University of Maine Orono; University of Maine System; University of Maine Orono; Columbia University; Universidad de Magallanes; Universidad de Magallanes; Columbia University</t>
  </si>
  <si>
    <t>García, JL (corresponding author), Pontificia Univ Catolica Chile, Inst Geog, Ave Vicuna Mackenna 4860, Santiago 7820436, Chile.</t>
  </si>
  <si>
    <t>jgarciab@uc.cl</t>
  </si>
  <si>
    <t>Kaplan, Michael R/D-4720-2011; De Pol-Holz, Ricardo/E-3740-2013; Garcia-Barriga, Juan-Luis/U-6381-2017</t>
  </si>
  <si>
    <t>De Pol-Holz, Ricardo/0000-0002-3281-8232; Garcia-Barriga, Juan-Luis/0000-0002-9028-7572</t>
  </si>
  <si>
    <t>GSA Quaternary Geology &amp; Geomorphology Division; FONDECYT [1161110]; NSF [EAR 09e02363]; Corporacion Nacional Forestal (CONAF) of Chile; Administration of the Torres del Paine National Park</t>
  </si>
  <si>
    <t>GSA Quaternary Geology &amp; Geomorphology Division; FONDECYT(Comision Nacional de Investigacion Cientifica y Tecnologica (CONICYT)CONICYT FONDECYT); NSF(National Science Foundation (NSF)); Corporacion Nacional Forestal (CONAF) of Chile; Administration of the Torres del Paine National Park</t>
  </si>
  <si>
    <t>This research received funding by the GSA Quaternary Geology &amp; Geomorphology Division and FONDECYT Grant 1161110 (JLG) and NSF EAR 09e02363 (MRK and JMS). We thank Tomas Rojo and Carmen Daggett for assistance in the field. We also thank the Corporacion Nacional Forestal (CONAF) of Chile and the Administration of the Torres del Paine National Park for supporting this research. We appreciate and thank the comments by reviewers Dr. Bethan Davies and Dr. Harold Lovell that helped to improve the quality of this paper. This is LDEO Contribution 8438.</t>
  </si>
  <si>
    <t>10.1016/j.quascirev.2020.106541</t>
  </si>
  <si>
    <t>OC8BO</t>
  </si>
  <si>
    <t>WOS:000579381700003</t>
  </si>
  <si>
    <t>Jiang, NX; Yan, Q</t>
  </si>
  <si>
    <t>Jiang, Nanxuan; Yan, Qing</t>
  </si>
  <si>
    <t>Evolution of the meridional shift of the subtropical and subpolar westerly jet over the Southern Hemisphere during the past 21,000 years</t>
  </si>
  <si>
    <t>Subtropical westerly jet; Subpolar westerly jet; Southern hemisphere; Paleoclimate modelling</t>
  </si>
  <si>
    <t>LAST GLACIAL MAXIMUM; CLIMATE CHANGES; WIND CHANGES; MODEL; PRECIPITATION; CIRCULATION; TERRESTRIAL; MECHANISMS; EQUATORIAL; VEGETATION</t>
  </si>
  <si>
    <t>Deciphering the variations in the subtropical westerly jet (STJ) and the subpolar westerly jet (SPJ) over the Southern Hemisphere in Earth's history will help us to better understand how the westerlies may respond to various external forcings in the future. Using Simulation of Transient Climate Evolution over the past 21,000 years simulations, we demonstrate that the STJ migrated equatorward in the Last Glacial Maximum relative to the present, which followed by abrupt poleward, equatorward, and poleward shifts during the Heinrich Stadial I, Antarctic Cold Reversal, and Younger Dryas, respectively. These large -amplitude fluctuations are controlled by changes in meltwater fluxes and polar ice-sheet topography. During the Holocene, the STJ shows no obvious long-term trend, due to the offsetting effect between increased orbital insolation in austral summer and decreased Antarctic ice-sheet topography. The meridional shift of the SPJ shows an in-phase change with the STJ during the past 21 kyr. In terms of the dynamic mechanisms, the meridional shift of the STJ and SPJ is induced by changes in the meridional temperature gradient and the maximum eddy growth rate, respectively; and is also linked to changes in the mean meridional circulations (that is, the Hadley and Ferrel cells). The modeled meridional shift of the southern westerlies is supported by the results from the Paleoclimate Modelling Intercomparison Project Phase III and is consistent with several reconstructions, but it is difficult to constrain robustly by geological evidence as the reconstructed westerlies vary across sites and proxies. Nevertheless, our study provides a possible scenario for the evolution of the southern westerlies during the past 21 kyr and identifies the dominant forcing and the associated mechanisms, which may advance our knowledge on the future behavior of the southern westerlies. (C) 2020 Elsevier Ltd. All rights reserved.</t>
  </si>
  <si>
    <t>[Jiang, Nanxuan; Yan, Qing] Chinese Acad Sci, Inst Atmospher Phys, Nansen Zhu Int Res Ctr, 40 Huayanli, Beijing 100029, Peoples R China; [Jiang, Nanxuan] Univ Chinese Acad Sci, Beijing, Peoples R China</t>
  </si>
  <si>
    <t>Chinese Academy of Sciences; Institute of Atmospheric Physics, CAS; Chinese Academy of Sciences; University of Chinese Academy of Sciences, CAS</t>
  </si>
  <si>
    <t>Yan, Q (corresponding author), Chinese Acad Sci, Inst Atmospher Phys, Nansen Zhu Int Res Ctr, 40 Huayanli, Beijing 100029, Peoples R China.</t>
  </si>
  <si>
    <t>yanqing@mail.iap.ac.cn</t>
  </si>
  <si>
    <t>Yan, Qing/C-5413-2013</t>
  </si>
  <si>
    <t>National Key Research and Development Program of China [2016YFA0600704]; Strategic Priority Research Program of Chinese Academy of Sciences [XDA20100300]; Youth Innovation Promotion Association by CAS [2019080]</t>
  </si>
  <si>
    <t>National Key Research and Development Program of China; Strategic Priority Research Program of Chinese Academy of Sciences(Chinese Academy of Sciences); Youth Innovation Promotion Association by CAS</t>
  </si>
  <si>
    <t>Many thanks to the three reviewers for their very constructive and useful comments in helping to improve our manuscript. We thank the TraCE-21ka group for sharing their model output via the Earth System Grid of the National Center for Atmospheric Research. The model data are available online (https://www.earthsystemgrid.org/project/trace.html).This research was supported by the National Key Research and Development Program of China [2016YFA0600704], the Strategic Priority Research Program of Chinese Academy of Sciences [XDA20100300], and the Youth Innovation Promotion Association by CAS [2019080].</t>
  </si>
  <si>
    <t>10.1016/j.quascirev.2020.106544</t>
  </si>
  <si>
    <t>WOS:000579381700004</t>
  </si>
  <si>
    <t>Borowicz, A; Forrest, S; Wethington, M; Strycker, N; Lynch, HJ</t>
  </si>
  <si>
    <t>Borowicz, Alex; Forrest, Steve; Wethington, Michael; Strycker, Noah; Lynch, Heather J.</t>
  </si>
  <si>
    <t>Presence of King penguins (Aptenodytes patagonicus) on Elephant Island provides further evidence of range expansion</t>
  </si>
  <si>
    <t>Range expansion; Climate change; Colonization; Antarctica</t>
  </si>
  <si>
    <t>SOUTH SHETLAND</t>
  </si>
  <si>
    <t>King penguins (Aptenodytes patagonicus) are a circumpolar sub-Antarctic species inhabiting most of the major sub-Antarctic island chains of the Southern Ocean, the Falkland Islands, and regions of Patagonia. Despite early suggestions to the contrary, there is no conclusive historical evidence of King penguin inhabitation of the Antarctic Peninsula or the South Shetland Islands until the past decade. After a near-complete survey of Elephant Island, we report widespread presence of this species, including documented incubation at one site and molting at another. While we found no evidence of King penguins successfully fledging a chick at any of the sites where individuals were found, their presence across numerous sites suggests the potential for future range expansion in response to warming conditions.</t>
  </si>
  <si>
    <t>[Borowicz, Alex; Wethington, Michael; Lynch, Heather J.] SUNY Stony Brook, Dept Ecol &amp; Evolut, Stony Brook, NY 11794 USA; [Forrest, Steve] Antarctic Resource Inc, Truckee, CA 96161 USA; [Strycker, Noah] SUNY Stony Brook, Sch Marine &amp; Atmospher Sci, Stony Brook, NY 11794 USA; [Lynch, Heather J.] SUNY Stony Brook, Inst Adv Computat Sci, Stony Brook, NY 11794 USA</t>
  </si>
  <si>
    <t>State University of New York (SUNY) System; State University of New York (SUNY) Stony Brook; State University of New York (SUNY) System; State University of New York (SUNY) Stony Brook; State University of New York (SUNY) System; State University of New York (SUNY) Stony Brook</t>
  </si>
  <si>
    <t>Borowicz, A (corresponding author), SUNY Stony Brook, Dept Ecol &amp; Evolut, Stony Brook, NY 11794 USA.</t>
  </si>
  <si>
    <t>alex.j.borowicz@gmail.com</t>
  </si>
  <si>
    <t>Borowicz, Alex/AAW-9390-2021; Michael, Wethington/JHT-8992-2023</t>
  </si>
  <si>
    <t>Borowicz, Alex/0000-0001-5888-5137; Lynch, Heather/0000-0002-9026-1612; Wethington, Michael/0000-0002-3668-4083</t>
  </si>
  <si>
    <t>Support for fieldwork was provided by the Pew Charitable Trusts.</t>
  </si>
  <si>
    <t>10.1007/s00300-020-02760-w</t>
  </si>
  <si>
    <t>WOS:000577231600001</t>
  </si>
  <si>
    <t>Meyer, B; Atkinson, A; Bernard, KS; Brierley, AS; Driscoll, R; Hill, SL; Marschoff, E; Maschette, D; Perry, FA; Reiss, CS; Rombolá, E; Tarling, GA; Thorpe, SE; Trathan, PN; Zhu, GP; Kawaguchi, S</t>
  </si>
  <si>
    <t>Meyer, Bettina; Atkinson, Angus; Bernard, Kim S.; Brierley, Andrew S.; Driscoll, Ryan; Hill, Simeon L.; Marschoff, Enrique; Maschette, Dale; Perry, Frances A.; Reiss, Christian S.; Rombola, Emilce; Tarling, Geraint A.; Thorpe, Sally E.; Trathan, Philip N.; Zhu, Guoping; Kawaguchi, So</t>
  </si>
  <si>
    <t>Successful ecosystem-based management of Antarctic krill should address uncertainties in krill recruitment, behaviour and ecological adaptation</t>
  </si>
  <si>
    <t>EUPHAUSIA-SUPERBA DANA; CLIMATE-CHANGE; SCOTIA SEA; ATLANTIC SECTOR; SOUTH GEORGIA; FIN WHALES; VARIABILITY; FOOD; PENINSULA; BIOMASS</t>
  </si>
  <si>
    <t>Antarctic krill, Euphausia superba, supports a valuable commercial fishery in the Southwest Atlantic, which holds the highest krill densities and is warming rapidly. The krill catch is increasing, is concentrated in a small area, and has shifted seasonally from summer to autumn/winter. The fishery is managed by the Commission for the Conservation of Antarctic Marine Living Resources, with the main goal of safeguarding the large populations of krill-dependent predators. Here we show that, because of the restricted distribution of successfully spawning krill and high inter-annual variability in their biomass, the risk of direct fishery impacts on the krill stock itself might be higher than previously thought. We show how management benefits could be achieved by incorporating uncertainty surrounding key aspects of krill ecology into management decisions, and how knowledge can be improved in these key areas. This improved information may be supplied, in part, by the fishery itself. Understanding of Antarctic krill must be at the heart of krill fishery management in order to protect the stock and its predators, according to a synthesis of krill ecology research.</t>
  </si>
  <si>
    <t>[Meyer, Bettina; Driscoll, Ryan] Helmholtz Ctr Polar &amp; Marine Res, Alfred Wegener Inst, Handelshafen 12, Bremerhaven, Germany; [Meyer, Bettina] Carl von Ossietzky Univ Oldenburg, Inst Chem &amp; Biol Marine Environm, Carl Von Ossietzky Str 9-11, D-26111 Oldenburg, Germany; [Meyer, Bettina] Univ Oldenburg HIFMB, Helmholtz Inst Funct Marine Biodivers, Ammerlander Heerstr 231, D-26129 Oldenburg, Germany; [Atkinson, Angus; Perry, Frances A.] Plymouth Marine Lab, Prospect Pl, Plymouth PL1 3DH, Devon, England; [Bernard, Kim S.] Oregon State Univ, Coll Earth Ocean &amp; Atmospher Sci, 104 CEOAS Admin Bldg, Corvallis, OR 97330 USA; [Brierley, Andrew S.] Univ St Andrews, Scottish Oceans Inst, Gatty Marine Lab, Sch Biol, St Andrews KY16 9TS, Fife, Scotland; [Hill, Simeon L.; Tarling, Geraint A.; Thorpe, Sally E.; Trathan, Philip N.] NERC, British Antarctic Survey, High Cross,Madingley Rd, Cambridge CB3 0FT, England; [Marschoff, Enrique; Rombola, Emilce] Inst Antartico Argentino, Direcc Nacl Antartico, 25 Mayo 1143, Buenos Aires, DF, Argentina; [Maschette, Dale] Univ Tasmania, Fisheries &amp; Aquaculture Ctr, Inst Marine &amp; Antarctic Studies, Hobart, Tas 7001, Australia; [Maschette, Dale; Kawaguchi, So] Australian Antarctic Div, Kingston, Tas 7050, Australia; [Reiss, Christian S.] Natl Ocean &amp; Atmospher Adm, Antarctic Ecosyst Res Div, Southwest Fisheries Sci Ctr, La Jolla, CA 92037 USA; [Zhu, Guoping] Shanghai Ocean Univ, Coll Marine Sci, 999 Huchenghuan Rd, Shanghai 201306, Peoples R China; [Zhu, Guoping] Shanghai Ocean Univ, Ctr Polar Res, 999 Huchenghuan Rd, Shanghai 201306, Peoples R China</t>
  </si>
  <si>
    <t>Helmholtz Association; Alfred Wegener Institute, Helmholtz Centre for Polar &amp; Marine Research; Carl von Ossietzky Universitat Oldenburg; Plymouth Marine Laboratory; Oregon State University; University of St Andrews; UK Research &amp; Innovation (UKRI); Natural Environment Research Council (NERC); NERC British Antarctic Survey; Instituto Antartico Argentino; University of Tasmania; Australian Antarctic Division; National Oceanic Atmospheric Admin (NOAA) - USA; Shanghai Ocean University; Shanghai Ocean University</t>
  </si>
  <si>
    <t>Meyer, B (corresponding author), Helmholtz Ctr Polar &amp; Marine Res, Alfred Wegener Inst, Handelshafen 12, Bremerhaven, Germany.;Meyer, B (corresponding author), Carl von Ossietzky Univ Oldenburg, Inst Chem &amp; Biol Marine Environm, Carl Von Ossietzky Str 9-11, D-26111 Oldenburg, Germany.;Meyer, B (corresponding author), Univ Oldenburg HIFMB, Helmholtz Inst Funct Marine Biodivers, Ammerlander Heerstr 231, D-26129 Oldenburg, Germany.</t>
  </si>
  <si>
    <t>bettina.meyer@awi.de</t>
  </si>
  <si>
    <t>Brierley, Andrew S/G-8019-2011; Simeon, Hill L/B-2307-2008; ZHU, Guo-ping/D-1002-2010; Atkinson, Angus/HOH-3417-2023</t>
  </si>
  <si>
    <t>Hill, Simeon/0000-0003-1441-8769; Driscoll, Ryan/0000-0003-1979-1001; Zhu, Guoping/0000-0001-6081-7811; Meyer, Bettina/0000-0001-6804-9896; Rombola, Emilce Florencia/0000-0003-1863-1911; Maschette, Dale/0000-0003-2590-8544</t>
  </si>
  <si>
    <t>Federal Ministry of Food and Agriculture (BMEL) [2819HS001]; National Science Foundation of China (NSFC) [41776185]; National Key R&amp;D Program of China (NKRDPC) [2018YFC1406801]; Natural Environment Research Council (NERC); NERC through its 'Climate Linked Atlantic Sector Science' [NE/R015953/1]; WWF; Australian Antarctic Science Program [4512]; NERC [pml010004, bas0100035] Funding Source: UKRI</t>
  </si>
  <si>
    <t>Federal Ministry of Food and Agriculture (BMEL); National Science Foundation of China (NSFC)(National Natural Science Foundation of China (NSFC)); National Key R&amp;D Program of China (NKRDPC); Natural Environment Research Council (NERC)(UK Research &amp; Innovation (UKRI)Natural Environment Research Council (NERC)); NERC through its 'Climate Linked Atlantic Sector Science'; WWF; Australian Antarctic Science Program; NERC(UK Research &amp; Innovation (UKRI)Natural Environment Research Council (NERC))</t>
  </si>
  <si>
    <t>This publication and the scientific position of R.D. was supported by a grant awarded to B.M. from the Federal Ministry of Food and Agriculture (BMEL, Project KrillBIS II, grant number 2819HS001) and contribute to the Helmholtz Research Program Changing Earth-Sustaining our future of the research field Earth and Environment of the Helmholtz Association, Topic 6, Suptopic 6.1. G.Z. was supported partly by the National Science Foundation of China (NSFC, grant number 41776185) and the National Key R&amp;D Program of China (NKRDPC, grant number 2018YFC1406801). S.L.H., G.A.T., S.E.T., and P.N.T. were supported by the Natural Environment Research Council (NERC) funding to the Ecosystems programme at the British Antarctic Survey. A.A. was supported by NERC through its 'Climate Linked Atlantic Sector Science' (NE/R015953/1). A.A. and S.L.H. received additional support from WWF. S.K. was supported by Australian Antarctic Science Program number 4512. We are grateful to Keith Reid (CCAMLR Secretariat and co-convener of the Third International Symposium on Krill), for his support on establishing SKAG and helpful comments on an earlier version of this manuscript. We thank participants at the Third International Symposium on Krill for wide-ranging discussions that helped catalyze this paper.</t>
  </si>
  <si>
    <t>10.1038/s43247-020-00026-1</t>
  </si>
  <si>
    <t>RZ4UL</t>
  </si>
  <si>
    <t>WOS:000648592900001</t>
  </si>
  <si>
    <t>Roberts, JL; Jong, LM; McCormack, FS; Curran, MA; Moy, AD; Etheridge, DM; Greenbaum, JS; Young, DA; Phipps, SJ; Xue, WY; van Ommen, TD; Blankenship, DD; Siegert, MJ</t>
  </si>
  <si>
    <t>Roberts, Jason L.; Jong, Lenneke M.; McCormack, Felicity S.; Curran, Mark A.; Moy, Andrew D.; Etheridge, David M.; Greenbaum, Jamin S.; Young, Duncan A.; Phipps, Steven J.; Xue, Wenyue; van Ommen, Tas D.; Blankenship, Donald D.; Siegert, Martin J.</t>
  </si>
  <si>
    <t>Integral correlation for uneven and differently sampled data, and its application to the Law Dome Antarctic climate record</t>
  </si>
  <si>
    <t>EAST ANTARCTICA; ERUPTION</t>
  </si>
  <si>
    <t>We present a new simple and efficient method for correlation of unevenly and differently sampled data. This new method overcomes problems with other methods for correlation with non-uniform sampling and is an easy modification to existing correlation based codes. To demonstrate the usefulness of this new method to real-world examples, we apply the method with good success to two glaciological examples to map the ages from a well-dated ice core to a nearby core, and by tracing isochronous layers within the ice sheet measured from ice-penetrating radar between the two ice core sites.</t>
  </si>
  <si>
    <t>[Roberts, Jason L.; Jong, Lenneke M.; Curran, Mark A.; Moy, Andrew D.; van Ommen, Tas D.] Australian Antarctic Div, Kingston, Tas 7050, Australia; [Roberts, Jason L.; Jong, Lenneke M.; Curran, Mark A.; Moy, Andrew D.; van Ommen, Tas D.] Univ Tasmania, Australian Antarctic Program Partnership, Inst Marine &amp; Antarctic Studies, Hobart, Tas 7004, Australia; [McCormack, Felicity S.] Monash Univ, Sch Earth Atmosphere &amp; Environm, Monash Ice Sheet Initiat, Clayton, Vic 3168, Australia; [Phipps, Steven J.; Xue, Wenyue] Univ Tasmania, Inst Marine &amp; Antarctic Studies, Hobart, Tas 7001, Australia; [Etheridge, David M.] CSIRO Oceans &amp; Atmosphere, Climate Sci Ctr, PMB 1, Aspendale, Vic 3195, Australia; [Greenbaum, Jamin S.] Univ Calif San Diego, Scripps Inst Oceanog, La Jolla, CA 92093 USA; [Young, Duncan A.; Blankenship, Donald D.] Univ Texas Austin, Inst Geophys, Jackson Sch Geosci, Austin, TX 78712 USA; [Siegert, Martin J.] Imperial Coll London, Grantham Inst, Dept Earth Sci &amp; Engn, London SW7 2AZ, England</t>
  </si>
  <si>
    <t>Australian Antarctic Division; University of Tasmania; Monash University; University of Tasmania; Commonwealth Scientific &amp; Industrial Research Organisation (CSIRO); University of California System; University of California San Diego; Scripps Institution of Oceanography; University of Texas System; University of Texas Austin; Imperial College London</t>
  </si>
  <si>
    <t>Roberts, JL (corresponding author), Australian Antarctic Div, Kingston, Tas 7050, Australia.;Roberts, JL (corresponding author), Univ Tasmania, Australian Antarctic Program Partnership, Inst Marine &amp; Antarctic Studies, Hobart, Tas 7004, Australia.</t>
  </si>
  <si>
    <t>Jason.Roberts@aad.gov.au</t>
  </si>
  <si>
    <t>Young, Duncan A./G-6256-2010; Jong, Lenneke M/AAT-3230-2020; Phipps, Steven J/B-3135-2008; Blankenship, Donald D./G-5935-2010; van Ommen, Tas D/B-5020-2012; Siegert, Martin/M-9939-2019; Etheridge, David M/B-7334-2013; McCormack, Felicity/B-9218-2015</t>
  </si>
  <si>
    <t>Jong, Lenneke M/0000-0001-6707-570X; Siegert, Martin/0000-0002-0090-4806; McCormack, Felicity/0000-0002-2324-2120; Etheridge, David/0000-0001-7970-2002</t>
  </si>
  <si>
    <t>Australian Antarctic Division [ASAC 757, 4061, 4062, 4077, 4346, 4537]; Australian Government's Cooperative Research Centres Programme through the Antarctic Climate and Ecosystems Cooperative Research Centre (ACE CRC); NASA as part of Operation Ice Bridge [NNG10HP06C]; Australian Research Council's Special Research Initiative for Antarctic Gateway Partnership [SR140300001]; Australian Research Council [ARC DP180102522]; Global Innovation Initiative Grant from the British Council; Australian-American Fulbright Postdoctoral Scholarship; Centre for Southern Hemisphere Oceans Research; QNLM; CSIRO</t>
  </si>
  <si>
    <t>Australian Antarctic Division; Australian Government's Cooperative Research Centres Programme through the Antarctic Climate and Ecosystems Cooperative Research Centre (ACE CRC)(Australian GovernmentDepartment of Industry, Innovation and ScienceCooperative Research Centres (CRC) Programme); NASA as part of Operation Ice Bridge; Australian Research Council's Special Research Initiative for Antarctic Gateway Partnership(Australian Research Council); Australian Research Council(Australian Research Council); Global Innovation Initiative Grant from the British Council; Australian-American Fulbright Postdoctoral Scholarship; Centre for Southern Hemisphere Oceans Research(Commonwealth Scientific &amp; Industrial Research Organisation (CSIRO)); QNLM; CSIRO(Commonwealth Scientific &amp; Industrial Research Organisation (CSIRO))</t>
  </si>
  <si>
    <t>The Australian Antarctic Division provided funding and logistical support (ASAC 757, 4061, 4062, 4077, 4346, 4537). This work was supported by the Australian Government's Cooperative Research Centres Programme through the Antarctic Climate and Ecosystems Cooperative Research Centre (ACE CRC), NASA Grant NNG10HP06C as part of Operation Ice Bridge, and the Australian Research Council's Special Research Initiative for Antarctic Gateway Partnership (Project ID SR140300001). The work conducted to produce this paper was partially funded by an Australian Research Council Discovery Project on Flooding in Australia -are we properly prepared for how bad it can get? (ARC DP180102522). This paper is a contribution to the Antarchitecture community. MJS was supported through a Global Innovation Initiative Grant from the British Council. FSM was supported by an Australian-American Fulbright Postdoctoral Scholarship. This work is supported by the Centre for Southern Hemisphere Oceans Research, a joint research centre between QNLM and CSIRO. This is UTIG contribution #3689.</t>
  </si>
  <si>
    <t>10.1038/s41598-020-74532-9</t>
  </si>
  <si>
    <t>OH6ML</t>
  </si>
  <si>
    <t>WOS:000582705900091</t>
  </si>
  <si>
    <t>Sangwan, R; Mishra, VN; Mandal, PK</t>
  </si>
  <si>
    <t>Sangwan, Rekha; Mishra, Vijay Nath; Mandal, Pintu Kumar</t>
  </si>
  <si>
    <t>Synthesis of a common pentasaccharide moiety of diplasteriosides A and B belong to starfish asterosaponins isolated from the Diplasterias brucei</t>
  </si>
  <si>
    <t>TETRAHEDRON LETTERS</t>
  </si>
  <si>
    <t>Steroidal glycosides; Diplasteriosides; Glycosylation; Natural products; H2SO4-silica</t>
  </si>
  <si>
    <t>TRITERPENE GLYCOSIDES; REPEATING UNIT; SEA-CUCUMBERS; O-ANTIGEN</t>
  </si>
  <si>
    <t>Bearing the pentasaccharide moiety of diplasteriosides A and B, new asterosaponins isolated from the Antarctic Diplasterias brucei starfish showing potent cytotoxic activity against the different human cancer cell lines, has been synthesized as their p-methoxyphenyl (PMP) glycosides. A one-pot sequential glycosylation-deprotection strategy has been adopted for the construction of the pentasaccharide derivative, which was then transformed into target compound after global deprotection. The synthetic method relies on the use of Fmoc carbonate as an orthogonal protecting group which can be removed and the product subsequently glycosylated to reduce the number of reaction steps significantly. Here H2SO4-silica has been used alternatively as a Bronsted acid catalyst for all glycosylation reactions. All the glycosylation steps are high yielding and stereoselective. (C) 2020 Elsevier Ltd. All rights reserved.</t>
  </si>
  <si>
    <t>[Sangwan, Rekha; Mishra, Vijay Nath; Mandal, Pintu Kumar] CSIR, Med &amp; Proc Chem Div, Cent Drug Res Inst, BS 10-1,Sect 10,Sitapur Rd,POB 173, Lucknow 226031, Uttar Pradesh, India; [Sangwan, Rekha; Mandal, Pintu Kumar] Acad Sci &amp; Innovat Res, Ghaziabad 201002, India</t>
  </si>
  <si>
    <t>Council of Scientific &amp; Industrial Research (CSIR) - India; CSIR - Central Drug Research Institute (CDRI); Academy of Scientific &amp; Innovative Research (AcSIR)</t>
  </si>
  <si>
    <t>Mandal, PK (corresponding author), CSIR, Med &amp; Proc Chem Div, Cent Drug Res Inst, BS 10-1,Sect 10,Sitapur Rd,POB 173, Lucknow 226031, Uttar Pradesh, India.;Mandal, PK (corresponding author), Acad Sci &amp; Innovat Res, Ghaziabad 201002, India.</t>
  </si>
  <si>
    <t>pk.mandal@cdri.res.in</t>
  </si>
  <si>
    <t>Science and Engineering Research Board, DST, Govt. of India [EMR/2017/001791]; CSIR-New Delhi</t>
  </si>
  <si>
    <t>Science and Engineering Research Board, DST, Govt. of India; CSIR-New Delhi(Council of Scientific &amp; Industrial Research (CSIR) - India)</t>
  </si>
  <si>
    <t>Financial support by the Science and Engineering Research Board, DST, Govt. of India (Grant No.EMR/2017/001791) is gratefully acknowledged. R.S., V.M. are grateful to CSIR-New Delhi for the Research Fellowship. We thank SAIF division of CSIR-CDRI, India for the analytical support. CDRI communication no. 10112.</t>
  </si>
  <si>
    <t>0040-4039</t>
  </si>
  <si>
    <t>TETRAHEDRON LETT</t>
  </si>
  <si>
    <t>Tetrahedron Lett.</t>
  </si>
  <si>
    <t>10.1016/j.tetlet.2020.152421</t>
  </si>
  <si>
    <t>Chemistry, Organic</t>
  </si>
  <si>
    <t>Science Citation Index Expanded (SCI-EXPANDED); Index Chemicus (IC)</t>
  </si>
  <si>
    <t>Chemistry</t>
  </si>
  <si>
    <t>NY6DW</t>
  </si>
  <si>
    <t>WOS:000576478600013</t>
  </si>
  <si>
    <t>Liuzzi, V; Della Corte, V; Rotundi, A; Ivanovski, SL; Dionnet, Z; Brunetto, R; Inno, L</t>
  </si>
  <si>
    <t>Liuzzi, Vito; Della Corte, Vincenzo; Rotundi, Alessandra; Ivanovski, Stavro L.; Dionnet, Zelia; Brunetto, Rosario; Inno, Laura</t>
  </si>
  <si>
    <t>Zero-pressure balloons trajectory prediction: Duster flight simulations</t>
  </si>
  <si>
    <t>ADVANCES IN SPACE RESEARCH</t>
  </si>
  <si>
    <t>Zero-pressure balloons; Numerical simulations; DUSTER Flight Simulation Predictor</t>
  </si>
  <si>
    <t>REFRACTORY DUST; SYSTEM</t>
  </si>
  <si>
    <t>DUSTER (Dust from the Upper Stratosphere Tracking Experiment and Retrieval) is a balloon-born instrument designed to collect dust particles with sizes less than 30 mm in the upper stratosphere (30 - 40 km), to be analysed in laboratory. In support to the DUSTER flight campaigns, it is crucial to predict the balloon trajectories according to atmospheric circulation and to estimate the landing. For a feasibility study of an Antarctic flight campaign we predict the DUSTER trajectory with a statistical approach, considering safety issues and the pivotal instrument recovery, to retrieve the collected samples. To this aim, we used the NOAA (National Oceanic and Atmospheric Administration) meteorological data and the HYSPLIT software (HYbrid Single Particle Lagrangian Integrated Trajectory). The Antarctic Polar Vortex, every year in the period December - January, generates a counter clockwise circulation (averaged wind speeds around 36 m/s from 29 to 35 km of altitudes). We evaluated the best launch opportunity windows for DUSTER to take advantage of the Polar Vortex starting from historical data. The NOAA meteorological data (Global reanalysis of atmospheric data - GFS Analysis and Forecasts products of the National Centers for Environmental Predictions NCEP) from 1994 to 2015 allowed us to select the period after the 10th of January as the launch window maximizing the DUSTER time of flight. We used HYSPLIT program to project the balloon simulated trajectories on ground, providing critical information for the recovery operations. Successively, with the aim of becoming autonomous within the DUSTER team, i.e. taking care of the complete procedure to realize a DUSTER flight campaign, we developed a dedicated software, the DUSTER Flight Simulation Predictor (DFSP) that considers the ascent, floating and descent phases and the meteorological conditions. DFSP considers the balloon dynamics, the heat flow transfer between the balloon and the atmosphere, and the lifting variable gas mass to simulate the complete flight. We are now able to obtain balloon trajectory simulations with a flight time up to 240 h, starting and ending in any Earth geographical position. In the following paper, a comparison between real DUSTER flight data in 2009 and simulated DFSP data will be shown. (c) 2020 COSPAR. Published by Elsevier Ltd. All rights reserved.</t>
  </si>
  <si>
    <t>[Liuzzi, Vito; Rotundi, Alessandra; Dionnet, Zelia; Inno, Laura] Univ Naples Parthenope, Dept Sci &amp; Technol, CDN IC4, I-80143 Naples, Italy; [Liuzzi, Vito; Della Corte, Vincenzo; Rotundi, Alessandra; Dionnet, Zelia] INAF Inst Space Astrophys &amp; Planetol, Area Ric Tor Vergata, Via Fosso Cavaliere 100, I-00133 Rome, Italy; [Ivanovski, Stavro L.] INAF, Osservatorio Astron Trieste, Via Tiepolo 11, I-34143 Trieste, Italy; [Brunetto, Rosario] Univ Paris Sud, Inst Astrophys Spatiale, CNRS, UMR 8617, Batiment 121, F-991405 Orsay, France</t>
  </si>
  <si>
    <t>Parthenope University Naples; University of Rome Tor Vergata; Istituto Nazionale Astrofisica (INAF); Istituto Nazionale Astrofisica (INAF); Universite Paris Saclay; Universite Paris Cite; Sorbonne Universite; Centre National de la Recherche Scientifique (CNRS); CNRS - National Institute for Earth Sciences &amp; Astronomy (INSU)</t>
  </si>
  <si>
    <t>Liuzzi, V (corresponding author), Univ Naples Parthenope, Dept Sci &amp; Technol, CDN IC4, I-80143 Naples, Italy.;Liuzzi, V (corresponding author), INAF Inst Space Astrophys &amp; Planetol, Area Ric Tor Vergata, Via Fosso Cavaliere 100, I-00133 Rome, Italy.</t>
  </si>
  <si>
    <t>vito.liuzzi@uniparthenope.it</t>
  </si>
  <si>
    <t>Inno, Laura/AAU-5969-2020</t>
  </si>
  <si>
    <t>Inno, Laura/0000-0002-0271-2664; Della Corte, Vincenzo/0000-0001-6461-5803</t>
  </si>
  <si>
    <t>Italian Ministero dell'Istruzione, Universita e Ricerca (MIUR) through the Programma Nazionale delle Ricerche in Antartide (PNRA) [2013/AZ3.01]; Italian Ministero dell'Istruzione, Universita e Ricerca (MIUR) through the Progetti di Rilevenza Nazionale Cosmic Dust project [PRIN201520158W4JZ7]; Italian SpaceAgency (ASI) within the Supporto allo sviluppo dei payload italiani selezionati per voli su pallone stratosferico nell'ambito del progetto europeo HEMERA (ASI-INAF) [2019-33-HH.0]; MAE (Ministero degli Affari Esteri); Regione Campania</t>
  </si>
  <si>
    <t>Italian Ministero dell'Istruzione, Universita e Ricerca (MIUR) through the Programma Nazionale delle Ricerche in Antartide (PNRA); Italian Ministero dell'Istruzione, Universita e Ricerca (MIUR) through the Progetti di Rilevenza Nazionale Cosmic Dust project; Italian SpaceAgency (ASI) within the Supporto allo sviluppo dei payload italiani selezionati per voli su pallone stratosferico nell'ambito del progetto europeo HEMERA (ASI-INAF); MAE (Ministero degli Affari Esteri); Regione Campania(Regione Campania)</t>
  </si>
  <si>
    <t>This work was supported by the Italian Ministero dell'Istruzione, Universita e Ricerca (MIUR) through the Programma Nazionale delle Ricerche in Antartide (PNRA) 2013/AZ3.01 DUSTER (Dust in. the Upper Stratosphere Tracking Experiment and Retrieval) and the Progetti di Rilevenza Nazionale Cosmic Dust project (grant ID: PRIN201520158W4JZ7). This research was also supported by the Italian SpaceAgency (ASI) within the Supporto allo sviluppo dei payload italiani selezionati per voli su pallone stratosferico nell'ambito del progetto europeo HEMERA (ASI-INAF agreement n. Accordo Attuativo numero 2019-33-HH.0), MAE (Ministero degli Affari Esteri) and Regione Campania. The authors gratefully acknowledge the NOAA Air Resources Laboratory (ARL) for the provision of the HYSPLIT transport and dispersion model and READY website (http://www.ready.noaa.gov) used in this publication. Thank you to Prof. Ezio Bussoletti for his amazing support for this project and our flight campaigns.</t>
  </si>
  <si>
    <t>0273-1177</t>
  </si>
  <si>
    <t>1879-1948</t>
  </si>
  <si>
    <t>ADV SPACE RES</t>
  </si>
  <si>
    <t>Adv. Space Res.</t>
  </si>
  <si>
    <t>10.1016/j.asr.2020.07.011</t>
  </si>
  <si>
    <t>Engineering, Aerospace; Astronomy &amp; Astrophysics; Geosciences, Multidisciplinary; Meteorology &amp; Atmospheric Sciences</t>
  </si>
  <si>
    <t>Engineering; Astronomy &amp; Astrophysics; Geology; Meteorology &amp; Atmospheric Sciences</t>
  </si>
  <si>
    <t>NO5XI</t>
  </si>
  <si>
    <t>WOS:000569563600005</t>
  </si>
  <si>
    <t>Ningombam, SS; Sethulakshmy, ES; Jade, S; Shrungeshwara, TS; Vivek, CG; Angchuk, D; Prabhu, TP; Mahay, TT</t>
  </si>
  <si>
    <t>Ningombam, Shantikumar S.; Sethulakshmy, E. S.; Jade, Sridevi; Shrungeshwara, T. S.; Vivek, Chiranjeevi G.; Angchuk, Dorje; Prabhu, T. P.; Mahay, Tashi Tshering</t>
  </si>
  <si>
    <t>Atmospheric opacity using 220 GHz (1.36 mm) radiometer data and water vapor trends over Indian Astronomical Observatory (IAO), Hanle</t>
  </si>
  <si>
    <t>JOURNAL OF ATMOSPHERIC AND SOLAR-TERRESTRIAL PHYSICS</t>
  </si>
  <si>
    <t>Opacity; Sky-brightness; Precipitable water vapor; High-altitude</t>
  </si>
  <si>
    <t>PRECIPITABLE WATER; GPS DATA</t>
  </si>
  <si>
    <t>The present work reports atmospheric opacity at 220 GHz over Indian Astronomical Observatory (IAO)-Hanle during 2006 to 2018. The opacity data were derived from the radiometric measurement of sky-brightness temperature as a function of zenith angle for every 10 min during day and night. Since the operating frequency range is not completely opaque during rainfall or cloudy atmosphere, observations are performed even during rainfall or cloudy sky conditions. The minimum opacities observed at the site varied from 0.06-0.07 at 1st quartile and 0.08-0.09 at 2nd quartile during December-January. Opacity at Hanle is linearly correlated with high temporal resolution GPS (Global Positioning System) Precipitable Water Vapor (PWV) with a correlation coefficient of about 0.8. The observed median opacity at Hanle has increased by 44% during the best observing months (October-March) and 24% over the annual data (October-September) with reference to the opacity observed during 2000-2003. Such increasing opacity trends are apparently due to effects of the dynamics of the regional and global hydrological cycle. In order to assess the impacts of the regional and global hydrological cycle, PWV obtained from AErosol RObotic NETwork (AERONET), satellite and reanalysis data were studied at nine high-altitude astronomical observatories spread spatially across the globe such as Atacama desert in Chile, Mauna Loa Observatory in Hawaii, Hanle and Merak in India, Ali and Yangbajing Observatories in Tibet, LLAMA in Argentina, and Dome A and Dome C in the Antarctic Plateau during 2003-2018. On an average, PWV trend over Atacama desert is increasing by 0.01 to 0.03 mm per year and at IAO-Hanle, Merak and Ali by 0.01 to 0.05 mm per year, indicating non uniform dynamic hydrological cycles. Interestingly, there is no noticeable PWV trend for the sites located in the Antarctic Plateau. During the four best observing months, PWV observed at Hanle, Merak and Ali sites have values lower than the Mauna Loa observatory by 0.14 mm and 0.56 mm at 1st and 2nd quartiles, respectively.</t>
  </si>
  <si>
    <t>[Ningombam, Shantikumar S.; Prabhu, T. P.] Indian Inst Astrophys, Bangalore 560034, Karnataka, India; [Sethulakshmy, E. S.] Indian Inst Technol ISM, Dhanbad 826004, Jharkhand, India; [Jade, Sridevi; Shrungeshwara, T. S.; Vivek, Chiranjeevi G.] CSIR Fourth Paradigm Inst CSIR 4PI, Bangalore 560037, Karnataka, India; [Angchuk, Dorje; Mahay, Tashi Tshering] Indian Inst Astrophys, Indian Astron Observ, Leh 194101, Ladakh, India</t>
  </si>
  <si>
    <t>Department of Science &amp; Technology (India); Indian Institute of Astrophysics (IIA); Indian Institute of Technology System (IIT System); Indian Institute of Technology (Indian School of Mines) Dhanbad; Council of Scientific &amp; Industrial Research (CSIR) - India; CSIR - Fourth Paradigm Institute (CSIR 4PI); Department of Science &amp; Technology (India); Indian Institute of Astrophysics (IIA)</t>
  </si>
  <si>
    <t>Ningombam, SS (corresponding author), Indian Inst Astrophys, Bangalore 560034, Karnataka, India.</t>
  </si>
  <si>
    <t>shanti@iiap.res.in</t>
  </si>
  <si>
    <t>Prabhu, Tushar/AAD-7280-2021</t>
  </si>
  <si>
    <t>Prabhu, Tushar/0000-0003-0797-5057</t>
  </si>
  <si>
    <t>IIA</t>
  </si>
  <si>
    <t>The authors are thankful to the PI, Co-PIs and their staff of the Mauna Loa AERONET sites who maintain the data for scientific use. The authors also thankfully acknowledged the NOAA and the NASA team for providing various data products such as MERRA-2, AIRS as well as the GES-DISC (Goddard Earth Sciences Data and Information Services Center) Interactive Online Visualization ANd aNalysis Infrastructure (GIOVANNI). We acknowledge the supports from Director and Dean (Prof.-in-charge IAO &amp; CREST) of IIA as well as Head of CSIR-4PI for the collaborative research platform. Earlier, Ms. Sethulakshmy E. S. was working at IIA under Visiting Students Program Fellowship and she thanks IIA for providing the opportunity. Further, thanks are due to supporting staff of IAO-Hanle, namely Sonam Jorphail, Kunga Tsering, Urgyan Dorje, Tsering Angchuk and Dorjey Urgyal for their esteem support while taking observation. We would like to thanks Prof Pascal Yiou, Associate Editor JASTP, and anonymous reviewers for their constructive comments and suggestions to improve the manuscript.</t>
  </si>
  <si>
    <t>1364-6826</t>
  </si>
  <si>
    <t>1879-1824</t>
  </si>
  <si>
    <t>J ATMOS SOL-TERR PHY</t>
  </si>
  <si>
    <t>J. Atmos. Sol.-Terr. Phys.</t>
  </si>
  <si>
    <t>10.1016/j.jastp.2020.105404</t>
  </si>
  <si>
    <t>Geochemistry &amp; Geophysics; Meteorology &amp; Atmospheric Sciences</t>
  </si>
  <si>
    <t>NN9UE</t>
  </si>
  <si>
    <t>WOS:000569133600006</t>
  </si>
  <si>
    <t>Wu, XZ; Luo, R; Li, ZP; Wang, JQ; Yang, SR</t>
  </si>
  <si>
    <t>Wu, Xianzhang; Luo, Rong; Li, Zhangpeng; Wang, Jinqing; Yang, Shengrong</t>
  </si>
  <si>
    <t>Readily self-healing polymers at subzero temperature enabled by dual cooperative crosslink strategy for smart paint</t>
  </si>
  <si>
    <t>CHEMICAL ENGINEERING JOURNAL</t>
  </si>
  <si>
    <t>Supramolecular; Self-healing polymer; Subzero temperature; Dynamic bond; Smart coating</t>
  </si>
  <si>
    <t>ADVANCED ELASTOMER; HOST-GUEST; COMBINATION; NETWORK; DESIGN; MICROCAPSULES; CHEMISTRY; COATINGS; ADHESION; ROBUST</t>
  </si>
  <si>
    <t>Achieving the artificial supramolecular polymer with excellent low temperature self-healing capability has been a new topic of great significance in soft robotic actuators and smart coating. Nevertheless, the production of robust polymer with decent low temperature self-healing ability is severely impeded by its high crosslink density and low dynamic crosslink bond. Here, we report a design strategy that both low crosslink density and high dynamic crosslink bonds are introduced into polyurea networks to achieve a tough and low-temperature healable supramolecular system of polypropyleneglycol (PPG)-polydimethylsiloxane (PDMS)-Zn (abbreviated as PPG-PDMS-Zn). Incorporating the long PPG segments into linear PDMS chains endows the resulting polymer with relatively low crosslink density, allowing fast polymer chains movement to unite fractured surfaces. Moreover, the dynamic characteristics and self-healing capability of the supramolecular network were effectively enhanced by combining the unique dynamic exchange feature of weak Zn-urethane coordination bonds and low temperature inhibition-dissociation effect of hydrogen bonds. As a result, the representative sample of PPG-PDMS-Zn-0.5 polymer displays a robust tensile strength of 0.98 MPa and a high self-healing efficiency of 97% at -20 degrees C, and these features have rarely been achieved in the previously reported materials. With these promising characters, such kind of supramolecular polymers can find wide applications in fields of anti-icing and winter anti-frosting paints, and antarctic pole exploration as well.</t>
  </si>
  <si>
    <t>[Wu, Xianzhang; Luo, Rong; Li, Zhangpeng; Wang, Jinqing; Yang, Shengrong] Chinese Acad Sci, Lanzhou Inst Chem Phys, State Key Lab Solid Lubricat, Lanzhou 730000, Gansu, Peoples R China; [Wu, Xianzhang; Luo, Rong; Li, Zhangpeng; Wang, Jinqing; Yang, Shengrong] Univ Chinese Acad Sci, Ctr Mat Sci &amp; Optoelect Engn, Beijing 100049, Peoples R China</t>
  </si>
  <si>
    <t>Chinese Academy of Sciences; Lanzhou Institute of Chemical Physics, CAS; Chinese Academy of Sciences; University of Chinese Academy of Sciences, CAS</t>
  </si>
  <si>
    <t>Li, ZP; Wang, JQ (corresponding author), Chinese Acad Sci, Lanzhou Inst Chem Phys, State Key Lab Solid Lubricat, Lanzhou 730000, Gansu, Peoples R China.</t>
  </si>
  <si>
    <t>zhangpengli@licp.cas.cn; jqwang@licp.cas.cn</t>
  </si>
  <si>
    <t>LI, Zhangpeng/0000-0001-8509-4875</t>
  </si>
  <si>
    <t>National Natural Science Foundation of China [51675514, 51975562]</t>
  </si>
  <si>
    <t>National Natural Science Foundation of China(National Natural Science Foundation of China (NSFC))</t>
  </si>
  <si>
    <t>We gratefully acknowledge the funding support from the National Natural Science Foundation of China (Grant Nos. 51675514 and 51975562).</t>
  </si>
  <si>
    <t>ELSEVIER SCIENCE SA</t>
  </si>
  <si>
    <t>PO BOX 564, 1001 LAUSANNE, SWITZERLAND</t>
  </si>
  <si>
    <t>1385-8947</t>
  </si>
  <si>
    <t>1873-3212</t>
  </si>
  <si>
    <t>CHEM ENG J</t>
  </si>
  <si>
    <t>Chem. Eng. J.</t>
  </si>
  <si>
    <t>10.1016/j.cej.2020.125593</t>
  </si>
  <si>
    <t>Engineering, Environmental; Engineering, Chemical</t>
  </si>
  <si>
    <t>ND0HJ</t>
  </si>
  <si>
    <t>WOS:000561589200014</t>
  </si>
  <si>
    <t>Johnson, JS; Roberts, SJ; Rood, DH; Pollard, D; Schaefer, JM; Whitehouse, PL; Ireland, LC; Lamp, JL; Goehring, BM; Rand, C; Smith, JA</t>
  </si>
  <si>
    <t>Johnson, Joanne S.; Roberts, Stephen J.; Rood, Dylan H.; Pollard, David; Schaefer, Joerg M.; Whitehouse, Pippa L.; Ireland, Louise C.; Lamp, Jennifer L.; Goehring, Brent M.; Rand, Cari; Smith, James A.</t>
  </si>
  <si>
    <t>Deglaciation of Pope Glacier implies widespread early Holocene ice sheet thinning in the Amundsen Sea sector of Antarctica</t>
  </si>
  <si>
    <t>Holocene; glaciation; Antarctica; Amundsen Sea Embayment; cosmogenic isotopes; geomorphology</t>
  </si>
  <si>
    <t>MARIE-BYRD-LAND; GROUNDING LINE RETREAT; SITU COSMOGENIC C-14; WEST ANTARCTICA; PINE ISLAND; KOHLER GLACIERS; MOUNT MURPHY; CONSTRAINTS; EMBAYMENT; VOLCANO</t>
  </si>
  <si>
    <t>The Amundsen Sea sector of the Antarctic ice sheet presently dominates the contribution from Antarctica to sea level rise. Several large ice streams that currently drain the sector have experienced rapid flow acceleration, grounding line retreat and thinning during the past few decades. However, little is known of their longer-term - millennial-scale - retreat history, despite the reliance of several ice sheet and glacial-isostatic adjustment models on such data for improving sea level prediction from this critical region. This study investigates the timing and extent of surface lowering of one of those ice streams, Pope Glacier, since the Last Glacial Maximum (LGM), using glacial-geological evidence for former ice cover. We present a new deglacial chronology for the glacier, derived from surface exposure dating of glacially-deposited cobbles and ice-scoured bedrock from Mount Murphy and its surrounding peaks. Cosmogenic Be-10 exposure ages from 44 erratic cobbles and 5 bedrock samples, and in situ C-14 exposure ages from one erratic and 8 bedrock samples are predominantly in the range 5.5-16 ka. Although Be-10 inheritance from prior exposure is prevalent in some erratics and probably all bedrock samples, none of the ages predate the LGM. From these results we infer that the surface of Pope Glacier lowered by 560 m during the early- to mid-Holocene (9-6 ka), at an average rate of 0.13 +/- 0.09/0.04 m yr(-1). The lowering coincided with a period of enhanced upwelling of warm Circumpolar Deep Water onto the continental shelf in the region. A reduction in buttressing - facilitated by such upwelling - by an ice shelf that is thought to have spanned the embayment until 10.6 cal kyr BP could have triggered simultaneous early Holocene thinning of Pope Glacier and glaciers elsewhere in the Amundsen Sea Embayment. (C) 2020 The Author(s). Published by Elsevier B.V.</t>
  </si>
  <si>
    <t>[Johnson, Joanne S.; Roberts, Stephen J.; Ireland, Louise C.; Smith, James A.] British Antarctic Survey, Madingley Rd, Cambridge CB3 0ET, England; [Rood, Dylan H.] Imperial Coll London, Dept Earth Sci &amp; Engn, London SW7 2AZ, England; [Pollard, David] Penn State Univ, Earth &amp; Environm Syst Inst, University Pk, PA 16802 USA; [Schaefer, Joerg M.; Lamp, Jennifer L.] Columbia Univ, Lamont Doherty Earth Observ, Route 9W, Palisades, NY 10964 USA; [Whitehouse, Pippa L.] Univ Durham, Dept Geog, Durham, England; [Goehring, Brent M.; Rand, Cari] Tulane Univ, Dept Earth &amp; Environm Sci, New Orleans, LA 70118 USA</t>
  </si>
  <si>
    <t>UK Research &amp; Innovation (UKRI); Natural Environment Research Council (NERC); NERC British Antarctic Survey; Imperial College London; Pennsylvania Commonwealth System of Higher Education (PCSHE); Pennsylvania State University; Pennsylvania State University - University Park; Columbia University; Durham University; Tulane University</t>
  </si>
  <si>
    <t>Johnson, JS (corresponding author), British Antarctic Survey, Madingley Rd, Cambridge CB3 0ET, England.</t>
  </si>
  <si>
    <t>jsj@bas.ac.uk</t>
  </si>
  <si>
    <t>Goehring, Brent/0000-0001-6405-5156; Johnson, Joanne/0000-0003-4537-4447; Roberts, Stephen/0000-0003-3407-9127</t>
  </si>
  <si>
    <t>Natural Environment Research Council (NERC) [NE/K012088/1, NE/K011278/1, NE/M013081/1]; NERC [NE/K011278/1, NE/K012088/1, NE/K009958/1, NE/M013081/1, bas010011, bas0100030] Funding Source: UKRI</t>
  </si>
  <si>
    <t>Natural Environment Research Council (NERC)(UK Research &amp; Innovation (UKRI)Natural Environment Research Council (NERC)); NERC(UK Research &amp; Innovation (UKRI)Natural Environment Research Council (NERC))</t>
  </si>
  <si>
    <t>We are grateful to British Antarctic Survey (BAS) Operations and Air Unit, and all staff at Rothera Research Station who made the fieldwork possible, especially field guides Alistair Docherty and Iain Rudkin whose professionalism and skill in the field were exemplary. John Smellie and Wes LeMasurier kindly provided information on sampling sites around Mt Murphy from their earlier field observations, and Hilary Blagbrough and Laura Gerrish (BAS), Jean Hanley (LDEO), Roseanne Schwartz (LDEO) and Sheng Xu (SUERC) provided technical support. Richard Selwyn Jones (Durham University) advised on data analysis for Fig. 7. The work has benefited from numerous conversations and collaborations with colleagues over the past decade, especially Claus-Dieter Hillenbrand, Richard Hindmarsh, Rob Larter and David Vaughan at BAS, John Smellie (University of Leicester), and Mike Bentley (Durham University). Some of the samples from Kay Peak ridge were collected in 2010 (see Table1) whilst James Smith was on board RV Polarsterncruise ANT-XXVII-3. We acknowledge the support of Natural Environment Research Council (NERC) grants NE/K012088/1, NE/K011278/1 and NE/M013081/1. This work forms part of the British Antarctic Survey `Polar Science for Planet Earth' programme, also funded by NERC. We are grateful for constructive comments from two anonymous reviewers that helped improve the manuscript.</t>
  </si>
  <si>
    <t>10.1016/j.epsl.2020.116501</t>
  </si>
  <si>
    <t>NC6WH</t>
  </si>
  <si>
    <t>WOS:000561357200015</t>
  </si>
  <si>
    <t>Wood, AT; Clark, TD; Elliott, NG; Frappell, PB; Andrewartha, SJ</t>
  </si>
  <si>
    <t>Wood, Andrew T.; Clark, Timothy D.; Elliott, Nicholas G.; Frappell, Peter B.; Andrewartha, Sarah J.</t>
  </si>
  <si>
    <t>The effects of constant and cyclical hypoxia on the survival, growth and metabolic physiology of incubating Atlantic salmon ( Salmo salar )</t>
  </si>
  <si>
    <t>AQUACULTURE</t>
  </si>
  <si>
    <t>ONCORHYNCHUS-MYKISS EMBRYOS; CHAR SALVELINUS-ALPINUS; DISSOLVED-OXYGEN; RESPIRATORY DEVELOPMENT; BOUNDARY-LAYER; YOLK-SAC; AVAILABILITY; PERFORMANCE; EXPOSURE; REGIME</t>
  </si>
  <si>
    <t>[Wood, Andrew T.; Elliott, Nicholas G.] CSIRO, Agr &amp; Food, 3-4 Castray Esplanade, Battery Point, Tas 7004, Australia; [Clark, Timothy D.] Deakin Univ, Sch Life &amp; Environm Sci, Geelong, Vic 3216, Australia; [Elliott, Nicholas G.; Frappell, Peter B.] Univ Tasmania, Inst Marine &amp; Antarctic Studies, 20 Castray Esplanade, Battery Point, Tas, Australia; [Andrewartha, Sarah J.] Univ Tasmania, Tasmanian Inst Agr, Private Bag 98, Hobart, Tas 7001, Australia</t>
  </si>
  <si>
    <t>Commonwealth Scientific &amp; Industrial Research Organisation (CSIRO); Deakin University; University of Tasmania; University of Tasmania</t>
  </si>
  <si>
    <t>Wood, AT (corresponding author), CSIRO, Agr &amp; Food, 3-4 Castray Esplanade, Battery Point, Tas 7004, Australia.</t>
  </si>
  <si>
    <t>Andrew.wood@csiro.au</t>
  </si>
  <si>
    <t>Clark, Timothy/K-7129-2012; Wood, Andrew/A-3837-2014</t>
  </si>
  <si>
    <t>Clark, Timothy/0000-0001-8738-3347; Wood, Andrew/0000-0002-3351-8397</t>
  </si>
  <si>
    <t>Salmon Enterprises of Tasmania Pty Ltd. (SALTAS), Australia</t>
  </si>
  <si>
    <t>This work was financially supported by the Salmon Enterprises of Tasmania Pty Ltd. (SALTAS), Australia.</t>
  </si>
  <si>
    <t>0044-8486</t>
  </si>
  <si>
    <t>1873-5622</t>
  </si>
  <si>
    <t>Aquaculture</t>
  </si>
  <si>
    <t>10.1016/j.aquaculture.2020.735449</t>
  </si>
  <si>
    <t>LX7GJ</t>
  </si>
  <si>
    <t>WOS:000539995500007</t>
  </si>
  <si>
    <t>Andronov, S; Lobanov, A; Popov, A; Luo, Y; Shaduyko, O; Fesyun, A; Lobanova, L; Bogdanova, E; Kobel'kova, I</t>
  </si>
  <si>
    <t>Andronov, Sergey; Lobanov, Andrey; Popov, Andrey; Luo, Ying; Shaduyko, Olga; Fesyun, Anatoliy; Lobanova, Lilia; Bogdanova, Elena; Kobel'kova, Irina</t>
  </si>
  <si>
    <t>Changing diets and traditional lifestyle of Siberian Arctic Indigenous Peoples and effects on health and well-being</t>
  </si>
  <si>
    <t>Arctic seasonality of food consumption; Climate change; Indigenous peoples; Nutrition; Traditional nutrition; Yamal-Nenets Autonomous Okrug</t>
  </si>
  <si>
    <t>The diet of Indigenous Peoples of North-Western Siberia is characterized by a significant proportion of traditional foods. Eating local products provides a ready-made set of macro- and microelements necessary for life in the challenging conditions of the Arctic. Currently, high consumption of traditional foods is typical in the season of fishing or reindeer slaughter, while out of season the consumption of easily digestible carbohydrates increases. Due to climate change, seasonal fishing and traditional migration routes are disrupted and, therefore, the consumption of traditional foods is decreasing. During 5 years of expeditions, we performed a cross-sectional screening of 985 Indigenous People from three districts of the Yamal-Nenets Autonomous Okrug. We analyzed the seasonality of acquisition and consumption of local reindeer and fish products and studied the traditional food storage among 90 Indigenous fishermen and hunters, who exploit cryostorage. As diet affects health, we studied the benefits of local food. The duration of the consumption season is decreasing and therefore the amount of consumption of local food is decreasing as well. This has adverse effects on health with increasing hypertension dissemination. The creation of stocks of fish and reindeer meat in villages and their year-round sale to the population is a necessary step for ensuring the food security and health of the inhabitants in the region.</t>
  </si>
  <si>
    <t>[Andronov, Sergey; Lobanov, Andrey; Fesyun, Anatoliy] Minist Hlth Russia, Natl Med Res Ctr Rehabil &amp; Balneol, 32 Novy Arbat St, Moscow 121099, Russia; [Lobanov, Andrey; Shaduyko, Olga] Tomsk State Univ, 36 Lenina Pr, Tomsk 634050, Russia; [Popov, Andrey; Lobanova, Lilia] Sci Ctr Arctic Res, 20 Republ St, Salekhard 629008, Russia; [Luo, Ying] Guangdong Univ Foreign Studies, Arctic &amp; Antarctic Res Ctr, South China Business Coll, Guangzhou, Peoples R China; [Bogdanova, Elena] Northern Arctic Fed Univ, Inst Humanities, 6 Captain Voronin St, Severodvinsk 164500, Arkhangelsk Reg, Russia; [Kobel'kova, Irina] Fed Res Ctr Nutr Biotechnol &amp; Food Safety, 2-14 Passage Ustinskiy, Moscow 109240, Russia</t>
  </si>
  <si>
    <t>Ministry of Health of the Russian Federation; Tomsk State University; Guangdong University of Foreign Studies; Northern Arctic Federal University; Federal Research Center of Nutrition, Biotechnology &amp; Food Safety</t>
  </si>
  <si>
    <t>Shaduyko, O (corresponding author), Tomsk State Univ, 36 Lenina Pr, Tomsk 634050, Russia.</t>
  </si>
  <si>
    <t>sergius198010@mail.ru; alobanov89@gmail.com; anpopov2007@yandex.ru; luoying777@vip.163.com; dolcezzamia@mail.ru; fad68@yandex.ru; lidiya2809@yandex.ru; elena.bogdanova@gmail.com; irinavit66@mail.ru</t>
  </si>
  <si>
    <t>Bogdanova, Elena/AAY-1394-2021; Bogdanova, Elena/HPE-0080-2023; Kobelkova, Irina/ABD-3448-2020; Andronov, Sergei/G-4977-2016</t>
  </si>
  <si>
    <t>Bogdanova, Elena/0000-0001-9610-4709; Kobelkova, Irina/0000-0002-1237-5147; Andronov, Sergei/0000-0002-5616-5897; Fesyun, Anatoliy/0000-0003-3097-8889</t>
  </si>
  <si>
    <t>Tomsk State University Competitiveness Improvement Programme</t>
  </si>
  <si>
    <t>Andrey Lobanov and Olga Shaduyko (Morozova) are grateful for the support from the Tomsk State University Competitiveness Improvement Programme. They also would like to thank Terry V Callaghan for his valuable ideas and advice. Authors also express their gratitude to the research infrastructure ``System of experimental stations located along the latitudinal gradient'' for fruitful cooperation (http://ckp-rf.ru/usu/586718/; http://www.secnet.online/megaustanovka-ru.html).</t>
  </si>
  <si>
    <t>10.1007/s13280-020-01387-9</t>
  </si>
  <si>
    <t>WE8CK</t>
  </si>
  <si>
    <t>WOS:000577246900003</t>
  </si>
  <si>
    <t>Barbraud, C; Delord, K</t>
  </si>
  <si>
    <t>Barbraud, Christophe; Delord, Karine</t>
  </si>
  <si>
    <t>Selection against immigrants in wild seabird populations</t>
  </si>
  <si>
    <t>ECOLOGY LETTERS</t>
  </si>
  <si>
    <t>Dispersal; fitness; immigrant; seabirds; sex-biased dispersal</t>
  </si>
  <si>
    <t>LIFETIME REPRODUCTIVE SUCCESS; CAPTURE-RECAPTURE; GENE FLOW; DISPERSAL SYNDROMES; ANTARCTIC SEABIRD; TERRE-ADELIE; DYNAMICS; FITNESS; CONSEQUENCES; HERITABILITY</t>
  </si>
  <si>
    <t>Immigration is a major demographic parameter shaping population dynamics and is an important driver of eco-evolutionary patterns, but the fitness consequences for individuals following their settlement to a new population (immigrants) remain poorly tested in wild animal populations, particularly among long-lived species. Here we show that immigrants have a lower fitness than residents in three wild seabird populations (wandering albatrossDiomedea exulans, southern fulmarFulmarus glacialoides, snow petrelPagodroma nivea). Across all species and during a 32-year period, immigrants made on average -9 to 29% fewer breeding attempts, had 5-31% fewer fledglings, had 2-16% lower breeding success and produced 6-46% fewer recruits. Female immigration and male residency were also favored through differences in breeding performance. We provide evidence for selection against immigrants in wild populations of long-lived species and our results are consistent with female-biased dispersal in birds being driven by asymmetric limiting resources and the competitive ability of dispersers vs. non-dispersers.</t>
  </si>
  <si>
    <t>[Barbraud, Christophe; Delord, Karine] CNRS UMR7372, Ctr Etudes Biol Chize, F-79360 Villiers En Bois, France</t>
  </si>
  <si>
    <t>Barbraud, C (corresponding author), CNRS UMR7372, Ctr Etudes Biol Chize, F-79360 Villiers En Bois, France.</t>
  </si>
  <si>
    <t>barbraud@cebc.cnrs.fr</t>
  </si>
  <si>
    <t>Barbraud, Christophe/A-5870-2012</t>
  </si>
  <si>
    <t>Barbraud, Christophe/0000-0003-0146-212X</t>
  </si>
  <si>
    <t>Institut Polaire Francais, Paul-Emile Victor (IPF); Terres Australes et Antarctiques Francaises; Zone Atelier Antarctique et Terres Australes (LTSER France)</t>
  </si>
  <si>
    <t>The authors thank all the fieldworkers who participated in the long-term studies since 1963 as part of the program IPEV 109 Seabirds and marine mammals as sentinels of global changes in the Southern Ocean (PIs H. Weimerskirch, P. Jouventin, J.L. Mougin). The authors thank D. Joubert for data management. Additionally, the authors also thank Y. Cherel and four anonymous reviewers for constructive comments on earlier drafts of the manuscript. Data were collected with the logistical and financial support from Institut Polaire Francais, Paul-Emile Victor (IPF), Terres Australes et Antarctiques Francaises and Zone Atelier Antarctique et Terres Australes (LTSER France).</t>
  </si>
  <si>
    <t>1461-023X</t>
  </si>
  <si>
    <t>1461-0248</t>
  </si>
  <si>
    <t>ECOL LETT</t>
  </si>
  <si>
    <t>Ecol. Lett.</t>
  </si>
  <si>
    <t>10.1111/ele.13624</t>
  </si>
  <si>
    <t>PD5XG</t>
  </si>
  <si>
    <t>WOS:000577672100001</t>
  </si>
  <si>
    <t>Riquelme-Bugueño, R; Pérez-Santos, I; Alegría, N; Vargas, CA; Urbina, MA; Escribano, R</t>
  </si>
  <si>
    <t>Riquelme-Bugueno, Ramiro; Perez-Santos, Ivan; Alegria, Nicolas; Vargas, Cristian A.; Urbina, Mauricio A.; Escribano, Ruben</t>
  </si>
  <si>
    <t>Diel vertical migration into anoxic and high-pCO2 waters: acoustic and net-based krill observations in the Humboldt Current</t>
  </si>
  <si>
    <t>OXYGEN MINIMUM ZONE; OCEAN ACIDIFICATION; EUPHAUSIA-PACIFICA; SCATTERING LAYERS; ANTARCTIC KRILL; CARBONIC-ACID; ZOOPLANKTON; RESPIRATION; HYPOXIA; CHILE</t>
  </si>
  <si>
    <t>A select group of marine organisms can enter the Oxygen Minimum Zones (OMZs) and even anoxic waters, while performing diel vertical migration (DVM). DVM of the euphausiid Euphausia eximia off northern Chile in the spring of 2015 was documented based on acoustic measurements using an echo sounder along with net samplings. Dissolved oxygen (DO) concentrations were obtained using a vertical profiler, and water samples were collected to obtain in situ nitrite (NO2-) concentrations as well as pH(T), total alkalinity (AT), and therefore carbon dioxide partial pressure (pCO(2)) was estimated. Krill were found to migrate up to the surface (0-50 m) during the night and returned to ca. 200-300 m depth during the day, spending between 11 and 14 h at these layers. At the surface, DO and NO2- concentrations were 208 and 0.14 mu M respectively, while pH(T) was 8.04 and 405 mu atm pCO(2). In contrast, at the deeper layers (200-300 m), DO and NO2- were&lt;3 and 6.3 M respectively, with pH(T) 7.53 and 1490 mu atm pCO(2). The pH(T) and high pCO(2) values at depths represent the conditions predicted for open ocean waters in a worst-case global warming scenario by 2150. The acoustic scatter suggested that&gt;60% of the krill swarms enter the OMZ and anoxic waters during the daytime. These frequent migrations suggest that krill can tolerate such extreme conditions associated with anoxic and high-pCO(2) waters. The inferences drawn from the observation of these migrations might have strong implications for the current oceanic carbon pump models, highlighting the need for understanding the molecular and physiological adaptations allowing these migrations.</t>
  </si>
  <si>
    <t>[Riquelme-Bugueno, Ramiro; Urbina, Mauricio A.] Univ Concepcion, Fac Ciencias Nat &amp; Oceanog, Dept Zool, Concepcion, Chile; [Riquelme-Bugueno, Ramiro; Vargas, Cristian A.; Urbina, Mauricio A.; Escribano, Ruben] Univ Concepcion, Inst Milenio Oceanog IMO, Concepcion, Chile; [Perez-Santos, Ivan] Univ Los Lagos, Ctr I Mar, Puerto Montt, Chile; [Perez-Santos, Ivan] Univ Concepcion, COPAS Sur Austral, Concepcion, Chile; [Alegria, Nicolas] Inst Invest Pesquera, Talcahuano, Chile; [Vargas, Cristian A.] Univ Concepcion, Coastal Ecosyst &amp; Global Environm Change Lab, Dept Aquat Syst, ECCA Lab,Fac Environm Sci, Concepcion, Chile; [Vargas, Cristian A.] Univ Concepcion, Ctr Study Multiple Drivers Marine Socioecol Syst, Concepcion, Chile; [Escribano, Ruben] Univ Concepcion, Fac Ciencias Nat &amp; Oceanog, Dept Oceanog, Concepcion, Chile</t>
  </si>
  <si>
    <t>Universidad de Concepcion; Universidad de Concepcion; Universidad de Los Lagos; Universidad de Concepcion; Universidad de Concepcion; Universidad de Concepcion; Universidad de Concepcion</t>
  </si>
  <si>
    <t>Riquelme-Bugueño, R (corresponding author), Univ Concepcion, Fac Ciencias Nat &amp; Oceanog, Dept Zool, Concepcion, Chile.;Riquelme-Bugueño, R (corresponding author), Univ Concepcion, Inst Milenio Oceanog IMO, Concepcion, Chile.</t>
  </si>
  <si>
    <t>rriquelm@udec.cl</t>
  </si>
  <si>
    <t>Riquelme, Ramiro/L-4706-2016</t>
  </si>
  <si>
    <t>Riquelme, Ramiro/0000-0002-2245-6485; Escribano, Ruben/0000-0002-9843-7723; Vargas, Cristian A./0000-0002-1486-3611; A, Mauricio/0000-0001-8040-6147; , Ivan Perez-Santos/0000-0002-0184-1122</t>
  </si>
  <si>
    <t>Agencia Nacional de Investigacion y Desarrollo (ANID) - Millennium Science Initiative Program - Millennium Institute of Oceanography (IMO) [ICN12_019]; FONDECYT [11150914, 1170065]; Millennium Nucleus Center for the Study of Multiple Drivers on Marine Socio-Ecological Systems (MUSELS) -Millennium Science Initiative Program (ANID) [NC120086]</t>
  </si>
  <si>
    <t>Agencia Nacional de Investigacion y Desarrollo (ANID) - Millennium Science Initiative Program - Millennium Institute of Oceanography (IMO); FONDECYT(Comision Nacional de Investigacion Cientifica y Tecnologica (CONICYT)CONICYT FONDECYT); Millennium Nucleus Center for the Study of Multiple Drivers on Marine Socio-Ecological Systems (MUSELS) -Millennium Science Initiative Program (ANID)</t>
  </si>
  <si>
    <t>This work is dedicated in memory of Dr William Thornton Bill Peterson (1942-2017). We are very grateful for his friendship and honour his great contribution to the understanding of the krill biology and ecology. This work was supported by the Agencia Nacional de Investigacion y Desarrollo (ANID) - Millennium Science Initiative Program - Millennium Institute of Oceanography (IMO) ICN12_019. Ship time was provided by the ANID - AUB 150006/12806. Additional support from FONDECYT No 11150914 (RR-B), No 1170065 (CAV) and the Millennium Nucleus Center for the Study of Multiple Drivers on Marine Socio-Ecological Systems (MUSELS) funded by Millennium Science Initiative Program (ANID), NC120086 are also acknowledged.</t>
  </si>
  <si>
    <t>OCT 14</t>
  </si>
  <si>
    <t>10.1038/s41598-020-73702-z</t>
  </si>
  <si>
    <t>OH6DG</t>
  </si>
  <si>
    <t>WOS:000582678400011</t>
  </si>
  <si>
    <t>O'Brien, CL; Huber, M; Thomas, E; Pagani, M; Super, JR; Elder, LE; Hull, PM</t>
  </si>
  <si>
    <t>O'Brien, Charlotte L.; Huber, Matthew; Thomas, Ellen; Pagani, Mark; Super, James R.; Elder, Leanne E.; Hull, Pincelli M.</t>
  </si>
  <si>
    <t>The enigma of Oligocene climate and global surface evolution</t>
  </si>
  <si>
    <t>Eocene-Oligocene; sea surface temperatures; proxy reconstructions; climate models; TEX86</t>
  </si>
  <si>
    <t>ANTARCTIC GLACIATION; ATMOSPHERIC CO2; CALCAREOUS NANNOFOSSILS; CARBON-DIOXIDE; ICE GROWTH; EOCENE; TEMPERATURE; TRANSITION; SOUTHERN; OCEAN</t>
  </si>
  <si>
    <t>Falling atmospheric CO2 levels led to cooling through the Eocene and the expansion of Antarctic ice sheets close to their modern size near the beginning of the Oligocene, a period of poorly documented climate. Here, we present a record of climate evolution across the entire Oligocene (33.9 to 23.0 Ma) based on TEX86 sea surface temperature (SST) estimates from southwestern Atlantic Deep Sea Drilling Project Site 516 (paleolatitude similar to 36 degrees S) and western equatorial Atlantic Ocean Drilling Project Site 929 (paleolatitude similar to 0 degrees), combined with a compilation of existing SST records and climate modeling. In this relatively low CO2 Oligoceneworld (similar to 300 to 700 ppm), warm climates similar to those of the late Eocene continued with only brief interruptions, while the Antarctic ice sheet waxed and waned. SSTs are spatially heterogenous, but generally support late Oligocene warming coincident with declining atmospheric CO2. This Oligocene warmth, especially at high latitudes, belies a simple relationship between climate and atmospheric CO2 and/or ocean gateways, and is only partially explained by current climate models. Although the dominant climate drivers of this enigmatic Oligocene world remain unclear, our results help fill a gap in understanding past Cenozoic climates and the way long-term climate sensitivity responded to varying background climate states.</t>
  </si>
  <si>
    <t>[O'Brien, Charlotte L.; Thomas, Ellen; Pagani, Mark; Super, James R.; Elder, Leanne E.; Hull, Pincelli M.] Yale Univ, Dept Geol &amp; Geophys, New Haven, CT 06511 USA; [O'Brien, Charlotte L.] UCL, UCL Dept Geog, London WC1E 6BT, England; [Huber, Matthew] Purdue Univ, Dept Earth Atmospher &amp; Planetary Sci, W Lafayette, IN 47907 USA; [Thomas, Ellen] Wesleyan Univ, Dept Earth &amp; Environm Sci, Middletown, CT 06459 USA; [Elder, Leanne E.] Univ Colorado, Museum Nat Hist, Boulder, CO 80309 USA</t>
  </si>
  <si>
    <t>Yale University; University of London; University College London; Purdue University System; Purdue University; Wesleyan University; University of Colorado System; University of Colorado Boulder</t>
  </si>
  <si>
    <t>O'Brien, CL (corresponding author), Yale Univ, Dept Geol &amp; Geophys, New Haven, CT 06511 USA.;O'Brien, CL (corresponding author), UCL, UCL Dept Geog, London WC1E 6BT, England.</t>
  </si>
  <si>
    <t>c.l.obrien@ucl.ac.uk; huberm@purdue.edu</t>
  </si>
  <si>
    <t>Huber, Matthew/A-7677-2008; Thomas, Ellen/JVO-1734-2024</t>
  </si>
  <si>
    <t>Huber, Matthew/0000-0002-2771-9977; Thomas, Ellen/0000-0002-7141-9904; Elder, Leanne/0000-0001-5244-9780; O'Brien, Charlotte/0000-0003-3579-144X</t>
  </si>
  <si>
    <t>Yale Institute for Biospheric Studies Donnelley Postdoctoral Environmental Fellowship; NSF [OCE 1602557, 1602905, 1602557]; Directorate For Geosciences; Division Of Ocean Sciences [1602905] Funding Source: National Science Foundation; Directorate For Geosciences; Division Of Ocean Sciences [1602557] Funding Source: National Science Foundation</t>
  </si>
  <si>
    <t>Yale Institute for Biospheric Studies Donnelley Postdoctoral Environmental Fellowship; NSF(National Science Foundation (NSF)); Directorate For Geosciences; Division Of Ocean Sciences(National Science Foundation (NSF)NSF - Directorate for Geosciences (GEO)); Directorate For Geosciences; Division Of Ocean Sciences(National Science Foundation (NSF)NSF - Directorate for Geosciences (GEO))</t>
  </si>
  <si>
    <t>C.L.O. acknowledges the support of a Yale Institute for Biospheric Studies Donnelley Postdoctoral Environmental Fellowship and NSF Award 1602557. This work was funded by an NSF grant to M.P., P.M.H., and M.H. (Awards OCE 1602557 and 1602905). We thank the International Ocean Discovery Program for providing samples for this study. We thank undergraduate laboratory assistants, E. Lazo-Wasem, H. J. Kim, and M. Kumera, for their help with sample preparation and M. Shankle for computing paleorotations using GPlates. We thank P. Markwick for providing late Oligocene paleogeographies and D. Evans, J. Hartman, R. Levy, Z. Lui, J. Plancq, and N. Sheldon for providing paleotemperature data. We thank A. Kennedy-Asser for making the UK model output available and D. Lunt for providing detailed instructions on how to analyze it. We thank D. Hutchinson for making GDFL CM2.1 model results for the late Eocene available. We thank M. Cramwinckel for helpful discussions regarding data handling in Fig. 3, C. Lear for advice regarding estimating Mg/Ca bottom water temperatures, E. Gasson for providing estimates of Oligocene ice volume, D. Colwyn for helpful discussions regarding terrestrial temperature proxy reconstructions, N. Herold and A. Goldner for conducting the initial paleoclimate simulations, and G. Foster for providing inspiration for this work. This manuscript was greatly improved by constructive feedback from the handling editor and four anonymous reviewers.</t>
  </si>
  <si>
    <t>OCT 13</t>
  </si>
  <si>
    <t>10.1073/pnas.2003914117</t>
  </si>
  <si>
    <t>RQ1WW</t>
  </si>
  <si>
    <t>WOS:000642211500003</t>
  </si>
  <si>
    <t>Park, Y; Maffre, P; Goddéris, Y; Macdonald, FA; Anttila, ESC; Swanson-Hysell, NL</t>
  </si>
  <si>
    <t>Park, Yuem; Maffre, Pierre; Godderis, Yves; Macdonald, Francis A.; Anttila, Eliel S. C.; Swanson-Hysell, Nicholas L.</t>
  </si>
  <si>
    <t>Emergence of the Southeast Asian islands as a driver for Neogene cooling</t>
  </si>
  <si>
    <t>silicate weathering; weatherability; arc-continent collision; Neogene cooling; Southeast Asian islands</t>
  </si>
  <si>
    <t>ATMOSPHERIC CARBON-DIOXIDE; WEATHERING RATES; ORGANIC-CARBON; CLIMATE; CO2; SILICATE; SEDIMENTS; MODEL; CYCLE; ICE</t>
  </si>
  <si>
    <t>Steep topography, a tropical climate, and mafic lithologies contribute to efficient chemical weathering and carbon sequestration in the Southeast Asian islands. Ongoing arc-continent collision between the Sunda-Banda arc system and Australia has increased the area of subaerially exposed land in the region since the mid-Miocene. Concurrently, Earth's climate has cooled since the Miocene Climatic Optimum, leading to growth of the Antarctic ice sheet and the onset of Northern Hemisphere glaciation. We seek to evaluate the hypothesis that the emergence of the Southeast Asian islands played a significant role in driving this cooling trend through increasing global weatherability. To do so, we have compiled paleoshoreline data and incorporated them into GEOCLIM, which couples a global climate model to a silicate weathering model with spatially resolved lithology. We find that without the increase in area of the Southeast Asian islands over the Neogene, atmospheric pCO(2) would have been significantly higher than preindustrial values, remaining above the levels necessary for initiating Northern Hemisphere ice sheets.</t>
  </si>
  <si>
    <t>[Park, Yuem; Maffre, Pierre; Swanson-Hysell, Nicholas L.] Univ Calif Berkeley, Dept Earth &amp; Planetary Sci, Berkeley, CA 94720 USA; [Godderis, Yves] Univ Paul Sabatier, Inst Rech Dev, Geosci Environm Toulouse, CNRS, F-31400 Toulouse, France; [Macdonald, Francis A.; Anttila, Eliel S. C.] Univ Calif Santa Barbara, Dept Earth Sci, Santa Barbara, CA 93106 USA</t>
  </si>
  <si>
    <t>University of California System; University of California Berkeley; Centre National de la Recherche Scientifique (CNRS); Universite de Toulouse; Universite Toulouse III - Paul Sabatier; Institut de Recherche pour le Developpement (IRD); University of California System; University of California Santa Barbara</t>
  </si>
  <si>
    <t>Park, Y (corresponding author), Univ Calif Berkeley, Dept Earth &amp; Planetary Sci, Berkeley, CA 94720 USA.</t>
  </si>
  <si>
    <t>yuempark@berkeley.edu</t>
  </si>
  <si>
    <t>Godderis, Yves/0000-0002-6054-614X; Swanson-Hysell, Nicholas/0000-0003-3215-4648; Park, Yuem/0000-0001-5178-6304; Anttila, Eliel/0000-0002-7563-2710</t>
  </si>
  <si>
    <t>France-Berkeley Fund; NSF Frontier Research in Earth Sciences [1926001, 1925990]; Directorate For Geosciences [1926001, 1925990] Funding Source: National Science Foundation; Division Of Earth Sciences [1926001, 1925990] Funding Source: National Science Foundation</t>
  </si>
  <si>
    <t>France-Berkeley Fund; NSF Frontier Research in Earth Sciences; Directorate For Geosciences(National Science Foundation (NSF)NSF - Directorate for Geosciences (GEO)); Division Of Earth Sciences(National Science Foundation (NSF)NSF - Directorate for Geosciences (GEO))</t>
  </si>
  <si>
    <t>Collaborative research between N.L.S.-H. and Y.G. was initially supported by a grant from the France-Berkeley Fund. Project research was supported by NSF Frontier Research in Earth Sciences Grants 1926001 and 1925990. We thank Alec Brenner, Sam Lo Bianco, Mariana Lin, and Judy Pu for their data compilation contributions to the paleoshoreline reconstructions.</t>
  </si>
  <si>
    <t>10.1073/pnas.2011033117</t>
  </si>
  <si>
    <t>Bronze, Green Submitted, Green Published</t>
  </si>
  <si>
    <t>WOS:000642211500005</t>
  </si>
  <si>
    <t>Lebouvier, M; Lambret, P; Garnier, A; Convey, P; Frenot, Y; Vernon, P; Renault, D</t>
  </si>
  <si>
    <t>Lebouvier, Marc; Lambret, Philippe; Garnier, Alexia; Convey, Peter; Frenot, Yves; Vernon, Philippe; Renault, David</t>
  </si>
  <si>
    <t>Spotlight on the invasion of a carabid beetle on an oceanic island over a 105-year period</t>
  </si>
  <si>
    <t>SUB-ANTARCTIC ISLAND; MERIZODUS-SOLEDADINUS; GROUND BEETLE; BIOLOGICAL INVASIONS; SOUTH-GEORGIA; HABITAT FRAGMENTATION; HARMONIA-AXYRIDIS; ECOLOGICAL NICHE; RANGE EXPANSION; SPECIES TRAITS</t>
  </si>
  <si>
    <t>The flightless beetle Merizodus soledadinus, native to the Falkland Islands and southern South America, was introduced to the sub-Antarctic Kerguelen Islands in the early Twentieth Century. Using available literature data, in addition to collecting more than 2000 new survey (presence/absence) records of M. soledadinus over the 1991-2018 period, we confirmed the best estimate of the introduction date of M. soledadinus to the archipelago, and tracked subsequent changes in its abundance and geographical distribution. The range expansion of this flightless insect was initially slow, but has accelerated over the past 2 decades, in parallel with increased local abundance. Human activities may have facilitated further local colonization by M. soledadinus, which is now widespread in the eastern part of the archipelago. This predatory insect is a major threat to the native invertebrate fauna, in particular to the endemic wingless flies Anatalanta aptera and Calycopteryx moseleyi which can be locally eliminated by the beetle. Our distribution data also suggest an accelerating role of climate change in the range expansion of M. soledadinus, with populations now thriving in low altitude habitats. Considering that no control measures, let alone eradication, are practicable, it is essential to limit any further local range expansion of this aggressively invasive insect through human assistance. This study confirms the crucial importance of long term biosurveillance for the detection and monitoring of non-native species and the timely implementation of control measures.</t>
  </si>
  <si>
    <t>[Lebouvier, Marc; Lambret, Philippe; Frenot, Yves; Vernon, Philippe; Renault, David] Univ Rennes 1, CNRS, EcoBio Ecosyst Biodivers Evolut UMR 6553, Batiment 14A,263 Ave Gal Leclerc, F-35042 Rennes, France; [Garnier, Alexia] Reserve Nat Natl Terres Australes Francaises, Rue Gabriel Dejean, F-97410 St Pierre, Ile De La Reuni, France; [Convey, Peter] British Antarctic Survey, Nat Environm Res Council, Madingley Rd, Cambridge CB3 0ET, England; [Renault, David] Inst Univ France IUF, 1 Rue Descartes, F-75231 Paris 05, France</t>
  </si>
  <si>
    <t>Universite de Rennes; Centre National de la Recherche Scientifique (CNRS); UK Research &amp; Innovation (UKRI); Natural Environment Research Council (NERC); NERC British Antarctic Survey</t>
  </si>
  <si>
    <t>Renault, D (corresponding author), Univ Rennes 1, CNRS, EcoBio Ecosyst Biodivers Evolut UMR 6553, Batiment 14A,263 Ave Gal Leclerc, F-35042 Rennes, France.;Renault, D (corresponding author), Inst Univ France IUF, 1 Rue Descartes, F-75231 Paris 05, France.</t>
  </si>
  <si>
    <t>david.renault@univ-rennes1.fr</t>
  </si>
  <si>
    <t>Convey, Peter/AAV-5728-2020</t>
  </si>
  <si>
    <t>Convey, Peter/0000-0001-8497-9903; RENAULT, David/0000-0003-3644-1759; Frenot, Yves/0000-0003-2666-1272</t>
  </si>
  <si>
    <t>French Polar Institute [IPEV 136]; French National Center for Scientific Research (CNRS, Zone Atelier Antarctique et Subantarctique); Agence Nationale de la Recherche (EVINCE) [ANR-07-VULN-004]; NERC; NERC [bas0100036] Funding Source: UKRI</t>
  </si>
  <si>
    <t>French Polar Institute; French National Center for Scientific Research (CNRS, Zone Atelier Antarctique et Subantarctique); Agence Nationale de la Recherche (EVINCE)(Agence Nationale de la Recherche (ANR)); NERC(UK Research &amp; Innovation (UKRI)Natural Environment Research Council (NERC)); NERC(UK Research &amp; Innovation (UKRI)Natural Environment Research Council (NERC))</t>
  </si>
  <si>
    <t>This work was supported by the French Polar Institute (program IPEV 136), the French National Center for Scientific Research (CNRS, Zone Atelier Antarctique et Subantarctique) and the Agence Nationale de la Recherche (ANR-07-VULN-004, EVINCE). P. Convey is supported by NERC core funding to the British Antarctic Survey (BAS) 'Biodiversity, Evolution and Adaptation' Team. The authors are grateful to all those who contributed to data collection in the field. The authors thank B. Chaubet for his help in the creation of illustrations.</t>
  </si>
  <si>
    <t>10.1038/s41598-020-72754-5</t>
  </si>
  <si>
    <t>OH6GU</t>
  </si>
  <si>
    <t>WOS:000582688400017</t>
  </si>
  <si>
    <t>Linsky, JMJ; Wilson, N; Cade, DE; Goldbogen, JA; Johnston, DW; Friedlaender, AS</t>
  </si>
  <si>
    <t>Linsky, Jacob M. J.; Wilson, Nicole; Cade, David E.; Goldbogen, Jeremy A.; Johnston, David W.; Friedlaender, Ari S.</t>
  </si>
  <si>
    <t>The scale of the whale: using video-tag data to evaluate sea-surface ice concentration from the perspective of individual Antarctic minke whales</t>
  </si>
  <si>
    <t>ANIMAL BIOTELEMETRY</t>
  </si>
  <si>
    <t>Antarctic Peninsula; Tag-video; Minke whale; Sea ice; Ice concentration; Biologging</t>
  </si>
  <si>
    <t>Background: Advances in biologging technology allow researchers access to previously unobservable behavioral states and movement patterns of marine animals. To relate behaviors with environmental variables, features must be evaluated at scales relevant to the animal or behavior. Remotely sensed environmental data, collected via satellites, often suffers from the effects of cloud cover and lacks the spatial or temporal resolution to adequately link with individual animal behaviors or behavioral bouts. This study establishes a new method for remotely and continuously quantifying surface ice concentration (SIC) at a scale relevant to individual whales using on-animal tag video data. Results: Motion-sensing and video-recording suction cup tags were deployed on 7 Antarctic minke whales (Balaenoptera bonaerensis) around the Antarctic Peninsula in February and March of 2018. To compare the scale of camera-tag observations with satellite imagery, the area of view was simulated using camera-tag parameters. For expected conditions, we found the visible area maximum to be similar to 100m(2) which indicates that observations occur at an equivalent or finer scale than a single pixel of high-resolution visible spectrum satellite imagery. SIC was classified into one of six bins (0%, 1-20%, 21-40%, 41-60%, 61-80%, 81-100%) by two independent observers for the initial and final surfacing between dives. In the event of a disagreement, a third independent observer was introduced, and the median of the three observer's values was used. Initial results (n=6) show that Antarctic minke whales in the coastal bays of the Antarctic Peninsula spend 52% of their time in open water, and only 15% of their time in water with SIC greater than 20%. Over time, we find significant variation in observed SIC, indicating that Antarctic minke occupy an extremely dynamic environment. Sentinel-2 satellite-based approaches of sea ice assessment were not possible because of persistent cloud cover during the study period. Conclusion: Tag-video offers a means to evaluate ice concentration at spatial and temporal scales relevant to the individual. Combined with information on underwater behavior, our ability to quantify SIC continuously at the scale of the animal will improve upon current remote sensing methods to understand the link between animal behavior and these dynamic environmental variables.</t>
  </si>
  <si>
    <t>[Linsky, Jacob M. J.; Wilson, Nicole; Cade, David E.; Friedlaender, Ari S.] Univ Calif Santa Cruz, Inst Marine Sci, Santa Cruz, CA 95064 USA; [Cade, David E.; Goldbogen, Jeremy A.] Stanford Univ, Hopkins Marine Stn, Pacific Grove, CA 93950 USA; [Johnston, David W.] Duke Univ, Marine Lab, Marine Robot &amp; Remote Sensing Lab, Div Marine Sci &amp; Conservat,Nicholas Sch Environm, Beaufort, NC 28516 USA; Univ Queensland, Brisbane, Qld, Australia</t>
  </si>
  <si>
    <t>University of California System; University of California Santa Cruz; Stanford University; Duke University; University of Queensland</t>
  </si>
  <si>
    <t>Linsky, JMJ (corresponding author), Univ Calif Santa Cruz, Inst Marine Sci, Santa Cruz, CA 95064 USA.</t>
  </si>
  <si>
    <t>j.linsky@uq.edu.au</t>
  </si>
  <si>
    <t>Linsky, Jacob/JXN-2072-2024</t>
  </si>
  <si>
    <t>Linsky, Jacob/0000-0002-2851-8835; Johnston, David/0000-0003-2424-036X; Goldbogen, Jeremy/0000-0002-4170-7294</t>
  </si>
  <si>
    <t>National Science Foundation Office of Polar Programs [OPP-1643877]; World Wildlife Fund</t>
  </si>
  <si>
    <t>National Science Foundation Office of Polar Programs(National Science Foundation (NSF)NSF - Directorate for Geosciences (GEO)); World Wildlife Fund</t>
  </si>
  <si>
    <t>This research was funded by a National Science Foundation Office of Polar Programs grant to ASF, award Number: OPP-1643877. This award provided funds and logistic support for field work and data analysis. Funding was also provided by the World Wildlife Fund as part of an award to ASF to support data analysis.</t>
  </si>
  <si>
    <t>2050-3385</t>
  </si>
  <si>
    <t>ANIM BIOTELEM</t>
  </si>
  <si>
    <t>Anim. Biotelem.</t>
  </si>
  <si>
    <t>OCT 12</t>
  </si>
  <si>
    <t>10.1186/s40317-020-00218-8</t>
  </si>
  <si>
    <t>Biodiversity Conservation; Ecology; Marine &amp; Freshwater Biology</t>
  </si>
  <si>
    <t>Biodiversity &amp; Conservation; Environmental Sciences &amp; Ecology; Marine &amp; Freshwater Biology</t>
  </si>
  <si>
    <t>UQ9UW</t>
  </si>
  <si>
    <t>WOS:000696406400001</t>
  </si>
  <si>
    <t>Bach, LT; Paul, AJ; Boxhammer, T; von der Esch, E; Graco, M; Schulz, KG; Achterberg, E; Aguayo, P; Arístegui, J; Ayón, P; Baños, I; Bernales, A; Boegeholz, AS; Chavez, F; Chavez, G; Chen, SM; Doering, K; Filella, A; Fischer, M; Grasse, P; Haunost, M; Hennke, J; Hernández-Hernández, N; Hopwood, M; Igarza, M; Kalter, V; Kittu, L; Kohnert, P; Ledesma, J; Lieberum, C; Lischka, S; Löscher, C; Ludwig, A; Mendoza, U; Meyer, J; Meyer, J; Minutolo, F; Cortes, JO; Piiparinen, J; Sforna, C; Spilling, K; Sanchez, S; Spisla, C; Sswat, M; Moreira, MZ; Riebesell, U</t>
  </si>
  <si>
    <t>Bach, Lennart Thomas; Paul, Allanah Joy; Boxhammer, Tim; von der Esch, Elisabeth; Graco, Michelle; Schulz, Kai Georg; Achterberg, Eric; Aguayo, Paulina; Aristegui, Javier; Ayon, Patrizia; Banos, Isabel; Bernales, Avy; Boegeholz, Anne Sophie; Chavez, Francisco; Chavez, Gabriela; Chen, Shao-Min; Doering, Kristin; Filella, Alba; Fischer, Martin; Grasse, Patricia; Haunost, Mathias; Hennke, Jan; Hernandez-Hernandez, Nauzet; Hopwood, Mark; Igarza, Maricarmen; Kalter, Verena; Kittu, Leila; Kohnert, Peter; Ledesma, Jesus; Lieberum, Christian; Lischka, Silke; Loscher, Carolin; Ludwig, Andrea; Mendoza, Ursula; Meyer, Jana; Meyer, Judith; Minutolo, Fabrizio; Cortes, Joaquin Ortiz; Piiparinen, Jonna; Sforna, Claudia; Spilling, Kristian; Sanchez, Sonia; Spisla, Carsten; Sswat, Michael; Zavala Moreira, Mabel; Riebesell, Ulf</t>
  </si>
  <si>
    <t>Factors controlling plankton community production, export flux, and particulate matter stoichiometry in the coastal upwelling system off Peru</t>
  </si>
  <si>
    <t>BIOGEOSCIENCES</t>
  </si>
  <si>
    <t>HUMBOLDT CURRENT SYSTEM; ORGANIC-MATTER; TECHNICAL NOTE; TROPICAL PACIFIC; MARINE; OCEAN; SEA; WATERS; IRON; PHYTOPLANKTON</t>
  </si>
  <si>
    <t>Eastern boundary upwelling systems (EBUS) are among the most productive marine ecosystems on Earth. The production of organic material is fueled by upwelling of nutrient-rich deep waters and high incident light at the sea surface. However, biotic and abiotic factors can modify surface production and related biogeochemical processes. Determining these factors is important because EBUS are considered hotspots of climate change, and reliable predictions of their future functioning requires understanding of the mechanisms driving the biogeochemical cycles therein. In this field experiment, we used in situ mesocosms as tools to improve our mechanistic understanding of processes controlling organic matter cycling in the coastal Peruvian upwelling system. Eight mesocosms, each with a volume of similar to 55 m(3), were deployed for 50 d similar to 6 km off Callao (12 degrees S) during austral summer 2017, coinciding with a coastal El Nino phase. After mesocosm deployment, we collected subsurface waters at two different locations in the regional oxygen minimum zone (OMZ) and injected these into four mesocosms (mixing ratio approximate to 1:5 : 1 mesocosm: OMZ water). The focus of this paper is on temporal developments of organic matter production, export, and stoichiometry in the individual mesocosms. The mesocosm phytoplankton communities were initially dominated by diatoms but shifted towards a pronounced dominance of the mixotrophic dinoflagellate (Akashiwo sanguinea) when inorganic nitrogen was exhausted in surface layers. The community shift coincided with a short-term increase in production during the A. sanguinea bloom, which left a pronounced imprint on organic matter C : N : P stoichiometry. However, C, N, and P export fluxes did not increase because A. sanguinea persisted in the water column and did not sink out during the experiment. Accordingly, export fluxes during the study were decoupled from surface production and sustained by the remaining plankton community. Overall, biogeochemical pools and fluxes were surprisingly constant for most of the experiment. We explain this constancy by light limitation through self-shading by phytoplankton and by inorganic nitrogen limitation which constrained phytoplankton growth. Thus, gain and loss processes remained balanced and there were few opportunities for blooms, which represents an event where the system becomes unbalanced. Overall, our mesocosm study revealed some key links between ecological and biogeochemical processes for one of the most economically important regions in the oceans.</t>
  </si>
  <si>
    <t>[Bach, Lennart Thomas] Univ Tasmania, Inst Marine &amp; Antarctic Studies, Hobart, Tas, Australia; [Paul, Allanah Joy; Boxhammer, Tim; Achterberg, Eric; Chen, Shao-Min; Doering, Kristin; Filella, Alba; Grasse, Patricia; Haunost, Mathias; Hennke, Jan; Hopwood, Mark; Kalter, Verena; Kittu, Leila; Kohnert, Peter; Lieberum, Christian; Lischka, Silke; Ludwig, Andrea; Meyer, Jana; Meyer, Judith; Minutolo, Fabrizio; Cortes, Joaquin Ortiz; Sforna, Claudia; Spisla, Carsten; Sswat, Michael; Riebesell, Ulf] GEOMAR Helmholtz Ctr Ocean Res Kiel, Kiel, Germany; [von der Esch, Elisabeth] Tech Univ Munich, Chair Analyt Chem &amp; Water Chem, Inst Hydrochem, Munich, Germany; [Graco, Michelle; Ayon, Patrizia; Bernales, Avy; Ledesma, Jesus; Mendoza, Ursula; Sanchez, Sonia] Inst Mar Peru IMARPE, Direcc Gen Invest Oceanog &amp; Cambio Climat, Callao, Peru; [Schulz, Kai Georg] Southern Cross Univ, Ctr Coastal Biogeochem, Sch Environm Sci &amp; Engn, Lismore, NSW, Australia; [Aguayo, Paulina] Univ Concepcion, Millennium Inst Oceanog IMO, Concepcion, Chile; [Aristegui, Javier; Banos, Isabel; Hernandez-Hernandez, Nauzet] Univ La Palmas de Gran Canaria ULPGC, Inst Oceanog &amp; Cambio Global, IOCAG, Las Palmas Gran Canaria, Spain; [Boegeholz, Anne Sophie; Fischer, Martin] Christian Albrechts Univ Kiel, Inst Gen Microbiol, Dept Biol, Kiel, Germany; [Chavez, Francisco; Chavez, Gabriela] Monterey Bay Aquarium Res Inst, Moss Landing, CA USA; [Chen, Shao-Min; Doering, Kristin] Dalhousie Univ, Dept Earth &amp; Environm Sci, Halifax, NS, Canada; [Grasse, Patricia] German Ctr Integrat Biodivers Res iDiv, Halle, Germany; [Igarza, Maricarmen] Univ Peruana Cayetano Heredia, Programa Maestria Ciencias Mar, Lima, Peru; [Kalter, Verena] Mem Univ Newfoundland, Dept Ocean Sci, Logy Bay, NF, Australia; [Loscher, Carolin] Univ Southern Denmark, Odense, Denmark; [Piiparinen, Jonna; Spilling, Kristian] Finnish Environm Inst, Marine Res Ctr, Helsinki, Finland; [Spilling, Kristian] Univ Agder, Fac Engn &amp; Sci, Kristiansand, Norway; [Zavala Moreira, Mabel] Escuela Super Politecn Litoral, Guayaquil, Ecuador</t>
  </si>
  <si>
    <t>University of Tasmania; Helmholtz Association; GEOMAR Helmholtz Center for Ocean Research Kiel; Technical University of Munich; Instituto del Mar del Peru; Southern Cross University; Universidad de Concepcion; University of Kiel; Monterey Bay Aquarium Research Institute; Dalhousie University; Universidad Peruana Cayetano Heredia; University of Southern Denmark; Finnish Environment Institute; University of Agder; Escuela Superior Politecnica del Litoral</t>
  </si>
  <si>
    <t>Bach, LT (corresponding author), Univ Tasmania, Inst Marine &amp; Antarctic Studies, Hobart, Tas, Australia.</t>
  </si>
  <si>
    <t>lennart.bach@utas.edu.au</t>
  </si>
  <si>
    <t>Grasse, Patricia/AAJ-6483-2020; Hopwood, Mark/E-2187-2019; Arístegui, Javier/D-5833-2013; Hernández-Hernández, Nauzet/ABD-8205-2020; Spilling, Kristian/KEH-0764-2024; Sswat, Michael/B-7944-2019; Doering, Kristin/ABD-4916-2020; Spilling, Kristian/L-7932-2014; Kittu, Leila Richards/JAX-2365-2023; Schulz, Kai/AEZ-9073-2022; Boxhammer, Tim/GLN-6190-2022; Doering, Kristin/AAH-2255-2021; Hernández-Hernández, Nauzet/AAH-5738-2019</t>
  </si>
  <si>
    <t>Grasse, Patricia/0000-0002-1745-4418; Arístegui, Javier/0000-0002-7526-7741; Doering, Kristin/0000-0002-7900-2169; Schulz, Kai/0000-0002-8481-4639; Boxhammer, Tim/0000-0002-9632-5947; Hernández-Hernández, Nauzet/0000-0003-1503-4214; Paul, Allanah/0000-0003-1037-5239; Ortiz, Joaquin/0000-0003-3183-7340; Piiparinen, Jonna/0000-0002-6464-7802; Loscher, Carolin/0000-0002-2044-6849; Kittu, Leila Richards/0000-0002-3986-8179; Bach, Lennart/0000-0003-0202-3671; Banos Ceron, lsabel/0000-0003-3811-6597; Igarza, Maricarmen/0000-0003-0219-1560; Filella Lopez de Lamadrid, Alba/0000-0001-9675-8884</t>
  </si>
  <si>
    <t>Collaborative Research Center Climate-Biogeochemistry Interactions in the Tropical Ocean - German Research Foundation (DFG) [SFB 754]; EU project AQUACOSM; Leibniz Award 2012</t>
  </si>
  <si>
    <t>Collaborative Research Center Climate-Biogeochemistry Interactions in the Tropical Ocean - German Research Foundation (DFG)(German Research Foundation (DFG)); EU project AQUACOSM; Leibniz Award 2012</t>
  </si>
  <si>
    <t>This research has been supported by the Collaborative Research Center SFB 754 Climate-Biogeochemistry Interactions in the Tropical Ocean financed by the German Research Foundation (DFG), the EU project AQUACOSM, and the Leibniz Award 2012 (granted to Ulf Riebesell).</t>
  </si>
  <si>
    <t>1726-4170</t>
  </si>
  <si>
    <t>1726-4189</t>
  </si>
  <si>
    <t>Biogeosciences</t>
  </si>
  <si>
    <t>10.5194/bg-17-4831-2020</t>
  </si>
  <si>
    <t>Ecology; Geosciences, Multidisciplinary</t>
  </si>
  <si>
    <t>Environmental Sciences &amp; Ecology; Geology</t>
  </si>
  <si>
    <t>OE9FE</t>
  </si>
  <si>
    <t>Green Published, Green Accepted, Green Submitted, gold</t>
  </si>
  <si>
    <t>WOS:000580826500001</t>
  </si>
  <si>
    <t>Seifert, M; Rost, B; Trimborn, S; Hauck, J</t>
  </si>
  <si>
    <t>Seifert, Miriam; Rost, Bjoern; Trimborn, Scarlett; Hauck, Judith</t>
  </si>
  <si>
    <t>Meta-analysis of multiple driver effects on marine phytoplankton highlights modulating role ofpCO2</t>
  </si>
  <si>
    <t>additivity; antagonism; environmental drivers; growth rate; interaction effect size; phytoplankton groups; primary production; synergism</t>
  </si>
  <si>
    <t>MICROMONAS-PUSILLA BENEFITS; OCEAN ACIDIFICATION; EMILIANIA-HUXLEYI; SOUTHERN-OCEAN; ELEVATED CO2; 21ST-CENTURY PROJECTIONS; NITROGEN LIMITATION; CARBONATE CHEMISTRY; INCREASED PCO(2); SOLAR-RADIATION</t>
  </si>
  <si>
    <t>Responses of marine primary production to a changing climate are determined by a concert of multiple environmental changes, for example in temperature, light,pCO(2), nutrients, and grazing. To make robust projections of future global marine primary production, it is crucial to understand multiple driver effects on phytoplankton. This meta-analysis quantifies individual and interactive effects of dual driver combinations on marine phytoplankton growth rates. Almost 50% of the single-species laboratory studies were excluded because central data and metadata (growth rates, carbonate system, experimental treatments) were insufficiently reported. The remaining data (42 studies) allowed for the analysis of interactions ofpCO(2)with temperature, light, and nutrients, respectively. Growth rates mostly respond non-additively, whereby the interaction with increasedpCO(2)profusely dampens growth-enhancing effects of high temperature and high light. Multiple and single driver effects on coccolithophores differ from other phytoplankton groups, especially in their high sensitivity to increasingpCO(2). Polar species decrease their growth rate in response to highpCO(2), while temperate and tropical species benefit under these conditions. Based on the observed interactions and projected changes, we anticipate primary productivity to: (a) first increase but eventually decrease in the Arctic Ocean once nutrient limitation outweighs the benefits of higher light availability; (b) decrease in the tropics and mid-latitudes due to intensifying nutrient limitation, possibly amplified by elevatedpCO(2); and (c) increase in the Southern Ocean in view of higher nutrient availability and synergistic interaction with increasingpCO(2). Growth-enhancing effect of high light and warming to coccolithophores, mainlyEmiliania huxleyi, might increase their relative abundance as long as not offset by acidification. Dinoflagellates are expected to increase their relative abundance due to their positive growth response to increasingpCO(2)and light levels. Our analysis reveals gaps in the knowledge on multiple driver responses and provides recommendations for future work on phytoplankton.</t>
  </si>
  <si>
    <t>[Seifert, Miriam; Rost, Bjoern; Trimborn, Scarlett; Hauck, Judith] Helmholtz Zentrum Polar &amp; Meeresforsch, Alfred Wegener Inst, Handelshafen 12, D-27570 Bremerhaven, Germany; [Rost, Bjoern; Trimborn, Scarlett] Univ Bremen, Bremen, Germany</t>
  </si>
  <si>
    <t>Helmholtz Association; Alfred Wegener Institute, Helmholtz Centre for Polar &amp; Marine Research; University of Bremen</t>
  </si>
  <si>
    <t>Seifert, M (corresponding author), Helmholtz Zentrum Polar &amp; Meeresforsch, Alfred Wegener Inst, Handelshafen 12, D-27570 Bremerhaven, Germany.</t>
  </si>
  <si>
    <t>miriam.seifert@awi.de</t>
  </si>
  <si>
    <t>Seifert, Miriam/HMV-6080-2023; Trimborn, Scarlett/AAM-1061-2021; Hauck, Judith/AAC-3967-2019; Rost, Bjoern/B-4447-2015</t>
  </si>
  <si>
    <t>Trimborn, Scarlett/0000-0003-1434-9927; Hauck, Judith/0000-0003-4723-9652; Rost, Bjoern/0000-0001-5452-5505; Seifert, Miriam/0000-0002-2570-5475</t>
  </si>
  <si>
    <t>Initiative and Networking Fund of the Helmholtz Association (Helmholtz Young Investigator Group Marine Carbon and Ecosystem Feedbacks in the Earth System (MarESys)) [VHNG-1301]; Initiative and Networking Fund of the Helmholtz Association (Helmholtz Young Investigator Group Role of trace metals in Antarctic phytoplankton ecology (EcoTrace)) [VH-NG-901]; Initiative and Networking Fund of the Helmholtz Association (Project Advanced Earth System Modelling Capacity (ESM))</t>
  </si>
  <si>
    <t>Initiative and Networking Fund of the Helmholtz Association (Helmholtz Young Investigator Group Marine Carbon and Ecosystem Feedbacks in the Earth System (MarESys)); Initiative and Networking Fund of the Helmholtz Association (Helmholtz Young Investigator Group Role of trace metals in Antarctic phytoplankton ecology (EcoTrace)); Initiative and Networking Fund of the Helmholtz Association (Project Advanced Earth System Modelling Capacity (ESM))</t>
  </si>
  <si>
    <t>Initiative and Networking Fund of the Helmholtz Association (Helmholtz Young Investigator Group Marine Carbon and Ecosystem Feedbacks in the Earth System (MarESys)), Grant/Award Number: VHNG-1301; Initiative and Networking Fund of the Helmholtz Association (Helmholtz Young Investigator Group Role of trace metals in Antarctic phytoplankton ecology (EcoTrace)), Grant/Award Number: VH-NG-901; Initiative and Networking Fund of the Helmholtz Association (Project Advanced Earth System Modelling Capacity (ESM))</t>
  </si>
  <si>
    <t>10.1111/gcb.15341</t>
  </si>
  <si>
    <t>OT9QK</t>
  </si>
  <si>
    <t>WOS:000579412800001</t>
  </si>
  <si>
    <t>Perkins, NR; Prall, M; Chakraborty, A; White, JW; Baskett, ML; Morgan, SG</t>
  </si>
  <si>
    <t>Perkins, Nicholas R.; Prall, Michael; Chakraborty, Avishek; White, J. Wilson; Baskett, Marissa L.; Morgan, Steven G.</t>
  </si>
  <si>
    <t>Quantifying the statistical power of monitoring programs for marine protected areas</t>
  </si>
  <si>
    <t>ECOLOGICAL APPLICATIONS</t>
  </si>
  <si>
    <t>integral projection model; monitoring design; remotely operated vehicle; simulation; spatial point process</t>
  </si>
  <si>
    <t>CALIFORNIA; RESERVE; FISH; CONNECTIVITY; POPULATIONS; ASSEMBLAGE; MODEL</t>
  </si>
  <si>
    <t>Marine Protected Areas (MPAs) are increasingly established globally as a spatial management tool to aid in conservation and fisheries management objectives. Assessing whether MPAs are having the desired effects on populations requires effective monitoring programs. A cornerstone of an effective monitoring program is an assessment of the statistical power of sampling designs to detect changes when they occur. We present a novel approach to power assessment that combines spatial point process models, integral projection models (IPMs) and sampling simulations to assess the power of different sample designs across a network of MPAs. We focus on the use of remotely operated vehicle (ROV) video cameras as the sampling method, though the results could be extended to other sampling methods. We use empirical data from baseline surveys of an example indicator fish species across three MPAs in California, USA as a case study. Spatial models simulated time series of spatial distributions across sites that accounted for the effects of environmental covariates, while IPMs simulated expected trends over time in abundances and sizes of fish. We tested the power of different levels of sampling effort (i.e., the number of 500-m ROV transects) and temporal replication (every 1-3 yr) to detect expected post-MPA changes in fish abundance and biomass. We found that changes in biomass are detectable earlier than changes in abundance. We also found that detectability of MPA effects was higher in sites with higher initial densities. Increasing the sampling effort had a greater effect than increasing sampling frequency on the time taken to achieve high power. High power was best achieved by combining data from multiple sites. Our approach provides a powerful tool to explore the interaction between sampling effort, spatial distributions, population dynamics, and metrics for detecting change in previously fished populations.</t>
  </si>
  <si>
    <t>[Perkins, Nicholas R.] Univ Calif Davis, Coastal &amp; Marine Sci Inst, Davis, CA 95616 USA; [Perkins, Nicholas R.; Prall, Michael] Calif Dept Fish &amp; Wildlife, Marine Reg, Eureka, CA 95501 USA; [Perkins, Nicholas R.] Univ Tasmania, Inst Marine &amp; Antarctic Studies, Taroona, Tas 7053, Australia; [Chakraborty, Avishek] Univ Arkansas, Dept Math Sci, Fayetteville, AR 72701 USA; [White, J. Wilson] Oregon State Univ, Dept Fisheries &amp; Wildlife, Coastal Oregon Marine Expt Stn, Newport, OR 97365 USA; [Baskett, Marissa L.; Morgan, Steven G.] Univ Calif Davis, Dept Environm Sci &amp; Policy, Davis, CA 95616 USA</t>
  </si>
  <si>
    <t>University of California System; University of California Davis; University of Tasmania; University of Arkansas System; University of Arkansas Fayetteville; Oregon State University; University of California System; University of California Davis</t>
  </si>
  <si>
    <t>Perkins, NR (corresponding author), Univ Calif Davis, Coastal &amp; Marine Sci Inst, Davis, CA 95616 USA.;Perkins, NR (corresponding author), Calif Dept Fish &amp; Wildlife, Marine Reg, Eureka, CA 95501 USA.;Perkins, NR (corresponding author), Univ Tasmania, Inst Marine &amp; Antarctic Studies, Taroona, Tas 7053, Australia.</t>
  </si>
  <si>
    <t>Nicholas.Perkins@utas.edu.au</t>
  </si>
  <si>
    <t>Baskett, Marissa L./P-1762-2014; Morgan, Steven G/GXG-5459-2022</t>
  </si>
  <si>
    <t>Baskett, Marissa L./0000-0001-6102-1110; Perkins, Nicholas/0000-0002-1328-2321; White, J. Wilson/0000-0003-3242-2454</t>
  </si>
  <si>
    <t>California Ocean Protection Council; National Science Foundation [OCE-1909303]</t>
  </si>
  <si>
    <t>California Ocean Protection Council; National Science Foundation(National Science Foundation (NSF))</t>
  </si>
  <si>
    <t>We thank Shauna Oh, Cyndi Dawson, and Becky Ota for implementing a collaboration between U.C. Davis and California Department of Fish and Wildlife and for providing guidance on the utility of this work for management. We thank Katherine Kaplan and Lauren Yamane and the California Department of Fish and Wildlife MPA Management Project team, Stephen Wertz, Adam Frimodig, Michael Prall, Amanda Van Diggelen, Paulo Serpa, Elizabeth Pope, and Sara Worden for conversations and feedback throughout the development of this project. We thank U.C. Davis mentors Louis Botsford and Alan Hastings for feedback and discussion during the course of the project. We thank the team at Marine Applied Research and Exploration (MARE), in particular Dirk Rosen, Andy Lauermann and Heidi Lovig for data collection, discussions and feedback during the project. We thank the California Ocean Protection Council and the National Science Foundation (OCE-1909303) for funding this work. Two anonymous reviewers provided helpful comments that improved the manuscript.</t>
  </si>
  <si>
    <t>1051-0761</t>
  </si>
  <si>
    <t>1939-5582</t>
  </si>
  <si>
    <t>ECOL APPL</t>
  </si>
  <si>
    <t>Ecol. Appl.</t>
  </si>
  <si>
    <t>10.1002/eap.2215</t>
  </si>
  <si>
    <t>Ecology; Environmental Sciences</t>
  </si>
  <si>
    <t>PW0IT</t>
  </si>
  <si>
    <t>WOS:000578611800001</t>
  </si>
  <si>
    <t>Hidalgo-Ruz, V; Luna-Jorquera, G; Eriksen, M; Frick, H; Miranda-Urbina, D; Portflitt-Toro, M; Rivadeneira, MM; Robertson, CJR; Scofield, RP; Serratosa, J; Suazo, CG; Thiel, M</t>
  </si>
  <si>
    <t>Hidalgo-Ruz, Valeria; Luna-Jorquera, Guillermo; Eriksen, Marcus; Frick, Hanna; Miranda-Urbina, Diego; Portflitt-Toro, Matias; Rivadeneira, Marcelo M.; Robertson, Christopher J. R.; Scofield, R. Paul; Serratosa, Juan; Suazo, Cristian G.; Thiel, Martin</t>
  </si>
  <si>
    <t>Factors (type, colour, density, and shape) determining the removal of marine plastic debris by seabirds from the South Pacific Ocean: Is there a pattern?</t>
  </si>
  <si>
    <t>AQUATIC CONSERVATION-MARINE AND FRESHWATER ECOSYSTEMS</t>
  </si>
  <si>
    <t>buoyancy; marine plastics; plastic colour; plastic shape; specific density</t>
  </si>
  <si>
    <t>FLESH-FOOTED SHEARWATERS; PERSISTENT ORGANIC POLLUTANTS; BOOBY SULA-LEUCOGASTER; GREAT-BARRIER-REEF; NESTING MATERIAL; PROCELLARIIFORM SEABIRDS; ANTHROPOGENIC DEBRIS; PUFFINUS-CARNEIPES; TAILED SHEARWATERS; TROPICAL PACIFIC</t>
  </si>
  <si>
    <t>While floating near the sea surface plastic debris interacts with a number of external factors, including many different organisms. Seabirds have the most extensive documented history of interactions with plastics, through ingestion, entanglement, and nest construction. In the present study, eight seabird species from the South Pacific Ocean were used as a proxy to determine potential patterns of removal of marine plastic debris, and three hypotheses were tested in relation to their feeding habits and nesting areas. Plastics from abiotic compartments (Chilean continental coast, South Pacific Gyre, and Rapa Nui beaches) and biotic compartments (surface-feeding seabirds, diving seabirds, and nesting areas) were compared, according to their type, colour, shape, and density. Continental beaches had a relatively wide range of colours and shapes, with many non-buoyant plastics. Samples from the South Pacific Gyre (SPG) and Rapa Nui (Easter Island) beaches comprised mainly hard, rounded, buoyant, and white/grey plastics. These results indicate that the composition of floating plastics from terrestrial sources changes during transport with oceanic currents, reducing the proportion of prey-like plastics present in the subtropical gyres. The stomach contents of surface-feeding and diving seabirds were dominated by hard, white/grey, and round plastic items, similar to plastics from the SPG, suggesting non-selective (accidental or secondary) ingestion. Nesting areas had a more variable composition of brightly coloured plastics, suggesting a pattern of selective removal of plastics by seabirds, probably from oceanic sources. The present study reveals extensive interactions of seabirds with plastics on a broader scale, which is highly relevant given that the impacts of plastics on seabirds are increasing worldwide, compromising their efficient conservation.</t>
  </si>
  <si>
    <t>[Hidalgo-Ruz, Valeria; Luna-Jorquera, Guillermo; Portflitt-Toro, Matias; Rivadeneira, Marcelo M.; Serratosa, Juan; Thiel, Martin] Univ Catolica Norte, Fac Ciencias Mar, Coquimbo 1281, Chile; [Hidalgo-Ruz, Valeria; Luna-Jorquera, Guillermo; Portflitt-Toro, Matias; Serratosa, Juan; Thiel, Martin] Univ Catolica Norte, Dept Biol Marina, Millennium Nucleus Ecol &amp; Sustainable Management, Coquimbo, Chile; [Hidalgo-Ruz, Valeria] Colegio San Adrian Quilicura, Santiago, Chile; [Luna-Jorquera, Guillermo; Rivadeneira, Marcelo M.; Thiel, Martin] Ctr Estudios Avanzados Zonas Aridas CEAZA, Coquimbo, Chile; [Eriksen, Marcus] 5 Gyres Inst, Los Angeles, CA USA; [Frick, Hanna] FiBL, Dept Soil Sci, Frick, Switzerland; [Miranda-Urbina, Diego] Univ Talca, Inst Ciencias Biol, Talca, Chile; [Rivadeneira, Marcelo M.] Univ La Serena, Dept Biol, La Serena, Chile; [Scofield, R. Paul] Canterbury Museum, Christchurch, New Zealand; [Suazo, Cristian G.] Justus Liebig Univ Giessen, Dept Anim Ecol &amp; Systemat, Giessen, Germany</t>
  </si>
  <si>
    <t>Universidad Catolica del Norte; Universidad Catolica del Norte; Universidad de La Serena; Justus Liebig University Giessen</t>
  </si>
  <si>
    <t>Thiel, M (corresponding author), Univ Catolica Norte, Fac Ciencias Mar, Coquimbo 1281, Chile.</t>
  </si>
  <si>
    <t>thiel@ucn.cl</t>
  </si>
  <si>
    <t>Serratosa, Juan/KDO-0236-2024; Luna-Jorquera, Guillermo/B-4350-2010; Frick, Hanna/HTS-0978-2023; Rivadeneira, Marcelo Michel/HNS-9408-2023</t>
  </si>
  <si>
    <t>Frick, Hanna/0000-0003-0097-203X; Rivadeneira, Marcelo Michel/0000-0002-1681-416X; Portflitt-Toro, Matias/0000-0001-7850-0628; Hidalgo-Ruz, Valeria/0000-0002-8356-1422; Serratosa, Juan/0000-0001-9980-919X; Suazo, Cristian/0000-0003-3336-3660; Guillermo, Luna-Jorquera/0000-0003-4274-7025</t>
  </si>
  <si>
    <t>MSc fellowship (Beca CONICYT-PCHA/Magister Nacional) [2013-2014/22130661]; Chilean Millennium Scientific Initiative (ESMOI), Chile; New Zealand Department of Conservation; Wild Press Ltd; New Zealand Ministry of Primary Industries; Armada de Chile (Chilean Navy, 3th Naval Zone); crew onboard the Australis</t>
  </si>
  <si>
    <t>MSc fellowship (Beca CONICYT-PCHA/Magister Nacional); Chilean Millennium Scientific Initiative (ESMOI), Chile; New Zealand Department of Conservation; Wild Press Ltd; New Zealand Ministry of Primary Industries; Armada de Chile (Chilean Navy, 3th Naval Zone); crew onboard the Australis</t>
  </si>
  <si>
    <t>We wish to thank all participants of the citizen science programme Cientificos de la Basura of Universidad Catolica del Norte (Chile) for collecting the small plastic debris for the present study. We also thank Camila Gallardo Pena and Katharina Herzog for their valuable help during specific density analyses, and Andre-Philippe Drapeau Picard, Angelika Graiff, and Yumiko Osawa for their help during colour characterization analyses. VHR was supported by an MSc fellowship (Beca CONICYT-PCHA/Magister Nacional 2013-2014/22130661). Additional support was received through the Chilean Millennium Scientific Initiative (ESMOI), Chile. Work on the Chatham Islands was funded by the New Zealand Department of Conservation, Wild Press Ltd, and the New Zealand Ministry of Primary Industries. Work in Diego Ramirez Islands was supported by Armada de Chile (Chilean Navy, 3th Naval Zone), Ben Wallis and the crew onboard the Australis, and Graham Robertson (Australian Antarctic Division). Constructive comments from the editor and the reviewers helped to substantially improve the original version of this article.</t>
  </si>
  <si>
    <t>1052-7613</t>
  </si>
  <si>
    <t>1099-0755</t>
  </si>
  <si>
    <t>AQUAT CONSERV</t>
  </si>
  <si>
    <t>Aquat. Conserv.-Mar. Freshw. Ecosyst.</t>
  </si>
  <si>
    <t>10.1002/aqc.3453</t>
  </si>
  <si>
    <t>Environmental Sciences; Marine &amp; Freshwater Biology; Water Resources</t>
  </si>
  <si>
    <t>Environmental Sciences &amp; Ecology; Marine &amp; Freshwater Biology; Water Resources</t>
  </si>
  <si>
    <t>QM1XB</t>
  </si>
  <si>
    <t>WOS:000576732800001</t>
  </si>
  <si>
    <t>Dickson, CR; Baker, DJ; Bergstrom, DM; Brookes, RH; Whinam, J; McGeoch, MA</t>
  </si>
  <si>
    <t>Dickson, Catherine R.; Baker, David J.; Bergstrom, Dana M.; Brookes, Rowan H.; Whinam, Jennie; McGeoch, Melodie A.</t>
  </si>
  <si>
    <t>Widespread dieback in a foundation species on a sub-Antarctic World Heritage Island: Fine-scale patterns and likely drivers</t>
  </si>
  <si>
    <t>AUSTRAL ECOLOGY</t>
  </si>
  <si>
    <t>Azorella; climate change; microclimate; pathogen; sub-Antarctic</t>
  </si>
  <si>
    <t>CLIMATE-CHANGE; ECOSYSTEM; POPULATIONS; PATHOGENS; COLLAPSE; IMPACTS</t>
  </si>
  <si>
    <t>Under anthropogenic climate change, emerging diseases and pathogens are increasingly prevalent in high latitude and altitude regions that were previously protected by cold winter temperatures. Ongoing island-wide dieback of a foundation species, the cushion plantAzorella macquariensis, on World Heritage listed Macquarie Island provides the first sub-Antarctic example. To better understand the island-wide progression of cushion dieback and its drivers, we established and quantified plant condition classes and measured microclimate across 62 sites. We then tested whether the drivers of cushion dieback were associated with (i) water stress: represented by vapour pressure deficit, wind exposure and gravel content, (ii) pathogen virulence: using freezing days and extreme humidity as empirically supported surrogates, or (iii) both. There was a strong north-south progression in cushion condition, with dieback most active in the centre of the island and advanced in the north. Dieback was most extensive at sites with fewer freezing days and high humidity. Natural southern refugia were explained by the significantly colder temperatures, associated with a north-south temperature gradient. It is expected that under current climate change trajectories, where Macquarie is likely to continue to become warmer and wetter, cushion dieback will remain pervasive, expanding most slowly in the south and potentially outpacing recovery. We emphasise the need for increased awareness to prevent the establishment of pathogens into and across the landscapes of newly susceptible high latitude and altitude regions. Areas of high conservation significance need to be prioritised for management, to prevent further landscape-scale change under current climate trajectories.</t>
  </si>
  <si>
    <t>[Dickson, Catherine R.; Baker, David J.; McGeoch, Melodie A.] Monash Univ, Sch Biol Sci, Clayton, Vic 3800, Australia; [Bergstrom, Dana M.] Australian Antarctic Div, Dept Agr Water &amp; Environm, Kingston, Tas, Australia; [Brookes, Rowan H.] Univ Melbourne, Melbourne Sch Profess &amp; Continuing Educ, Melbourne, Vic, Australia; [Whinam, Jennie] Univ Tasmania, Sch Geog &amp; Spatial Sci, Hobart, Tas, Australia</t>
  </si>
  <si>
    <t>Monash University; Australian Antarctic Division; Melbourne Genomics Health Alliance; University of Melbourne; University of Tasmania</t>
  </si>
  <si>
    <t>Dickson, CR (corresponding author), Monash Univ, Sch Biol Sci, Clayton, Vic 3800, Australia.</t>
  </si>
  <si>
    <t>cath.dickson@monash.edu</t>
  </si>
  <si>
    <t>Bergstrom, Dana/AAC-2837-2022; Dickson, Catherine/J-5698-2016; McGeoch, Melodie/F-8353-2011</t>
  </si>
  <si>
    <t>Bergstrom, Dana/0000-0001-8484-8954; Dickson, Catherine/0000-0002-9701-346X; Whinam, Jennie/0000-0002-1050-6289; McGeoch, Melodie/0000-0003-3388-2241; Baker, David/0000-0002-0466-8222</t>
  </si>
  <si>
    <t>Australian Government; Australian Antarctic Science Program Grant [4312]; Australian Government Research Training Program (RTP) Scholarship; Holsworth Wildlife Research Endowment; Ecological Society of Australia; Denis and Maisie Carr Award</t>
  </si>
  <si>
    <t>Australian Government(Australian Government); Australian Antarctic Science Program Grant; Australian Government Research Training Program (RTP) Scholarship(Australian GovernmentDepartment of Industry, Innovation and Science); Holsworth Wildlife Research Endowment; Ecological Society of Australia; Denis and Maisie Carr Award</t>
  </si>
  <si>
    <t>We thank Dr Patricia Selkirk and Dr Grant Duffy for constructive discussions about the manuscript, and John Burgess and Rowena Hannaford for assistance with field work. We thank the handling editor and reviewers for their comments on the manuscript. This study was funded by an Australian Government, Australian Antarctic Science Program Grant (#4312) and an Australian Government Research Training Program (RTP) Scholarship, the Holsworth Wildlife Research Endowment and The Ecological Society of Australia, and the Denis and Maisie Carr Award.</t>
  </si>
  <si>
    <t>1442-9985</t>
  </si>
  <si>
    <t>1442-9993</t>
  </si>
  <si>
    <t>AUSTRAL ECOL</t>
  </si>
  <si>
    <t>Austral Ecol.</t>
  </si>
  <si>
    <t>10.1111/aec.12958</t>
  </si>
  <si>
    <t>PV4BK</t>
  </si>
  <si>
    <t>WOS:000578643500001</t>
  </si>
  <si>
    <t>Duan, M; Ashford, JR; Bestley, S; Wei, XY; Walters, A; Zhu, GP</t>
  </si>
  <si>
    <t>Duan, Mi; Ashford, Julian R.; Bestley, Sophie; Wei, Xiaoying; Walters, Andrea; Zhu, Guoping</t>
  </si>
  <si>
    <t>Otolith chemistry ofElectrona antarcticasuggests a potential population marker distinguishing the southern Kerguelen Plateau from the eastward-flowing Antarctic Circumpolar Current</t>
  </si>
  <si>
    <t>LIMNOLOGY AND OCEANOGRAPHY</t>
  </si>
  <si>
    <t>LIFE-HISTORY CONNECTIVITY; ELECTRONA-ANTARCTICA; CONTINENTAL-SLOPE; PELAGIC FISHES; TRACE-ELEMENTS; WATER MASSES; BROKE-WEST; BAY-REGION; CIRCULATION; SHELF</t>
  </si>
  <si>
    <t>Large submarine plateaus impede the eastward flow of the deep-reaching Antarctic Circumpolar Current (ACC), and at the southern Kerguelen Plateau (SKP), the ACC flow is steered north through the Fawn Trough and south through the Princess Elizabeth Trough. During the Kerguelen Axis study, a regional-scale ecosystem survey, oceanographic sampling showed the ACC water properties west of the SKP to be distinct from those over the SKP.Electrona antarctica, a dominant mesopelagic fish species, is associated with Circumpolar Deep Water transported by the ACC, and modified versions that occur over and downstream from the SKP including along the Antarctic continental slope. Here, otolith chemistry from samples ofE. antarcticacollected during the survey were used to test a biophysical hypothesis predicting structuring and movement between populations along zonal flow in the ACC. In chemistry deposited during early life in the otolith nuclei, the relationship between MgCa(-1)and SrCa(-1)showed complete separation between fish collected over the SKP and within the ACC proper, indicating population differentiation. Chemistry from the otolith edges, deposited during the period leading up to capture, showed significantly higher concentrations of MgCa(-1)over the SKP, likely related to differences in feeding and reproduction. Fish with nucleus chemistry characteristic of the SKP were also found in samples caught further east, suggesting they were transported along the ACC downstream, and southward toward the Antarctic continent within the Australian-Antarctic Gyre.</t>
  </si>
  <si>
    <t>[Duan, Mi; Wei, Xiaoying; Zhu, Guoping] Shanghai Ocean Univ, Coll Marine Sci, Shanghai, Peoples R China; [Duan, Mi; Wei, Xiaoying; Zhu, Guoping] Shanghai Ocean Univ, Ctr Polar Res, Shanghai, Peoples R China; [Duan, Mi; Wei, Xiaoying; Zhu, Guoping] Minist Educ, Key Lab Sustainable Exploitat Ocean Fisheries Res, Polar Marine Ecosyst Grp, Shanghai, Peoples R China; [Ashford, Julian R.] Old Dominion Univ, Ctr Quantitat Fisheries Ecol, Norfolk, VA USA; [Bestley, Sophie; Walters, Andrea] Univ Tasmania, Inst Marine &amp; Antarct Studies, Hobart, Tas, Australia; [Zhu, Guoping] Natl Engn Res Ctr Ocean Fisheries, Shanghai, Peoples R China</t>
  </si>
  <si>
    <t>Shanghai Ocean University; Shanghai Ocean University; Old Dominion University; University of Tasmania; National Engineering Research Center for Oceanic Fisheries</t>
  </si>
  <si>
    <t>Zhu, GP (corresponding author), Shanghai Ocean Univ, Coll Marine Sci, Shanghai, Peoples R China.;Zhu, GP (corresponding author), Shanghai Ocean Univ, Ctr Polar Res, Shanghai, Peoples R China.;Zhu, GP (corresponding author), Minist Educ, Key Lab Sustainable Exploitat Ocean Fisheries Res, Polar Marine Ecosyst Grp, Shanghai, Peoples R China.;Zhu, GP (corresponding author), Natl Engn Res Ctr Ocean Fisheries, Shanghai, Peoples R China.</t>
  </si>
  <si>
    <t>gpzhu@shou.edu.cn</t>
  </si>
  <si>
    <t>Bestley, Sophie/AAN-2483-2021; ZHU, Guo-ping/D-1002-2010</t>
  </si>
  <si>
    <t>Bestley, Sophie/0000-0001-9342-669X; Walters, Andrea/0000-0002-7166-5689; Zhu, Guoping/0000-0001-6081-7811</t>
  </si>
  <si>
    <t>National Science Foundation of China [41776185]; China's National Key Research and Development Project [2018YFC1406801]; Australian Government under the Australian Antarctic Science program (AAS) [4344]; Australia Research Council's Special Research Initiative for Antarctic Gateway Partnership [SR140300001]; DECRA [DE180100828]; Chinese-Australian Young Scientist Exchange Program of China Association for Science and Technology (Cooperative Research in Antarctic Ecosystem) [2020ZZGJB060926]</t>
  </si>
  <si>
    <t>National Science Foundation of China(National Natural Science Foundation of China (NSFC)); China's National Key Research and Development Project; Australian Government under the Australian Antarctic Science program (AAS); Australia Research Council's Special Research Initiative for Antarctic Gateway Partnership; DECRA; Chinese-Australian Young Scientist Exchange Program of China Association for Science and Technology (Cooperative Research in Antarctic Ecosystem)</t>
  </si>
  <si>
    <t>We thank the Science Technical Support Team of the Australian Antarctic Division and the master and crew of the Aurora Australis for their considerable efforts to make this work happen. We are thankful to Rowan Trebilco and Dale Maschette on the Kerguelen Axis fish sampling team, as well as Brad Collins, Mick Stapleton, and Danny Phillips for their great assistance with the onboard sampling. Trebilco also provided helpful comments to improve an earlier version of the paper. Our thanks also go to the chief scientist of this cruise, Andrew Constable, for his invitation to participate. We thank Hui Liu to for help producing Fig. 1. This project was supported by the National Science Foundation of China (grant number 41776185 to GPZ), China's National Key Research and Development Project (grant number 2018YFC1406801 to GPZ), Chinese-Australian Young Scientist Exchange Program of China Association for Science and Technology (Cooperative Research in Antarctic Ecosystem, grant number 2020ZZGJB060926), and the Australian Government under the Australian Antarctic Science program (AAS Grant 4344). SB and AW were supported under the Australia Research Council's Special Research Initiative for Antarctic Gateway Partnership (Project ID SR140300001). SB also received support under DECRA award DE180100828.</t>
  </si>
  <si>
    <t>0024-3590</t>
  </si>
  <si>
    <t>1939-5590</t>
  </si>
  <si>
    <t>LIMNOL OCEANOGR</t>
  </si>
  <si>
    <t>Limnol. Oceanogr.</t>
  </si>
  <si>
    <t>10.1002/lno.11612</t>
  </si>
  <si>
    <t>Limnology; Oceanography</t>
  </si>
  <si>
    <t>QI1WY</t>
  </si>
  <si>
    <t>WOS:000578425100001</t>
  </si>
  <si>
    <t>Liu, MX; Baker, SC; Burridge, CP; Jordan, GJ; Clarke, LJ</t>
  </si>
  <si>
    <t>Liu, Mingxin; Baker, Susan C.; Burridge, Christopher P.; Jordan, Gregory J.; Clarke, Laurence J.</t>
  </si>
  <si>
    <t>DNAmetabarcoding captures subtle differences in forest beetle communities following disturbance</t>
  </si>
  <si>
    <t>RESTORATION ECOLOGY</t>
  </si>
  <si>
    <t>biodiversity monitoring; Coleoptera; cytochromecoxidase subunit I (COI); forest restoration; high-throughput sequencing; metabarcoding</t>
  </si>
  <si>
    <t>RESTORATION; BIODIVERSITY; PRESERVATION; ARTHROPODS; SUCCESSION; INDICATORS; RETENTION; RECOVERY; PLANT; PCR</t>
  </si>
  <si>
    <t>DNA metabarcoding is an emerging approach for monitoring biodiversity, but uncertainties remain about its capacity to detect subtle differences in invertebrate community composition comparable to those achievable based on conventional morphological identification. In this study, DNA metabarcoding and morphology-based approaches were compared as tools for investigating whether logging history impacted beetle communities in Tasmanian wet eucalypt forests. We compared 12 unlogged mature forest sites with 12 neighboring regeneration sites that had been logged approximately 55 years previously. The number of species identified based on morphology (173) was close to the number of zero-radius operational taxonomic units (ZOTUs) identified by DNA metabarcoding of cytochromecoxidase subunit I (COI, 176) and 16S ribosomal RNA (16S, 156) markers. Subtle but significant differences in beetle species composition between regeneration and unlogged mature forests were captured by both morphology-based and COI DNA metabarcoding approaches, but not by 16S DNA metabarcoding. Our results support the suitability of mitochondrial COI for studying invertebrate biodiversity. A slight loss of signal compared to the morphology-based approach may be resolved by developing more comprehensive DNA reference databases. While confirming forest recovery of 48-58 years did not fully restore mature forest beetle communities, we suggest that DNA metabarcoding can be used for monitoring biodiversity and probing subtle differences in community composition.</t>
  </si>
  <si>
    <t>[Liu, Mingxin; Baker, Susan C.; Burridge, Christopher P.; Jordan, Gregory J.] Univ Tasmania, Sch Nat Sci, Private Bag 55, Hobart, Tas 7001, Australia; [Liu, Mingxin; Baker, Susan C.] Univ Tasmania, ARC Ctr Forest Value, Hobart, Tas 7001, Australia; [Clarke, Laurence J.] Univ Tasmania, Antarctic Climate &amp; Ecosyst Cooperat Res Ctr, Hobart, Tas 7001, Australia; [Clarke, Laurence J.] Univ Tasmania, Inst Marine &amp; Antarctic Studies, Hobart, Tas 7001, Australia</t>
  </si>
  <si>
    <t>University of Tasmania; University of Tasmania; University of Tasmania; Antarctic Climate &amp; Ecosystems Cooperative Research Centre (ACE CRC); University of Tasmania</t>
  </si>
  <si>
    <t>Liu, MX (corresponding author), Univ Tasmania, Sch Nat Sci, Private Bag 55, Hobart, Tas 7001, Australia.;Liu, MX (corresponding author), Univ Tasmania, ARC Ctr Forest Value, Hobart, Tas 7001, Australia.</t>
  </si>
  <si>
    <t>mingxin.liu@utas.edu.au</t>
  </si>
  <si>
    <t>Jordan, Gregory/B-3932-2013; Liu, Mingxin/L-2073-2019; Baker, Susan/O-8482-2019; Burridge, Chris/L-4392-2019; LIU, Mingxin/C-6848-2013; Clarke, Laurence/N-3579-2017; Burridge, Christopher/J-2653-2012</t>
  </si>
  <si>
    <t>Jordan, Gregory/0000-0002-6033-2766; Liu, Mingxin/0000-0003-0436-4058; Baker, Susan/0000-0002-7593-0267; LIU, Mingxin/0000-0003-0436-4058; Clarke, Laurence/0000-0002-0844-4453; Burridge, Christopher/0000-0002-8185-6091</t>
  </si>
  <si>
    <t>Australian Research Council [LP140100075]; Sustainable Timber Tasmania and VicForests; Forest Practices Authority; China Scholarship Council (CSC) [201608360109]; Australian Research Council [LP140100075] Funding Source: Australian Research Council</t>
  </si>
  <si>
    <t>Australian Research Council(Australian Research Council); Sustainable Timber Tasmania and VicForests; Forest Practices Authority; China Scholarship Council (CSC)(China Scholarship Council); Australian Research Council(Australian Research Council)</t>
  </si>
  <si>
    <t>This project was funded by the Australian Research Council Linkage Grant (LP140100075) with partner organizations Sustainable Timber Tasmania and VicForests, a Holsworth Wildlife Research Endowment for fieldwork, and a student research grant for laboratory work from the Forest Practices Authority. M.L. was also supported by the China Scholarship Council (CSC No. 201608360109). This research was also supported by use of the Nectar Research Cloud, a collaborative Australian research platform supported by the National Collaborative Research Infrastructure Strategy (NCRIS). We thank Lynne Forster (UTAS) for assistance with beetle identification; Floriaan Devloo-Delva (CSIRO) for helping with HTS sample library preparation; James Marthick (Menzies Research Institute, UTAS) for facilitating use of the Illumina MiSeq sequencer; Sam Wood (UTAS) for helping with field site selection; Marie Yee, Rob Musk, and other staff at Sustainable Timber Tasmania for access to study sites, GIS data, and logistical support; Tim Wardlaw and Simon Grove for their advice; and volunteers who helped with the fieldwork. We also thank two anonymous reviewers and the editor for providing very helpful and thoughtful comments, which have greatly improved the manuscript.</t>
  </si>
  <si>
    <t>1061-2971</t>
  </si>
  <si>
    <t>1526-100X</t>
  </si>
  <si>
    <t>RESTOR ECOL</t>
  </si>
  <si>
    <t>Restor. Ecol.</t>
  </si>
  <si>
    <t>10.1111/rec.13236</t>
  </si>
  <si>
    <t>OV4FZ</t>
  </si>
  <si>
    <t>WOS:000578486200001</t>
  </si>
  <si>
    <t>Horton, AA; Barnes, DKA</t>
  </si>
  <si>
    <t>Horton, Alice A.; Barnes, David K. A.</t>
  </si>
  <si>
    <t>Microplastic pollution in a rapidly changing world: Implications for remote and vulnerable marine ecosystems</t>
  </si>
  <si>
    <t>Plastic; Anthropogenic contaminants; Multi-stress; Polar; Antarctica; Deep sea</t>
  </si>
  <si>
    <t>DEEP-SEA FLOOR; FRESH-WATER; POLYSTYRENE MICROPLASTICS; OXIDATIVE STRESS; OCEAN ACIDIFICATION; ANTARCTIC MARINE; RESEARCH STATION; ACCUMULATION; BIODIVERSITY; SENSITIVITY</t>
  </si>
  <si>
    <t>Ecosystems in remote regions tend to be highly specific, having historically evolved over long timescales in relatively constant environmental conditions, with little human influence. Such regions are amongst those most physically altering and biologically threatened by global climate change. In addition, they are increasingly receiving anthropogenic pollution. Microplastic pollution has now been found in these most remote places on earth, far from most human activities. Microplastics can induce complex and wide-ranging physical and chemical effects but little to date is known of their long-term biological impacts. In combination with climate-induced stress, microplastics may lead to enhanced multi-stress impacts, potentially affecting the health and resilience of species and ecosystems. While species in historically populated areas have had some opportunity to adapt to mounting human influence over centuries and millennia, the relatively rapid intensification of widespread anthropogenic activities in recent decades has provided species in previously 'untouched' regions little such opportunities. The characteristics of remote ecosystems and the species therein suggest that they could be more sensitive to the combined effects of microplastic pollution, global physical change and other stressois than elsewhere. Here we discuss how species and ecosystems within two remote yet contrasting regions, coastal Antarctica and the deep sea, might be especially vulnerable to harm from microplastic pollution in the context of a rapidly changing environment. (C) 2020 The Authors. Published by Elsevier B.V.</t>
  </si>
  <si>
    <t>[Horton, Alice A.] Natl Oceanog Ctr, European Way, Southampton SO14 3ZH, Hants, England; [Barnes, David K. A.] NERC, British Antarctic Survey, Madingley Rd, Cambridge CB3 0ET, England</t>
  </si>
  <si>
    <t>NERC National Oceanography Centre; University of Southampton; UK Research &amp; Innovation (UKRI); Natural Environment Research Council (NERC); NERC British Antarctic Survey</t>
  </si>
  <si>
    <t>Horton, AA (corresponding author), Natl Oceanog Ctr, European Way, Southampton SO14 3ZH, Hants, England.</t>
  </si>
  <si>
    <t>alihort@noc.ac.uk</t>
  </si>
  <si>
    <t>Horton, Alice/C-9919-2017; Horton, Alice/JAN-9619-2023</t>
  </si>
  <si>
    <t>Horton, Alice/0000-0001-6058-6048;</t>
  </si>
  <si>
    <t>UK Natural Environment Research Council (NERC) [NE/R015953/1]; NERC [noc010009, bas0100036, NE/R015953/1] Funding Source: UKRI</t>
  </si>
  <si>
    <t>UK Natural Environment Research Council (NERC)(UK Research &amp; Innovation (UKRI)Natural Environment Research Council (NERC)); NERC(UK Research &amp; Innovation (UKRI)Natural Environment Research Council (NERC))</t>
  </si>
  <si>
    <t>This study is a contribution to the Climate Linked Atlantic Section Science (CLASS) programme, grant number NE/R015953/1, supported by UK Natural Environment Research Council (NERC) National Capability funding to the National Oceanography Centre.</t>
  </si>
  <si>
    <t>OCT 10</t>
  </si>
  <si>
    <t>10.1016/j.scitotenv.2020.140349</t>
  </si>
  <si>
    <t>MZ4IJ</t>
  </si>
  <si>
    <t>WOS:000559085400006</t>
  </si>
  <si>
    <t>Flies, EJ; Clarke, LJ; Brook, BW; Jones, P</t>
  </si>
  <si>
    <t>Flies, Emily J.; Clarke, Laurence J.; Brook, Barry W.; Jones, Penelope</t>
  </si>
  <si>
    <t>Urbanisation reduces the abundance and diversity of airborne microbes - but what does that mean for our health? A systematic review</t>
  </si>
  <si>
    <t>Health; Bioaerosol; Aerial microbiome; Exposure; Biodiversity; Microbial</t>
  </si>
  <si>
    <t>BACTERIAL COMMUNITIES; OUTDOOR AIR; URBAN; PREVALENCE; ASTHMA; VARIABILITY; EXPOSURE; FUNGI; ATOPY; SENSITIZATION</t>
  </si>
  <si>
    <t>Over half of people live in cities and while urban environments offer myriad social, cultural and economic benefits, they alter the microbial communities to which people are exposed: with potentially important but underexplored health impacts. In particular, higher rates of asthma and allergies in urban areas have been linked to urban-altered microbial communities - induding aerial microbial communities. To date, however, there has been no synthesis of the disparate literature on the impacts of urbanisation on aerial microbial communities, making it difficult to ascertain potential health impacts. We fill this knowledge gap by systematically examining studies that compare the characteristics (e.g. microbial abundance/diversity) and/or health effects of airborne fungal and bacterial communities (hereafter referred to as 'aerobiomes') across urban and rural locations. We included 19 studies, with 31 distinct urban-rural comparisons, in our analysis. We found that rural aerobiomes more often have a greater abundance of microbes (57% of studies). Aerobiome diversity was under-reported but when comparisons were made, rural aerobiome diversity was often higher (67%). Only two studies experimentally examined the impact of urban and rural aerobiomes on human health outcomes; both found rural aerobiomes shifted immune function away from allergic (Th2-type) responses. Overall, we conclude that significant gaps remain in our understanding of how urbanisation impacts aerobiomes and the health implications of those changes. We highlight the need to standardise methods and make aerobiome data open access to facilitate cross-study comparisons. Further mechanistic studies are urgently needed to examine the impact of aerobiome composition on immune function to demonstrate how urban-driven changes to the aerobiome impact human health - ultimately farilitating the development of healthier cities. (C) 2020 Elsevier B.V. All rights reserved.</t>
  </si>
  <si>
    <t>[Flies, Emily J.; Brook, Barry W.] Univ Tasmania, Sch Nat Sci, Private Bag 55, Hobart, Tas 7008, Australia; [Clarke, Laurence J.] Univ Tasmania, Antarctic Climate &amp; Ecosyst Cooperat Res Ctr, Hobart, Tas, Australia; [Clarke, Laurence J.] Univ Tasmania, Inst Marine &amp; Antarctic Studies, Hobart, Tas, Australia; [Brook, Barry W.] ARC Ctr Excellence Australian Biodivers &amp; Heritag, Sydney, NSW, Australia; [Jones, Penelope] Univ Tasmania, Menzies Inst Med Res, Hobart, Tas, Australia</t>
  </si>
  <si>
    <t>University of Tasmania; University of Tasmania; Antarctic Climate &amp; Ecosystems Cooperative Research Centre (ACE CRC); University of Tasmania; University of Tasmania; Menzies Institute for Medical Research</t>
  </si>
  <si>
    <t>Flies, EJ (corresponding author), Univ Tasmania, Sch Nat Sci, Private Bag 55, Hobart, Tas 7008, Australia.</t>
  </si>
  <si>
    <t>Emily.Flies@Utas.edu.au</t>
  </si>
  <si>
    <t>Brook, Barry/G-2686-2011; Flies, Emily J./F-4686-2013; Clarke, Laurence/N-3579-2017</t>
  </si>
  <si>
    <t>Brook, Barry/0000-0002-2491-1517; Flies, Emily J./0000-0002-1013-0330; Jones, Penelope/0000-0002-4880-6711; Clarke, Laurence/0000-0002-0844-4453</t>
  </si>
  <si>
    <t>Australian Research Council [FL160100101]</t>
  </si>
  <si>
    <t>This work was funded by Australian Research Council grant FL160100101. We wish to thank Dr. Jessie Buettel for her constructive comments on an early draft of this article and Dr. Andrew Flies for his feedback and support through the development of the article.</t>
  </si>
  <si>
    <t>10.1016/j.scitotenv.2020.140337</t>
  </si>
  <si>
    <t>WOS:000559085400007</t>
  </si>
  <si>
    <t>Kurek, K; Gewartowska, O; Tolkacz, K; Jedrzejewska, B; Myslajek, RW</t>
  </si>
  <si>
    <t>Kurek, Korneliusz; Gewartowska, Olga; Tolkacz, Katarzyna; Jedrzejewska, Bogumila; Myslajek, Robert W.</t>
  </si>
  <si>
    <t>Home range size, habitat selection and roost use by the whiskered bat (Myotis mystacinus) in human-dominated montane landscapes</t>
  </si>
  <si>
    <t>PLOS ONE</t>
  </si>
  <si>
    <t>BEHAVIOR; ECOLOGY; MOUNTAINS; FIDELITY; FORESTS; FEMALE; POLAND; APART; FOOD; KUHL</t>
  </si>
  <si>
    <t>Our understanding of animal adaptations to human pressure is limited by the focus on rare taxa, despite that common species are more significant in shaping structure, function and service provision of ecosystems. Thus better understanding of their ecology and behavioural adjustments is central for drafting conservation actions. In this study, we used radio-telemetry on 21 individuals (10 females, 11 males) to provide data on spatial ecology, habitat selection and use of roosts of one of the commonest species, the whiskered bat (Myotis mystacinus), inhabiting the Carpathian Mountains (southern Poland). We tested, whether this species prefers natural over human-modified landscapes to seek prey and roosts. Mean home range size of the whiskered bat in the Carpathian Mountains was 26.3 ha (SE +/- 3.2, Local Convex Hull) and 110 ha (SE +/- 22.1, Minimum Convex Polygon with all locations), and included between one and three patches, among which bats moved along linear environmental features, such as scrubby banks of streams or lines of trees. During foraging whiskered bats selected small woodlands within agricultural landscapes, avoided large mountain forests and open areas, and used built-up areas proportionally to their availability. Whiskered bats occupied roosts located mainly in buildings (&gt;97%), at an average altitude of 547.9 m above sea level (SE +/- 8.3). Roosts were used for 5.4 days, on average. Our study shows that whiskered bats adapted well to the mosaic of semi-natural and anthropogenic habitats. It highlights the importance of buildings serving as roosts and small woodlands used as foraging areas in human-dominated montane landscapes.</t>
  </si>
  <si>
    <t>[Kurek, Korneliusz; Gewartowska, Olga; Myslajek, Robert W.] Univ Warsaw, Fac Biol, Biol &amp; Chem Res Ctr, Inst Funct Biol &amp; Ecol,Dept Ecol, Warsaw, Poland; [Tolkacz, Katarzyna] Polish Acad Sci, Inst Biochem &amp; Biophys, Dept Antarctic Biol, Warsaw, Poland; [Jedrzejewska, Bogumila] Polish Acad Sci, Mammal Res Inst, Bialowieza, Poland</t>
  </si>
  <si>
    <t>University of Warsaw; Polish Academy of Sciences; Institute of Biochemistry &amp; Biophysics - Polish Academy of Sciences; Polish Academy of Sciences; Mammal Research Institute of the Polish Academy of Sciences</t>
  </si>
  <si>
    <t>Myslajek, RW (corresponding author), Univ Warsaw, Fac Biol, Biol &amp; Chem Res Ctr, Inst Funct Biol &amp; Ecol,Dept Ecol, Warsaw, Poland.</t>
  </si>
  <si>
    <t>robert.myslajek@biol.uw.edu.pl</t>
  </si>
  <si>
    <t>Mysłajek, Robert W./AAD-9569-2022</t>
  </si>
  <si>
    <t>Mysłajek, Robert W./0000-0001-9619-2868; Tolkacz, Katarzyna/0000-0002-8578-3870; Gewartowska, Olga/0000-0003-2623-0309; Jedrzejewska, Bogumila/0000-0002-9652-0953</t>
  </si>
  <si>
    <t>PUBLIC LIBRARY SCIENCE</t>
  </si>
  <si>
    <t>1160 BATTERY STREET, STE 100, SAN FRANCISCO, CA 94111 USA</t>
  </si>
  <si>
    <t>1932-6203</t>
  </si>
  <si>
    <t>PLoS One</t>
  </si>
  <si>
    <t>OCT 9</t>
  </si>
  <si>
    <t>e0237243</t>
  </si>
  <si>
    <t>10.1371/journal.pone.0237243</t>
  </si>
  <si>
    <t>OG3WA</t>
  </si>
  <si>
    <t>WOS:000581817500047</t>
  </si>
  <si>
    <t>Ling, SD; Cornwall, CE; Tilbrook, B; Hurd, CL</t>
  </si>
  <si>
    <t>Ling, Scott D.; Cornwall, Christopher E.; Tilbrook, Bronte; Hurd, Catriona L.</t>
  </si>
  <si>
    <t>Remnant kelp bed refugia and future phase-shifts under ocean acidification</t>
  </si>
  <si>
    <t>HABITAT-FORMING SEAWEEDS; MARINE; PH; MACROALGAE; VARIABILITY; DIVERSITY; RESPONSES; ECOSYSTEM</t>
  </si>
  <si>
    <t>Ocean warming, ocean acidification and overfishing are major threats to the structure and function of marine ecosystems. Driven by increasing anthropogenic emissions of CO2, ocean warming is leading to global redistribution of marine biota and altered ecosystem dynamics, while ocean acidification threatens the ability of calcifying marine organisms to form skeletons due to decline in saturation state of carbonate omega and pH. In Tasmania, the interaction between overfishing of sea urchin predators and rapid ocean warming has caused a phase-shift from productive kelp beds to overgrazed sea urchin barren grounds, however potential impacts of ocean acidification on this system have not been considered despite this threat for marine ecosystems globally. Here we use automated loggers and point measures of pH, spanning kelp beds and barren grounds, to reveal that kelp beds have the capacity to locally ameliorate effects of ocean acidification, via photosynthetic drawdown of CO2, compared to unvegetated barren grounds. Based on meta-analysis of anticipated declines in physiological performance of grazing urchins to decreasing pH and assumptions of nil adaptation, future projection of OA across kelp-barrens transition zones reveals that kelp beds could act as important pH refugia, with urchins potentially becoming increasingly challenged at distances &gt;40 m from kelp beds. Using spatially explicit simulation of physicochemical feedbacks between grazing urchins and their kelp prey, we show a stable mosaicked expression of kelp patches to emerge on barren grounds. Depending on the adaptative capacity of sea urchins, future declines in pH appear poised to further alter phase-shift dynamics for reef communities; thus, assessing change in spatial-patterning of reef-scapes may indicate cascading ecological impacts of ocean acidification.</t>
  </si>
  <si>
    <t>[Ling, Scott D.; Cornwall, Christopher E.; Hurd, Catriona L.] Univ Tasmania, Inst Marine &amp; Antarctic Studies, Hobart, Tas, Australia; [Cornwall, Christopher E.] Victoria Univ Wellington, Sch Biol Sci, Wellington, New Zealand; [Tilbrook, Bronte] CSIRO Oceans &amp; Atmosphere, Hobart, Tas, Australia; [Tilbrook, Bronte] Univ Tasmania, Antarctic Climate &amp; Ecosyst Cooperat Res Ctr, Hobart, Tas, Australia</t>
  </si>
  <si>
    <t>University of Tasmania; Victoria University Wellington; Commonwealth Scientific &amp; Industrial Research Organisation (CSIRO); Antarctic Climate &amp; Ecosystems Cooperative Research Centre (ACE CRC); University of Tasmania</t>
  </si>
  <si>
    <t>Ling, SD (corresponding author), Univ Tasmania, Inst Marine &amp; Antarctic Studies, Hobart, Tas, Australia.</t>
  </si>
  <si>
    <t>Scott.Ling@utas.edu.au</t>
  </si>
  <si>
    <t>Cornwall, Christopher Edward/J-3982-2012; Tilbrook, Bronte/A-1522-2012; Ling, Scott/J-7161-2014; Hurd, Catriona/J-2411-2013</t>
  </si>
  <si>
    <t>Cornwall, Christopher Edward/0000-0002-6154-4082; Ling, Scott/0000-0002-5544-8174; Hurd, Catriona/0000-0001-9965-4917</t>
  </si>
  <si>
    <t>Australian Research Council; IMAS Postdoctoral Fellowship by the Royal Society of New Zealand Te Aparangi [RDFVUW1701]; Rutherford Discovery Fellowship by the Royal Society of New Zealand Te Aparangi [RDFVUW1701]</t>
  </si>
  <si>
    <t>Australian Research Council(Australian Research Council); IMAS Postdoctoral Fellowship by the Royal Society of New Zealand Te Aparangi(Royal Society of New Zealand); Rutherford Discovery Fellowship by the Royal Society of New Zealand Te Aparangi(Royal Society of New Zealand)</t>
  </si>
  <si>
    <t>S. D. Ling was supported by Australian Research Council funds. C. E. Cornwall was supported by an IMAS Postdoctoral Fellowship and a Rutherford Discovery Fellowship by the Royal Society of New Zealand Te Aparangi (RDFVUW1701).</t>
  </si>
  <si>
    <t>e0239136</t>
  </si>
  <si>
    <t>10.1371/journal.pone.0239136</t>
  </si>
  <si>
    <t>WOS:000581817500034</t>
  </si>
  <si>
    <t>Ooi, MC; Goulden, EF; Trotter, AJ; Smith, GG; Bridle, AR</t>
  </si>
  <si>
    <t>Ooi, Mei C.; Goulden, Evan F.; Trotter, Andrew J.; Smith, Gregory G.; Bridle, Andrew R.</t>
  </si>
  <si>
    <t>Aquimarinasp. Associated With a Cuticular Disease of Cultured Larval Palinurid and Scyllarid Lobsters</t>
  </si>
  <si>
    <t>white leg disease; Aquimarinasp; Koch's postulates; cultured lobster; Palinurid larvae; Scyllarid larvae</t>
  </si>
  <si>
    <t>EPIZOOTIC SHELL DISEASE; PACIFIC WHITE SHRIMP; SP NOV.; HOMARUS-AMERICANUS; EMENDED DESCRIPTION; MYTILUS-CORUSCUS; GUT MICROFLORA; IDENTIFICATION; DIVERSITY; DYSBIOSIS</t>
  </si>
  <si>
    <t>Shell (cuticular) disease manifests in various forms and affects many crustaceans, including lobsters. Outbreaks of white leg disease (WLD) with distinct signs of pereiopod tissue whitening and death have been observed in cultured larvae (phyllosomas) of ornate spiny lobsterPanulirus ornatus, eastern rock lobsterSagmariasus verreauxi, and slipper lobsterThenus australiensis. This study aimed to characterise and identify the causative agent of WLD through morphological and molecular (16S rRNA gene and whole genome sequencing) analysis, experimental infection of damaged/undamagedP. ornatusandT. australiensisphyllosomas, and bacterial community analysis (16S rRNA gene amplicon sequencing) ofP. ornatusphyllosomas presenting with WLD during an outbreak. Bacterial communities of WLD-affected pereiopods showed low bacterial diversity and dominant abundance ofAquimarinaspp. compared to healthy pereiopods, which were more diverse and enriched withSulfitobacterspp. 16S rRNA gene Sanger sequencing of cultures from disease outbreaks identified the dominant bacterial isolate (TRL1) as a Gram-negative, long non-flagellated rod with 100% sequence identity toAquimarina hainanensis.Aquimarinasp. TRL1 was demonstrated through comparative genome analysis (99.99% OrthoANIu) as the bacterium reisolated from experimentally infected phyllosomas presenting with typical signs of WLD. Pereiopod damage was a major predisposing factor to WLD. Histopathological examination of WLD-affected pereiopods showed masses of internalised bacteria and loss of structural integrity, suggesting thatAquimarinasp. TRL1 could enter the circulatory system and cause death by septicaemia.Aquimarinasp. TRL1 appears to have important genomic traits (e.g., tissue-degrading enzymes, gliding motility, and aggregate-promoting factors) implicated in the pathogenicity of this bacterium. We have shown thatAquimarinasp. TRL1 is the aetiological agent of WLD in cultured Palinurid and Scyllarid phyllosomas and that damaged pereiopods are a predisposing factor to WLD.</t>
  </si>
  <si>
    <t>[Ooi, Mei C.; Goulden, Evan F.; Trotter, Andrew J.; Smith, Gregory G.; Bridle, Andrew R.] Univ Tasmania, Inst Marine &amp; Antarctic Studies, Hobart, Tas, Australia; [Goulden, Evan F.] Bribie Isl Res Ctr, Dept Agr &amp; Fisheries, Woorim, Qld, Australia</t>
  </si>
  <si>
    <t>University of Tasmania; Queensland Department of Agriculture &amp; Fisheries</t>
  </si>
  <si>
    <t>Ooi, MC (corresponding author), Univ Tasmania, Inst Marine &amp; Antarctic Studies, Hobart, Tas, Australia.</t>
  </si>
  <si>
    <t>mei.ooi@utas.edu.au</t>
  </si>
  <si>
    <t>Bridle, Andrew R/B-4117-2013; Goulden, Evan/H-9691-2014; Mei-Chen, Ooi/F-5436-2015; Smith, Gregory/C-9263-2013</t>
  </si>
  <si>
    <t>Bridle, Andrew/0000-0002-5788-1297; Goulden, Evan/0000-0003-3991-5403; Mei-Chen, Ooi/0000-0002-8703-8460; Smith, Gregory/0000-0002-8677-1230</t>
  </si>
  <si>
    <t>Australian Research Council Industrial Transformation Hub for Sustainable Onshore Lobster Aquaculture [IH190100014]</t>
  </si>
  <si>
    <t>Australian Research Council Industrial Transformation Hub for Sustainable Onshore Lobster Aquaculture(Australian Research Council)</t>
  </si>
  <si>
    <t>This research was supported by the Australian Research Council Industrial Transformation Hub for Sustainable Onshore Lobster Aquaculture (project number IH190100014).</t>
  </si>
  <si>
    <t>10.3389/fmicb.2020.573588</t>
  </si>
  <si>
    <t>OF3FG</t>
  </si>
  <si>
    <t>Green Accepted, gold, Green Published</t>
  </si>
  <si>
    <t>WOS:000581097500001</t>
  </si>
  <si>
    <t>Kausch, T; Lhermitte, S; Lenaerts, JTM; Wever, N; Inoue, M; Pattyn, F; Sun, SN; Wauthy, S; Tison, JL; van de Berg, WJ</t>
  </si>
  <si>
    <t>Kausch, Thore; Lhermitte, Stef; Lenaerts, Jan T. M.; Wever, Nander; Inoue, Mana; Pattyn, Frank; Sun, Sainan; Wauthy, Sarah; Tison, Jean-Louis; van de Berg, Willem Jan</t>
  </si>
  <si>
    <t>Impact of coastal East Antarctic ice rises on surface mass balance: insights from observations and modeling</t>
  </si>
  <si>
    <t>DRONNING MAUD LAND; REGIONAL CLIMATE MODEL; SNOW ACCUMULATION; VARIABILITY; LAYERS; RADAR; CORE; MAP</t>
  </si>
  <si>
    <t>About 20% of all snow accumulation in Antarctica occurs on the ice shelves. There, ice rises control the spatial surface mass balance (SMB) distribution by inducing snowfall variability and wind erosion due to their topography. Moreover these ice rises buttress the ice flow and represent ideal drilling locations for ice cores. In this study we assess the connection between snowfall variability and wind erosion to provide a better understanding of how ice rises impact SMB variability, how well this is captured in the regional atmospheric climate model RACMO2 and the implications of this SMB variability for ice rises as an ice core drilling site. By combining ground-penetrating radar (GPR) profiles from two ice rises in Dronning Maud Land with ice core dating, we reconstruct spatial and temporal SMB variations from 1983 to 2018 and compare the observed SMB with output from RACMO2 and SnowModel. Our results show snowfall-driven differences of up to 1.5 times higher SMB on the windward side of both ice rises than on the leeward side as well as a local erosion-driven minimum at the ice divide of the ice rises. RACMO2 captures the snowfall-driven differences but overestimates their magnitude, whereas the erosion on the peak can be reproduced by SnowModel with RACMO2 forcing. Observed temporal variability of the average SMBs, retrieved from the GPR data for four time intervals in the 1983-2018 range, are low at the peak of the easternmost ice rise (similar to 0.06 mw.e.yr(-1)), while they are higher (similar to 0.09mw.e.yr(-1)) on the windward side of the ice rise. This implies that at the peak of the ice rise, higher snowfall, driven by orographic uplift, is balanced out by local erosion. As a consequence of this, the SMB recovered from the ice core matches the SMB from the GPR at the peak of the ice rise but not at the windward side of the ice rise, suggesting that the SMB signal is damped in the ice core.</t>
  </si>
  <si>
    <t>[Kausch, Thore; Lhermitte, Stef] Delft Univ Technol, Dept Geosci &amp; Remote Sensing, Mekelweg 5, NL-2628 CD Delft, Netherlands; [Lenaerts, Jan T. M.; Wever, Nander] Univ Colorado, Dept Atmospher &amp; Ocean Sci, 4001 Discovery Dr, Boulder, CO 80309 USA; [Inoue, Mana; Pattyn, Frank; Sun, Sainan; Wauthy, Sarah; Tison, Jean-Louis] Univ Libre Bruxelles, Lab Glaciol, Ave FD Roosevelt 50, B-1050 Brussels, Belgium; [van de Berg, Willem Jan] Univ Utrecht, Inst Marine &amp; Atmospher Res Utrecht, Princetonpl 5, NL-3584 CC Utrecht, Netherlands</t>
  </si>
  <si>
    <t>Delft University of Technology; University of Colorado System; University of Colorado Boulder; Universite Libre de Bruxelles; Utrecht University</t>
  </si>
  <si>
    <t>Kausch, T (corresponding author), Delft Univ Technol, Dept Geosci &amp; Remote Sensing, Mekelweg 5, NL-2628 CD Delft, Netherlands.</t>
  </si>
  <si>
    <t>t.kausch@tudelft.nl</t>
  </si>
  <si>
    <t>Pattyn, Frank/AAA-9640-2019; Lhermitte, Stef (Stefaan)/A-3385-2013; Lenaerts, Jan/D-9423-2012; van de Berg, Willem Jan/H-4385-2011</t>
  </si>
  <si>
    <t>Pattyn, Frank/0000-0003-4805-5636; Lhermitte, Stef (Stefaan)/0000-0002-1622-0177; Lenaerts, Jan/0000-0003-4309-4011; van de Berg, Willem Jan/0000-0002-8232-2040; Sun, Sainan/0000-0002-1614-2658; Wauthy, Sarah/0000-0002-1378-564X; Kausch, Thore/0000-0002-7860-271X; Wever, Nander/0000-0002-4829-8585</t>
  </si>
  <si>
    <t>Netherlands Organisation for Scientific Research [AL-WPT.2016.4]; Belgian Federal Science Policy Office [BR/165/A2:Mass2Ant]; National Aeronautics and Space Administration [80NSSC18K0201]</t>
  </si>
  <si>
    <t>Netherlands Organisation for Scientific Research(Netherlands Organization for Scientific Research (NWO)); Belgian Federal Science Policy Office(Belgian Federal Science Policy Office); National Aeronautics and Space Administration(National Aeronautics &amp; Space Administration (NASA))</t>
  </si>
  <si>
    <t>This research has been supported by the Netherlands Organisation for Scientific Research (grant no. AL-WPT.2016.4), the Belgian Federal Science Policy Office (grant no. BR/165/A2:Mass2Ant), and the National Aeronautics and Space Administration (grant no. 80NSSC18K0201).</t>
  </si>
  <si>
    <t>10.5194/tc-14-3367-2020</t>
  </si>
  <si>
    <t>OE4YR</t>
  </si>
  <si>
    <t>WOS:000580538300001</t>
  </si>
  <si>
    <t>Shelyakin, M; Zakhozhiy, I; Golovko, T</t>
  </si>
  <si>
    <t>Shelyakin, Mikhail; Zakhozhiy, Ilya; Golovko, Tamara</t>
  </si>
  <si>
    <t>The effect of temperature on Antarctic lichen cytochrome and alternative respiratory pathway rates</t>
  </si>
  <si>
    <t>Lichens; Antarctica; Temperature; Respiration; Cytochrome and alternative respiratory pathways; Residual respiration</t>
  </si>
  <si>
    <t>OXIDASE; PHOTOSYNTHESIS; ACCLIMATION; GROWTH; IDENTIFICATION; DESICCATION; PATTERNS</t>
  </si>
  <si>
    <t>Respiration is a crucial process that provides all living organisms with energy and metabolites for growth and cellular maintenance. The processes that control respiration in lichens remain poorly understood. We investigated the effects of short-term temperature changes on the respiration rate, as well as the relative contributions of the cytochrome and alternative pathways of thalli from four green-algal lichen species collected from their natural habitats in Antarctica. Lichen respiration was sensitive to short-term temperature increases over a range of 5-35 degrees C. The total O(2)uptake rate was increased by fourfold, and the mean respiratory coefficient (Q(10)) decreased from 2.5 to 1.3 as the temperature increased. An increase in temperature from 5 to 15 degrees C had a positive effect on cytochrome respiration coupled with energy production. Temperatures above 15 degrees C stimulated the activation of the alternative (energy-dissipating) respiratory pathway. Hyperthermia led to increased O(2)consumption that was not associated with mitochondrial oxidases. The effects of increased temperature on the respiration rates were more pronounced in the bipolar lichensUmbilicaria decussataandUsnea sphacelatathan in theUsnea aurantiaco-atraspecies with a narrower geographical distribution.</t>
  </si>
  <si>
    <t>[Shelyakin, Mikhail; Zakhozhiy, Ilya; Golovko, Tamara] Russian Acad Sci, Inst Biol, Ural Branch, Komi Sci Ctr, 28 Kommunisticheskaya St, Syktyvkar 167982, Komi Republic, Russia</t>
  </si>
  <si>
    <t>Russian Academy of Sciences; Institute of Biology, Komi Scientific Centre, Ural Branch RAS; Komi Science Centre of the Ural Branch of the Russian Academy of Sciences</t>
  </si>
  <si>
    <t>Shelyakin, M (corresponding author), Russian Acad Sci, Inst Biol, Ural Branch, Komi Sci Ctr, 28 Kommunisticheskaya St, Syktyvkar 167982, Komi Republic, Russia.</t>
  </si>
  <si>
    <t>shelyakin@ib.komisc.ru</t>
  </si>
  <si>
    <t>Shelyakin, Mikhail A/Q-2340-2015; Zakhozhiy, Ilya/AAR-2049-2021</t>
  </si>
  <si>
    <t>Zakhozhiy, Ilya/0000-0003-0918-745X; Shelyakin, Mikhail/0000-0001-8537-6995</t>
  </si>
  <si>
    <t>Physiology and Stress-Resistance of Photosynthesis of Plants and Poikilohydric Photoautotrophs in Conditions of the North project [AAAA-A17-117033010038-7]; RFBR [18-34-00346 mol_a]</t>
  </si>
  <si>
    <t>Physiology and Stress-Resistance of Photosynthesis of Plants and Poikilohydric Photoautotrophs in Conditions of the North project; RFBR(Russian Foundation for Basic Research (RFBR))</t>
  </si>
  <si>
    <t>This work was carried out as part of the Physiology and Stress-Resistance of Photosynthesis of Plants and Poikilohydric Photoautotrophs in Conditions of the North project (No. AAAA-A17-117033010038-7) and was partly funded by RFBR (research project No. 18-34-00346 mol_a).</t>
  </si>
  <si>
    <t>10.1007/s00300-020-02758-4</t>
  </si>
  <si>
    <t>WOS:000578465700001</t>
  </si>
  <si>
    <t>Robinson, LM; Marzloff, MP; van Putten, I; Pecl, G; Jennings, S; Nicol, S; Hobday, AJ; Tracey, S; Hartmann, K; Haward, M; Frusher, S</t>
  </si>
  <si>
    <t>Robinson, Lucy M.; Marzloff, Martin P.; van Putten, Ingrid; Pecl, Gretta; Jennings, Sarah; Nicol, Sam; Hobday, Alistair J.; Tracey, Sean; Hartmann, Klaas; Haward, Marcus; Frusher, Stewart</t>
  </si>
  <si>
    <t>Decision support for the Ecosystem-Based Management of a Range-Extending Species in a Global Marine Hotspot Presents Effective Strategies and Challenges</t>
  </si>
  <si>
    <t>Structured decision making; decision analysis; multi-method elicitation; stakeholder engagement; ecosystem-based management; species range extension; keystone herbivore; global marine hotspot</t>
  </si>
  <si>
    <t>CLIMATE; RESILIENCE; SHIFTS; URCHIN</t>
  </si>
  <si>
    <t>Climate-driven changes in ocean currents have facilitated the range extension of the long-spined sea urchin (Centrostephanus rodgersii) from Australia's mainland to eastern Tasmania over recent decades. Since its arrival, the destructive grazing of the urchin has led to widespread formation of sea urchin 'barrens'. The loss of habitat, biodiversity and productivity for important commercial reef species in conjunction with the development of an urchin fishery has led to conflicting objectives among some stakeholders that pose complex challenges for regional management. Stakeholders representatives and managers were engaged via a participatory workshop and subsequent one-on-one surveys to trial a structured decision making process to identify effective ecosystem-based management strategies. We directly and indirectly elicited each preferences for nine alternative management strategies by presenting them with the 10-year consequences of each strategy estimated from an ecosystem model of Tasmanian reef communities. These preferences were included in cost-effectiveness scores that were averaged (across stakeholders) to enable strategy ranking from most to least cost-effective. Rankings revealed strategies that included sea urchin removal or translocation of predatory lobsters were the most cost-effective. However, assessment of stakeholders' individual cost-effectiveness scores showed some disparity among preferences in high ranking strategies. Additionally, inconsistencies in strategy preferences using alternative (direct or indirect) ranking scores reveal conflicting objectives as the most plausible explanation. Our study illustrates how structured decision making can effectively facilitate ecosystem-based management by engaging stakeholders step-by-step towards management strategy implementation and promoting collective learning.</t>
  </si>
  <si>
    <t>[Robinson, Lucy M.; Marzloff, Martin P.; Pecl, Gretta; Tracey, Sean; Hartmann, Klaas; Haward, Marcus] Inst Marine &amp; Antarctic Studies, Hobart, Tas 7001, Australia; [Robinson, Lucy M.] Univ Western Australia, Oceans Inst, Perth, WA 6009, Australia; [Robinson, Lucy M.] Univ Western Australia, Oceans Grad Sch, Perth, WA 6009, Australia; [van Putten, Ingrid; Hobday, Alistair J.] CSIRO Oceans &amp; Atmosphere, Hobart, Tas 7000, Australia; [van Putten, Ingrid; Pecl, Gretta; Jennings, Sarah; Hobday, Alistair J.; Tracey, Sean; Haward, Marcus; Frusher, Stewart] Univ Tasmania, Ctr Marine Socioecol, Hobart, Tas 7000, Australia; [Nicol, Sam] CSIRO Land &amp; Water, Dutton Pk, Qld 4102, Australia; [Marzloff, Martin P.] IFREMER, Ctr Bretagne, DYNECO Benth Ecol Lab LEBCO, CS 10070, F-29280 Plouzane, France; [Robinson, Lucy M.] CSIRO Oceans &amp; Atmosphere, Crawley, WA 6009, Australia; [Jennings, Sarah] Univ Tasmania, Tasmanian Sch Business &amp; Econ, Hobart, Tas 7000, Australia</t>
  </si>
  <si>
    <t>University of Tasmania; University of Western Australia; University of Western Australia; Commonwealth Scientific &amp; Industrial Research Organisation (CSIRO); University of Tasmania; Commonwealth Scientific &amp; Industrial Research Organisation (CSIRO); Ifremer; Commonwealth Scientific &amp; Industrial Research Organisation (CSIRO); University of Tasmania</t>
  </si>
  <si>
    <t>Robinson, LM (corresponding author), Inst Marine &amp; Antarctic Studies, Hobart, Tas 7001, Australia.;Robinson, LM (corresponding author), Univ Western Australia, Oceans Inst, Perth, WA 6009, Australia.;Robinson, LM (corresponding author), Univ Western Australia, Oceans Grad Sch, Perth, WA 6009, Australia.;Robinson, LM (corresponding author), CSIRO Oceans &amp; Atmosphere, Crawley, WA 6009, Australia.</t>
  </si>
  <si>
    <t>lucy.m.e.robinson@gmail.com</t>
  </si>
  <si>
    <t>van putten, ingrid/AAV-1301-2021; Hartmann, Klaas/B-3991-2008; Pecl, Gretta/D-7267-2011; Hobday, Alistair/A-1460-2012; Jennings, Sarah M/J-7888-2014; Haward, Marcus/G-3369-2014; Tracey, Sean/J-7446-2014</t>
  </si>
  <si>
    <t>van putten, ingrid/0000-0001-8397-9768; Pecl, Gretta/0000-0003-0192-4339; Robinson, Lucy/0000-0001-9324-401X; Haward, Marcus/0000-0003-4775-0864; Tracey, Sean/0000-0002-6735-5899</t>
  </si>
  <si>
    <t>James Cook University; University of Tasmania; University of Western Australia</t>
  </si>
  <si>
    <t>We would like to thank all of the stakeholders who participated in this study. Comments from Dr. Fabio Boschetti greatly improved the quality of the manuscript as did the comments from the journal's subject editor Dr. Timothy Essington and two anonymous reviewers. The Australian National Network in Marine Science, a collaborative funding initiative between James Cook University, The University of Tasmania, and The University of Western Australia, supported this study. Icons used in figures and tables were sourced from the Noun project and included sea urchin, mallet, fishing net, fishing vessel, lobster, stop, measure and seaweed that should be credited to Vega Asensio, Marie Van den Broeck, Ron Scott, Luis Prado, Baboon designs, project hayat, hafiudin and Graham Jefferson, respectively.</t>
  </si>
  <si>
    <t>10.1007/s10021-020-00560-1</t>
  </si>
  <si>
    <t>DJ4V1</t>
  </si>
  <si>
    <t>WOS:000576871000002</t>
  </si>
  <si>
    <t>Powell, K; Layton, C</t>
  </si>
  <si>
    <t>Powell, Kendall; Layton, Cayne</t>
  </si>
  <si>
    <t>Where I work Cayne Layton</t>
  </si>
  <si>
    <t>Careers; Ocean sciences</t>
  </si>
  <si>
    <t>Cayne Layton dives into his work on restoring kelp forests in cold-water oceans. Cayne Layton dives into his work on restoring kelp forests in cold-water oceans.</t>
  </si>
  <si>
    <t>[Layton, Cayne] Inst Marine &amp; Antarctic Studies, Hobart, Tas, Australia</t>
  </si>
  <si>
    <t>Layton, C (corresponding author), Inst Marine &amp; Antarctic Studies, Hobart, Tas, Australia.</t>
  </si>
  <si>
    <t>Layton, Cayne/J-8443-2013</t>
  </si>
  <si>
    <t>Layton, Cayne/0000-0002-3390-6437</t>
  </si>
  <si>
    <t>OCT 8</t>
  </si>
  <si>
    <t>10.1038/d41586-020-02802-7</t>
  </si>
  <si>
    <t>NW6VN</t>
  </si>
  <si>
    <t>WOS:000575153700001</t>
  </si>
  <si>
    <t>Bi, DH; Dix, M; Marsland, S; O'Farrell, S; Sullivan, A; Bodman, R; Law, R; Harman, I; Srbinovsky, J; Rashid, HA; Dobrohotoff, P; Mackallah, C; Yan, HL; Hirst, A; Savita, A; Dias, FB; Woodhouse, M; Fiedler, R; Heerdegen, A</t>
  </si>
  <si>
    <t>Bi, Daohua; Dix, Martin; Marsland, Simon; O'Farrell, Siobhan; Sullivan, Arnold; Bodman, Roger; Law, Rachel; Harman, Ian; Srbinovsky, Jhan; Rashid, Harun A.; Dobrohotoff, Peter; Mackallah, Chloe; Yan, Hailin; Hirst, Anthony; Savita, Abhishek; Dias, Fabio Boeira; Woodhouse, Matthew; Fiedler, Russell; Heerdegen, Aidan</t>
  </si>
  <si>
    <t>Configuration and spin-up of ACCESS-CM2, the new generation Australian Community Climate and Earth System Simulator Coupled Model</t>
  </si>
  <si>
    <t>JOURNAL OF SOUTHERN HEMISPHERE EARTH SYSTEMS SCIENCE</t>
  </si>
  <si>
    <t>ACCESS-CM2; climate change; climate simulation; CMIP6; coupled climate model; evaluation; greenhouse gases; physical configuration; preindustrial spin-up; tuning and debugging</t>
  </si>
  <si>
    <t>SEA-ICE MODEL; OCEAN CIRCULATION; NORTH-ATLANTIC; OVERTURNING CIRCULATION; SINGLE-COLUMN; PART I; TRANSPORT; SCHEME; JULES; CMIP5</t>
  </si>
  <si>
    <t>A new version of the Australian Community Climate and Earth System Simulator coupled model, ACCESS-CM2, has been developed for a wide range of climate modelling research and applications. In particular, ACCESS-CM2 is one of Australia's contributions to the World Climate Research Programme's Coupled Model Intercomparison Project Phase 6 (CMIP6). Compared with the ACCESS1.3 model used for our CMIP5 submission, all model components have been upgraded as well as the coupling framework (OASIS3-MCT) and experiment control system (Rose/Cylc). The component models are: UM10.6 GA7.1 for the atmosphere, CABLE2.5 for the land surface, MOM5 for the ocean, and CICE5.1.2 for the sea ice. This paper describes the model configuration of ACCESS-CM2, documents the experimental set up, and assesses the model performance for the preindustrial spin-up simulation in comparison against (reconstructed) observations and ACCESS1.3 results. While the performance of the two generations of the ACCESS coupled model is largely comparable, ACCESS-CM2 shows better global hydrological balance, more realistic ocean water properties (in terms of spatial distribution) and meridional overturning circulation in the Southern Ocean but a poorer simulation of the Antarctic sea ice and a larger energy imbalance at the top of atmosphere. This energy imbalance reflects a noticeable warming trend of the global ocean over the spin-up period.</t>
  </si>
  <si>
    <t>[Bi, Daohua; Dix, Martin; Marsland, Simon; O'Farrell, Siobhan; Sullivan, Arnold; Law, Rachel; Srbinovsky, Jhan; Rashid, Harun A.; Dobrohotoff, Peter; Mackallah, Chloe; Savita, Abhishek; Dias, Fabio Boeira; Woodhouse, Matthew] CSIRO Oceans &amp; Atmosphere, 107-121 Stn St, Aspendale, Vic 3195, Australia; [Marsland, Simon; Savita, Abhishek; Dias, Fabio Boeira] Univ Tasmania, Inst Marine &amp; Antarct Studies, Hobart, Tas, Australia; [Marsland, Simon; Savita, Abhishek; Dias, Fabio Boeira; Heerdegen, Aidan] ARC Ctr Excellence Climate Extremes, Sydney, NSW, Australia; [Bodman, Roger] Univ Melbourne, Melbourne, Vic, Australia; [Harman, Ian] CSIRO Oceans &amp; Atmosphere, Canberra, ACT, Australia; [Yan, Hailin; Hirst, Anthony] Bur Meteorol, Melbourne, Vic, Australia; [Fiedler, Russell] CSIRO Oceans &amp; Atmosphere, Hobart, Tas, Australia; [Heerdegen, Aidan] Australian Natl Univ, Canberra, ACT, Australia</t>
  </si>
  <si>
    <t>Commonwealth Scientific &amp; Industrial Research Organisation (CSIRO); University of Tasmania; University of Melbourne; Melbourne Bioinformatics; Commonwealth Scientific &amp; Industrial Research Organisation (CSIRO); Bureau of Meteorology - Australia; Commonwealth Scientific &amp; Industrial Research Organisation (CSIRO); Australian National University</t>
  </si>
  <si>
    <t>Bi, DH (corresponding author), CSIRO Oceans &amp; Atmosphere, 107-121 Stn St, Aspendale, Vic 3195, Australia.</t>
  </si>
  <si>
    <t>Dave.Bi@csiro.au</t>
  </si>
  <si>
    <t>Bodman, Roger William/O-8469-2015; Marsland, Simon J/A-1453-2012; Bi, Daohua/O-4508-2015; Dix, Martin R/A-2334-2012; Law, Rachel/AAV-1949-2020; Woodhouse, Matthew/E-4808-2013; Harman, Ian/A-4004-2012; Dobrohotoff, Peter/I-1550-2017</t>
  </si>
  <si>
    <t>Marsland, Simon J/0000-0002-5664-5276; Dix, Martin R/0000-0002-7534-0654; Law, Rachel/0000-0002-7346-0927; Woodhouse, Matthew/0000-0002-9892-4492; Boeira Dias, Fabio/0000-0002-2965-2120; Harman, Ian/0000-0002-5690-0484; Savita, Abhishek/0000-0003-2800-3636; Mackallah, Chloe/0000-0003-4989-5530; Dobrohotoff, Peter/0000-0001-7315-042X; Rashid, Harun/0000-0003-1896-2446</t>
  </si>
  <si>
    <t>CSIRO; Earth Systems and Climate Change Hub of the Australian Government's National Environmental Science Program; CMIP6; ESGF</t>
  </si>
  <si>
    <t>CSIRO(Commonwealth Scientific &amp; Industrial Research Organisation (CSIRO)); Earth Systems and Climate Change Hub of the Australian Government's National Environmental Science Program; CMIP6; ESGF</t>
  </si>
  <si>
    <t>This project is jointly funded through CSIRO and the Earth Systems and Climate Change Hub of the Australian Government's National Environmental Science Program. The computation for this work was performed using the NCI National Facility at the Australian National University, and we particularly thank Dr Ben Evans and the associated NCI staff members for their support. We further thank Cath Senior, David Storkey, Richard Hill and other colleagues at the Met Office for helpful discussions during the course of this work, and JoAo Teixeira and Charline Marzin for model forcing data and HadGEM-GC3.1 model output fields useful for comparison and benchmarking. We thank Marcus Thatcher for his comments on a pre-submission draft. Particularly, we thank Australian Research Council Centre of Excellence for Climate Extremes for providing the harmonised code of MOM5 for ACCESS-CM2 implementation. We acknowledge the World Climate Research Programme, which, through its Working Group on Coupled Modelling, coordinated and promoted CMIP6. We thank the Earth System Grid Federation (ESGF) for archiving the data and providing access, and the multiple funding agencies who support CMIP6 and ESGF.</t>
  </si>
  <si>
    <t>CSIRO PUBLISHING</t>
  </si>
  <si>
    <t>CLAYTON</t>
  </si>
  <si>
    <t>UNIPARK, BLDG 1, LEVEL 1, 195 WELLINGTON RD, LOCKED BAG 10, CLAYTON, VIC 3168, AUSTRALIA</t>
  </si>
  <si>
    <t>2206-5865</t>
  </si>
  <si>
    <t>J SO HEMISPH EARTH</t>
  </si>
  <si>
    <t>J. South Hemisph. Earth Syst. Sci.</t>
  </si>
  <si>
    <t>10.1071/ES19040</t>
  </si>
  <si>
    <t>PQ4JM</t>
  </si>
  <si>
    <t>WOS:000598035600001</t>
  </si>
  <si>
    <t>Catalán, M; Martos, YM; Galindo-Zaldivar, J; Perez, LF; Bohoyo, F</t>
  </si>
  <si>
    <t>Catalan, M.; Martos, Y. M.; Galindo-Zaldivar, J.; Perez, L. F.; Bohoyo, F.</t>
  </si>
  <si>
    <t>Unveiling Powell Basin's Tectonic Domains and Understanding Its Abnormal Magnetic Anomaly Signature. Is Heat the Key?</t>
  </si>
  <si>
    <t>heat flow; magnetic anomaly; continent-ocean boundary; Bouguer gravity anomaly; asthenospheric channel; total tectonic subsidence</t>
  </si>
  <si>
    <t>CONTINENTAL-MARGIN; ANALYTIC SIGNAL; GRAVITY; RIDGE; SUBSIDENCE; EVOLUTION; DENSITY; BARRIER; FIELD; ZONE</t>
  </si>
  <si>
    <t>Rifting of continental lithosphere leading to oceanic basins is a complex process conditioned by different factors such as the rheology and thermal structure of the underlying lithosphere, as well as underlying asthenospheric dynamics. All these processes, which finally lead to oceanic domains, can better be recognized in small oceanic basins. Powell Basin is a small oceanic basin bounded to the north by the South Scotia Ridge, to the east by the South Orkney Microcontinent, and to the west by the Antarctic Peninsula. It was formed between the Oligocene and Miocene, however, its age is not well defined, among other reasons due to the small amplitude of its spreading magnetic anomalies. This basin is an ideal framework to analyze the different rifting and spreading phases, which leads from continental crust to the formation of an oceanic domain through different extensional regimes. To identify the different boundaries during the formation of Powell Basin from the beginning of the rifting until the end of the spreading, we use different data sources: magnetic, gravity, multichannel seismic profiles and bathymetry data. We use seismic and bathymetry data to estimate the Total Tectonic Subsidence. Total Tectonic Subsidence has proven to be useful to delineate the different tectonic regimes present from early rifting to the formation of oceanic seafloor. This result together with magnetic data has been used to delimit the oceanic domain and compare with previous authors' proposals. This method could be applied in any other basin or margin to help delimiting its boundaries. Finally, we analyze the role that an asthenospheric branch intruding from the Scotia Sea played in the evolution of the magnetic anomaly signature on an oceanic basin.</t>
  </si>
  <si>
    <t>[Catalan, M.] Real Observ Armada, Dept Geophys, San Fernando, Cadiz, Spain; [Martos, Y. M.] NASA, Goddard Space Flight Ctr, Planetary Magnetospheres Lab, Greenbelt, MD USA; [Martos, Y. M.] Univ Maryland, Dept Astron, College Pk, MD 20742 USA; [Galindo-Zaldivar, J.] Univ Granada, Dept Geodynam, Granada, Spain; [Galindo-Zaldivar, J.] UGR, CSIC, Inst Andaluz Ciencias La Tierra, Granada, Spain; [Perez, L. F.] NERC, British Antarctic Survey, Cambridge, England; [Bohoyo, F.] Inst Geol &amp; Minero Espana, Madrid, Spain</t>
  </si>
  <si>
    <t>National Aeronautics &amp; Space Administration (NASA); NASA Goddard Space Flight Center; University System of Maryland; University of Maryland College Park; University of Granada; University of Granada; Consejo Superior de Investigaciones Cientificas (CSIC); CSIC - Instituto Andaluz de Ciencias de la Tierra (IACT); UK Research &amp; Innovation (UKRI); Natural Environment Research Council (NERC); NERC British Antarctic Survey</t>
  </si>
  <si>
    <t>Catalán, M (corresponding author), Real Observ Armada, Dept Geophys, San Fernando, Cadiz, Spain.</t>
  </si>
  <si>
    <t>mcatalan@roa.es</t>
  </si>
  <si>
    <t>Galindo-Zaldivar, Jesus/K-3640-2012; Bohoyo, Fernando/C-1062-2011; Bohoyo, Fernando/AAZ-5990-2021; Perez, Lara/H-3572-2015</t>
  </si>
  <si>
    <t>Galindo-Zaldivar, Jesus/0000-0002-3493-2637; Bohoyo, Fernando/0000-0002-1044-8816; Bohoyo, Fernando/0000-0002-1044-8816; Perez, Lara/0000-0002-6229-4564</t>
  </si>
  <si>
    <t>project Estructura Litosferica y Geodinamica de Powell-Drake-Bransfield Rift under the umbrella of the Programa Estatal de I + D + i Orientada a los Retos de la Sociedad of the Spanish Ministry of Science [RTI 2018-099615-B-100]; project Timing and main tectonic processes involved in the onset and evolution of the Antarctic Circumpolar Current (ACC): development of continental margins and oceanic basins under the umbrella of the Programa Estatal de I + D + i of the Spanish Minist [CTM 2017-89711-C2-2-P]; NERC [bas0100030] Funding Source: UKRI</t>
  </si>
  <si>
    <t>project Estructura Litosferica y Geodinamica de Powell-Drake-Bransfield Rift under the umbrella of the Programa Estatal de I + D + i Orientada a los Retos de la Sociedad of the Spanish Ministry of Science; project Timing and main tectonic processes involved in the onset and evolution of the Antarctic Circumpolar Current (ACC): development of continental margins and oceanic basins under the umbrella of the Programa Estatal de I + D + i of the Spanish Minist; NERC(UK Research &amp; Innovation (UKRI)Natural Environment Research Council (NERC))</t>
  </si>
  <si>
    <t>This study has been funded through project RTI 2018-099615-B-100 entitled Estructura Litosferica y Geodinamica de Powell-Drake-Bransfield Rift under the umbrella of the Programa Estatal de I + D + i Orientada a los Retos de la Sociedad of the Spanish Ministry of Science. JG, FB, and LP participation has been funded through project CTM 2017-89711-C2-2-P entitled Timing and main tectonic processes involved in the onset and evolution of the Antarctic Circumpolar Current (ACC): development of continental margins and oceanic basins under the umbrella of the Programa Estatal de I + D + i of the Spanish Ministry of Science.</t>
  </si>
  <si>
    <t>10.3389/feart.2020.580675</t>
  </si>
  <si>
    <t>OE5KO</t>
  </si>
  <si>
    <t>WOS:000580569300001</t>
  </si>
  <si>
    <t>Manley, K; Salles, T; Müller, RD</t>
  </si>
  <si>
    <t>Manley, Kyle; Salles, T.; Mueller, R. D.</t>
  </si>
  <si>
    <t>Modeling the Dynamic Landscape Evolution of a Volcanic Coastal Environment Under Future Climate Trajectories</t>
  </si>
  <si>
    <t>enhanced silicate weathering; sedimentation; climate change; landscape evolution; carbon sequestration; olivine; modeling; erosion and deposition</t>
  </si>
  <si>
    <t>SEA-LEVEL CHANGE; GEOMORPHIC RESPONSE; DRAINAGE; BASIN; INCISION; EROSION; VALLEY; MARGIN</t>
  </si>
  <si>
    <t>As anthropogenic forcing continues to rapidly modify worldwide climate, impacts on landscape changes will grow. Olivine weathering is a natural process that sequesters carbon out of the atmosphere, but is now being proposed as a strategy that can be artificially implemented to assist in the mitigation of anthropogenic carbon emissions. We use the landscape evolution model Badlands to identify a region (Tweed Caldera catchment in Eastern Australia) that has the potential for naturally enhanced supply of mafic sediments, known to be a carbon sink, into coastal environments. Although reality is more complex than what can be captured within a model, our models have the ability to unravel and estimate how erosion of volcanic edifices and landscape dynamics will react to future climate change projections. Local climate projections were taken from the Australian government and the IPCC in the form of four alternative pathways. Three additional scenarios were designed, with added contributions from the Antarctic Ice Sheet, to better understand how the landscape/dynamics might be impacted by an increase in sea level rise due to ice sheet tipping points being hit. Three scenarios were run with sea level held constant and precipitation rates increased in order to better understand the role that precipitation and sea level plays in the regional supply of sediment. Changes between scenarios are highly dependent upon the rate and magnitude of climatic change. We estimate the volume of mafic sediment supplied to the erosive environment within the floodplain (ranging from similar to 27 to 30 million m(3)by 2100 and similar to 78-315 million m(3)by 2500), the average amount of olivine within the supplied sediment under the most likely scenarios (similar to 7.6 million m(3)by 2100 and similar to 30 million m(3)by 2500), and the amount of CO(2)that is subsequently sequestered (similar to 53-73 million tons by 2100 and similar to 206-284 million tons by 2500). Our approach not only identifies a region that can be further studied in order to evaluate the efficacy and impact of enhanced silicate weathering driven by climate change, but can also help identify other regions that have a natural ability to act as a carbon sink via mafic rock weathering.</t>
  </si>
  <si>
    <t>[Manley, Kyle] Univ Colorado, Environm Studies Atmospher Sci, Boulder, CO 80309 USA; [Salles, T.; Mueller, R. D.] Univ Sydney, Sch Geosci, Sydney, NSW, Australia</t>
  </si>
  <si>
    <t>University of Colorado System; University of Colorado Boulder; University of Sydney</t>
  </si>
  <si>
    <t>Manley, K (corresponding author), Univ Colorado, Environm Studies Atmospher Sci, Boulder, CO 80309 USA.</t>
  </si>
  <si>
    <t>kyle.manley@colorado.edu</t>
  </si>
  <si>
    <t>Manley, Kyle/AES-3408-2022; Muller, Dietmar/P-8164-2018</t>
  </si>
  <si>
    <t>Manley, Kyle/0000-0002-6992-168X; Salles, Tristan/0000-0001-6095-7689; Muller, Dietmar/0000-0002-3334-5764</t>
  </si>
  <si>
    <t>10.3389/feart.2020.550312</t>
  </si>
  <si>
    <t>OE6MS</t>
  </si>
  <si>
    <t>WOS:000580643300001</t>
  </si>
  <si>
    <t>C</t>
  </si>
  <si>
    <t>Gonzalez, S; Callado, A; Martínez, M; Elvira, B</t>
  </si>
  <si>
    <t>Gonzalez, Sergi; Callado, Alfons; Martinez, Mauricia; Elvira, Benito</t>
  </si>
  <si>
    <t>The AEMET-γSREPS over the Antarctic Peninsula and the impact of kilometric-resolution EPS on logistic activities on the continent</t>
  </si>
  <si>
    <t>ADVANCES IN SCIENCE AND RESEARCH</t>
  </si>
  <si>
    <t>Proceedings Paper</t>
  </si>
  <si>
    <t>19th EMS Annual Meeting / 11th European Conference for Applied Meteorology and Climatology</t>
  </si>
  <si>
    <t>SEP 09-13, 2019</t>
  </si>
  <si>
    <t>Copenhagen, DENMARK</t>
  </si>
  <si>
    <t>PERFORMANCE; SYSTEM</t>
  </si>
  <si>
    <t>Kilometric-resolution Ensemble Prediction Systems (EPSs) will be the new state-of-the-art forecasting tools for short-range prediction in the following decade. Their value will be even greater in Antarctica due to the increasingly demanding weather forecasts for logistic services. During the 2018-2019 austral summer (1 December-31 March), coinciding with the Southern Hemisphere Special Observation Period of the Year of Polar Prediction (YOPP), the 2.5 km AEMET-gamma SREPS was operationally integrated over the Antarctic Peninsula. In particular, the Antarctic version of gamma SREPS comes up with crossing four non-hydrostatic convection-permitting NWP models at 2.5 km with three global NWP driving models as boundary conditions. The gamma SREPS forecasting system has been validated in comparison with ECMWF EPS. It is concluded that gamma SREPS has an added value to ECMWF EPS due to both its higher resolution and its multi-boundary conditions and multi-NWP model approach. gamma SREPS performance has a positive impact on logistic activities at research stations and its design may contribute to polar prediction research.</t>
  </si>
  <si>
    <t>[Gonzalez, Sergi; Elvira, Benito] Spanish Meteorol Agcy AEMET, Antarctic Grp, Barcelona, Spain; [Gonzalez, Sergi] Univ Girona, EU Mediterrani, Dept Enterprise, Barcelona, Spain; [Callado, Alfons; Martinez, Mauricia] Spanish Meteorol Agcy AEMET, Predictabil Grp, Barcelona, Spain</t>
  </si>
  <si>
    <t>Agencia Estatal de Meteorologia (AEMET); Universitat de Girona; Agencia Estatal de Meteorologia (AEMET)</t>
  </si>
  <si>
    <t>Gonzalez, S (corresponding author), Spanish Meteorol Agcy AEMET, Antarctic Grp, Barcelona, Spain.;Gonzalez, S (corresponding author), Univ Girona, EU Mediterrani, Dept Enterprise, Barcelona, Spain.;Callado, A (corresponding author), Spanish Meteorol Agcy AEMET, Predictabil Grp, Barcelona, Spain.</t>
  </si>
  <si>
    <t>sgonzalezh@aemet.es; acalladop@aemet.es</t>
  </si>
  <si>
    <t>Gonzalez-Herrero, Sergi/Y-7279-2018</t>
  </si>
  <si>
    <t>Gonzalez-Herrero, Sergi/0000-0002-2505-2435</t>
  </si>
  <si>
    <t>Departament d'Innovacio, Universitats i Empresa, Generalitat de Catalunya [2017 SGR 1102]; Ministry of Science of Spain</t>
  </si>
  <si>
    <t>Departament d'Innovacio, Universitats i Empresa, Generalitat de Catalunya(Generalitat de Catalunya); Ministry of Science of Spain(Spanish Government)</t>
  </si>
  <si>
    <t>This research has been supported by the Departament d'Innovacio, Universitats i Empresa, Generalitat de Catalunya (grant no. 2017 SGR 1102). Activities of the AEMET Antarctic Program are financially supported by the Ministry of Science of Spain.</t>
  </si>
  <si>
    <t>1992-0628</t>
  </si>
  <si>
    <t>1992-0636</t>
  </si>
  <si>
    <t>ADV SCI RES</t>
  </si>
  <si>
    <t>Adv. Sci. Res.</t>
  </si>
  <si>
    <t>10.5194/asr-17-209-2020</t>
  </si>
  <si>
    <t>Conference Proceedings Citation Index - Science (CPCI-S)</t>
  </si>
  <si>
    <t>OC3IA</t>
  </si>
  <si>
    <t>WOS:000579050400001</t>
  </si>
  <si>
    <t>Singh, HA; Polvani, LM</t>
  </si>
  <si>
    <t>Singh, Hansi A.; Polvani, Lorenzo M.</t>
  </si>
  <si>
    <t>Low Antarctic continental climate sensitivity due to high ice sheet orography</t>
  </si>
  <si>
    <t>NPJ CLIMATE AND ATMOSPHERIC SCIENCE</t>
  </si>
  <si>
    <t>GLOBAL ATMOSPHERIC CIRCULATION; SEA-ICE; POLAR AMPLIFICATION; SOUTHERN-OCEAN; GENERAL-CIRCULATION; OZONE DEPLETION; LAPSE-RATE; TEMPERATURE; FEEDBACKS; HEMISPHERE</t>
  </si>
  <si>
    <t>The Antarctic continent has not warmed in the last seven decades, despite a monotonic increase in the atmospheric concentration of greenhouse gases. In this paper, we investigate whether the high orography of the Antarctic ice sheet (AIS) has helped delay warming over the continent. To that end, we contrast the Antarctic climate response to CO2-doubling with present-day orography to the response with a flattened AIS. To corroborate our findings, we perform this exercise with two different climate models. We find that, with a flattened AIS, CO2-doubling induces more latent heat transport toward the Antarctic continent, greater moisture convergence over the continent and, as a result, more surface-amplified condensational heating. Greater moisture convergence over the continent is made possible by flattening of moist isentropic surfaces, which decreases humidity gradients along the trajectories on which extratropical poleward moisture transport predominantly occurs, thereby enabling more moisture to reach the pole. Furthermore, the polar meridional cell disappears when the AIS is flattened, permitting greater CO2-forced warm temperature advection toward the Antarctic continent. Our results suggest that the high elevation of the present AIS plays a significant role in decreasing the susceptibility of the Antarctic continent to CO2-forced warming.</t>
  </si>
  <si>
    <t>[Singh, Hansi A.] Univ Victoria, Sch Earth &amp; Ocean Sci, Victoria, BC, Canada; [Polvani, Lorenzo M.] Columbia Univ, Dept Appl Phys &amp; Appl Math, New York, NY USA; [Polvani, Lorenzo M.] Columbia Univ, Dept Earth &amp; Environm Sci, New York, NY USA</t>
  </si>
  <si>
    <t>University of Victoria; Columbia University; Columbia University</t>
  </si>
  <si>
    <t>Singh, HA (corresponding author), Univ Victoria, Sch Earth &amp; Ocean Sci, Victoria, BC, Canada.</t>
  </si>
  <si>
    <t>hansingh@uvic.ca</t>
  </si>
  <si>
    <t>Singh, Hansi/0000-0002-8651-9094</t>
  </si>
  <si>
    <t>Linus Pauling Distinguished Postdoctoral Fellowship at the Pacific Northwest National Laboratory; US Department of Energy Office of Science; US National Science Foundation [OPP-1745029]</t>
  </si>
  <si>
    <t>Linus Pauling Distinguished Postdoctoral Fellowship at the Pacific Northwest National Laboratory; US Department of Energy Office of Science(United States Department of Energy (DOE)); US National Science Foundation(National Science Foundation (NSF))</t>
  </si>
  <si>
    <t>H.A.S. acknowledges funding and computing support from the Linus Pauling Distinguished Postdoctoral Fellowship at the Pacific Northwest National Laboratory, sponsored by the US Department of Energy Office of Science. L.M.P. is funded, in part, by a grant from the US National Science Foundation (OPP-1745029) to Columbia University.</t>
  </si>
  <si>
    <t>2397-3722</t>
  </si>
  <si>
    <t>NPJ CLIM ATMOS SCI</t>
  </si>
  <si>
    <t>npj Clim. Atmos. Sci.</t>
  </si>
  <si>
    <t>10.1038/s41612-020-00143-w</t>
  </si>
  <si>
    <t>OA1LF</t>
  </si>
  <si>
    <t>WOS:000577555400001</t>
  </si>
  <si>
    <t>Perera-Castro, AV; Flexas, J; González-Rodríguez, AM; Fernández-Marín, B</t>
  </si>
  <si>
    <t>Perera-Castro, Alicia Victoria; Flexas, Jaume; Gonzalez-Rodriguez, Agueda Maria; Fernandez-Marin, Beatriz</t>
  </si>
  <si>
    <t>Photosynthesis on the edge: photoinhibition, desiccation and freezing tolerance of Antarctic bryophytes</t>
  </si>
  <si>
    <t>PHOTOSYNTHESIS RESEARCH</t>
  </si>
  <si>
    <t>Bryophytes; Energy partitioning; Fertility; Freezing tolerance; Heat dissipation; Non-photochemical quenching</t>
  </si>
  <si>
    <t>XANTHOPHYLL CYCLE INTERCONVERSIONS; CHLOROPHYLL-A FLUORESCENCE; THERMAL-ENERGY DISSIPATION; PHOTOSYSTEM-II; LOW-TEMPERATURE; HIGH LIGHT; ELECTRON-TRANSPORT; VASCULAR PLANTS; PHOTOOXIDATIVE DAMAGE; REPRODUCTIVE EFFORT</t>
  </si>
  <si>
    <t>In Antarctica, multiple stresses (low temperatures, drought and excessive irradiance) hamper photosynthesis even in summer. We hypothesize that controlled inactivation of PSII reaction centres, a mechanism widely studied by pioneer work of Fred Chow and co-workers, may effectively guarantee functional photosynthesis under these conditions. Thus, we analysed the energy partitioning through photosystems in response to temperature in 15 bryophyte species presenting different worldwide distributions but all growing in Livingston Island, under controlled and field conditions. We additionally tested their tolerance to desiccation and freezing and compared those with their capability for sexual reproduction in Antarctica (as a proxy to overall fitness). Under field conditions, when irradiance rules air temperature by the warming of shoots (up to 20 degrees C under sunny days), a predominance of sustained photoinhibition beyond dynamic heat dissipation was observed at low temperatures. Antarctic endemic and polar species showed the largest increases of photoinhibition at low temperatures. On the contrary, the variation of thermal dissipation with temperature was not linked to species distribution. Instead, maximum non-photochemical quenching at 20 degrees C was related (strongly and positively) with desiccation tolerance, which also correlated with fertility in Antarctica, but not with freezing tolerance. Although all the analysed species tolerated - 20 degrees C when dry, the tolerance to freezing in hydrated state ranged from the exceptional ability ofSchistidium rivulare(that survived for 14 months at - 80 degrees C) to the susceptibility ofBryum pseudotriquetrum(that died after 1 day at - 20 degrees C unless being desiccated before freezing).</t>
  </si>
  <si>
    <t>[Perera-Castro, Alicia Victoria; Flexas, Jaume] Univ Illes Balears, INAGEA, Dept Biol, Carretera Valldemossa Km 7-5, Palma De Mallorca 07122, Spain; [Gonzalez-Rodriguez, Agueda Maria; Fernandez-Marin, Beatriz] Univ La Laguna ULL, Dept Bot Ecol &amp; Plant Physiol, San Cristobal la Laguna 38200, Canarias, Spain</t>
  </si>
  <si>
    <t>Universitat de les Illes Balears; Universidad de la Laguna</t>
  </si>
  <si>
    <t>Perera-Castro, AV (corresponding author), Univ Illes Balears, INAGEA, Dept Biol, Carretera Valldemossa Km 7-5, Palma De Mallorca 07122, Spain.</t>
  </si>
  <si>
    <t>pereraalicia11@gmail.com</t>
  </si>
  <si>
    <t>Perera Castro, Alicia V./C-4856-2019; Fernandez-Marin, Beariz/D-6701-2016; Flexas, Jaume/C-1898-2012; Gonzalez-Rodriguez, Agueda/ACM-5330-2022</t>
  </si>
  <si>
    <t>Perera Castro, Alicia V./0000-0001-8451-6052; Fernandez-Marin, Beariz/0000-0001-9951-0489; Gonzalez-Rodriguez, Agueda/0000-0003-2114-476X</t>
  </si>
  <si>
    <t>Ministerio de Ciencia, Innovacion y Universidades (MCIU, Spain); ERDF (FEDER) [PGC2018-093824-B-C41]; Ministerio de Educacion, Cultura y Deporte (MECD, Spain) [FPU-02054]</t>
  </si>
  <si>
    <t>Ministerio de Ciencia, Innovacion y Universidades (MCIU, Spain)(Spanish Government); ERDF (FEDER)(European Union (EU)); Ministerio de Educacion, Cultura y Deporte (MECD, Spain)(German Research Foundation (DFG))</t>
  </si>
  <si>
    <t>This work was supported by Ministerio de Ciencia, Innovacion y Universidades (MCIU, Spain) and the ERDF (FEDER) [PGC2018-093824-B-C41]; and the Ministerio de Educacion, Cultura y Deporte (MECD, Spain) [FPU-02054].</t>
  </si>
  <si>
    <t>0166-8595</t>
  </si>
  <si>
    <t>1573-5079</t>
  </si>
  <si>
    <t>PHOTOSYNTH RES</t>
  </si>
  <si>
    <t>Photosynth. Res.</t>
  </si>
  <si>
    <t>10.1007/s11120-020-00785-0</t>
  </si>
  <si>
    <t>UI7HU</t>
  </si>
  <si>
    <t>WOS:000577993600001</t>
  </si>
  <si>
    <t>Piccolin, F; Pitzschler, L; Biscontin, A; Kawaguchi, S; Meyer, B</t>
  </si>
  <si>
    <t>Piccolin, Fabio; Pitzschler, Lisa; Biscontin, Alberto; Kawaguchi, So; Meyer, Bettina</t>
  </si>
  <si>
    <t>Circadian regulation of diel vertical migration (DVM) and metabolism in Antarctic krill Euphausia superba</t>
  </si>
  <si>
    <t>ADAPTIVE SIGNIFICANCE; ZOOPLANKTON; RHYTHMS; BEHAVIOR</t>
  </si>
  <si>
    <t>Antarctic krill (Euphausia superba) are high latitude pelagic organisms which play a key ecological role in the ecosystem of the Southern Ocean. To synchronize their daily and seasonal life-traits with their highly rhythmic environment, krill rely on the implementation of rhythmic strategies which might be regulated by a circadian clock. A recent analysis of krill circadian transcriptome revealed that their clock might be characterized by an endogenous free-running period of about 12-15 h. Using krill exposed to simulated light/dark cycles (LD) and constant darkness (DD), we investigated the circadian regulation of krill diel vertical migration (DVM) and oxygen consumption, together with daily patterns of clock gene expression in brain and eyestalk tissue. In LD, we found clear 24 h rhythms of DVM and oxygen consumption, suggesting a synchronization with photoperiod. In DD, the DVM rhythm shifted to a 12 h period, while the peak of oxygen consumption displayed a temporal advance during the subjective light phase. This suggested that in free-running conditions the periodicity of these clock-regulated output functions might reflect the shortening of the endogenous period observed at the transcriptional level. Moreover, differences in the expression patterns of clock gene in brain and eyestalk, in LD and DD, suggested the presence in krill of a multiple oscillator system. Evidence of short periodicities in krill behavior and physiology further supports the hypothesis that a short endogenous period might represent a circadian adaption to cope with extreme seasonal photoperiodic variability at high latitude.</t>
  </si>
  <si>
    <t>[Piccolin, Fabio; Pitzschler, Lisa; Meyer, Bettina] Helmholtz Ctr Polar &amp; Marine Res, Alfred Wegener Inst, Sect Polar Biol Oceanog, Handelshafen 12, D-27570 Bremerhaven, Germany; [Biscontin, Alberto] Univ Padua, Dept Biol, Via Ugo Bassi 58-B, I-35121 Padua, Italy; [Kawaguchi, So] Dept Environm &amp; Energy, Australian Antarctic Div, 203 Channel Hwy, Kingston, Tas 7050, Australia; [Meyer, Bettina] Carl von Ossietzky Univ Oldenburg, Inst Chem &amp; Biol Marine Environm, Carl von Ossietzky Str 9-11, D-26111 Oldenburg, Germany; [Meyer, Bettina] Carl von Ossietzky Univ Oldenburg, Helmholtz Inst Funct Marine Biodivers, Ammerlander Heerstr 231, D-26129 Oldenburg, Germany</t>
  </si>
  <si>
    <t>Helmholtz Association; Alfred Wegener Institute, Helmholtz Centre for Polar &amp; Marine Research; University of Padua; Australian Antarctic Division; Carl von Ossietzky Universitat Oldenburg; Carl von Ossietzky Universitat Oldenburg</t>
  </si>
  <si>
    <t>Piccolin, F; Meyer, B (corresponding author), Helmholtz Ctr Polar &amp; Marine Res, Alfred Wegener Inst, Sect Polar Biol Oceanog, Handelshafen 12, D-27570 Bremerhaven, Germany.;Meyer, B (corresponding author), Carl von Ossietzky Univ Oldenburg, Inst Chem &amp; Biol Marine Environm, Carl von Ossietzky Str 9-11, D-26111 Oldenburg, Germany.;Meyer, B (corresponding author), Carl von Ossietzky Univ Oldenburg, Helmholtz Inst Funct Marine Biodivers, Ammerlander Heerstr 231, D-26129 Oldenburg, Germany.</t>
  </si>
  <si>
    <t>fabiopiccolo@hotmail.com; bettina.meyer@awi.de</t>
  </si>
  <si>
    <t>Meyer, Bettina/ABB-5311-2020</t>
  </si>
  <si>
    <t>Meyer, Bettina/0000-0001-6804-9896; Biscontin, Alberto/0000-0003-1492-7715; Piccolin, Fabio/0000-0001-5275-3416</t>
  </si>
  <si>
    <t>Projekt DEAL</t>
  </si>
  <si>
    <t>Open Access funding enabled and organized by Projekt DEAL.</t>
  </si>
  <si>
    <t>10.1038/s41598-020-73823-5</t>
  </si>
  <si>
    <t>OA0GJ</t>
  </si>
  <si>
    <t>WOS:000577475100020</t>
  </si>
  <si>
    <t>Filun, D; Thomisch, K; Boebel, O; Brey, T; Sirovic, A; Spiesecke, S; Van Opzeeland, I</t>
  </si>
  <si>
    <t>Filun, Diego; Thomisch, Karolin; Boebel, Olaf; Brey, Thomas; Sirovic, Ana; Spiesecke, Stefanie; Van Opzeeland, Ilse</t>
  </si>
  <si>
    <t>Frozen verses: Antarctic minke whales (Balaenoptera bonaerensis) call predominantly during austral winter</t>
  </si>
  <si>
    <t>ROYAL SOCIETY OPEN SCIENCE</t>
  </si>
  <si>
    <t>Antarctic minke whales; passive acoustic monitoring; Weddell Sea area; Greenwich area; Elephant Island; bio-duck call</t>
  </si>
  <si>
    <t>KRILL EUPHAUSIA-SUPERBA; SEA-ICE; BALEEN WHALES; MEGAPTERA-NOVAEANGLIAE; SEASONAL VARIABILITY; ACOUSTIC PRESENCE; ABUNDANCE; PATTERNS; HUMPBACK; OCEAN</t>
  </si>
  <si>
    <t>The recent identification of the bio-duck call as Antarctic minke whale (AMW) vocalization allows the use of passive acoustic monitoring to retrospectively investigate year-round spatial-temporal patterns in minke whale occurrence in ice-covered areas. Here, we present an analysis of AMW occurrence patterns based on a 9-year passive acoustic dataset (2008-2016) from 21 locations throughout the Atlantic sector of the Southern Ocean (Weddell Sea). AMWs were detected acoustically at all mooring locations from May to December, with the highest presence between August and November (bio-duck calls present at more than 80% of days). At the southernmost recording locations, the bio-duck call was present up to 10 months of the year. Substantial inter-annual variation in the seasonality of vocal activity correlated to variation in local ice concentration. Our analysis indicates that part of the AMW population stays in the Weddell Sea during austral winter. The period with the highest acoustic presence in the Weddell Sea (September-October) coincides with the timing of the breeding season of AMW in lower latitudes. The bio-duck call could therefore play a role in mating, although other behavioural functions of the call cannot be excluded to date.</t>
  </si>
  <si>
    <t>[Filun, Diego; Thomisch, Karolin; Boebel, Olaf; Brey, Thomas; Spiesecke, Stefanie; Van Opzeeland, Ilse] Helmholtz Zentrum Polar &amp; Meeresforsch, Alfred Wegener Inst, Ocean Acoust Lab, D-27570 Bremerhaven, Germany; [Filun, Diego; Brey, Thomas] Univ Bremen, Fac Biol Chem, D-28359 Bremen, Germany; [Brey, Thomas; Van Opzeeland, Ilse] Carl von Ossietzky Univ Oldenburg, Helmholtz Inst Funct Marine Biodivers HIFMB, D-26129 Oldenburg, Germany; [Sirovic, Ana] Texas A&amp;M Univ, Dept Marine Biol, Galveston, TX 77553 USA</t>
  </si>
  <si>
    <t>Helmholtz Association; Alfred Wegener Institute, Helmholtz Centre for Polar &amp; Marine Research; University of Bremen; Carl von Ossietzky Universitat Oldenburg; Texas A&amp;M University System</t>
  </si>
  <si>
    <t>Filun, D (corresponding author), Helmholtz Zentrum Polar &amp; Meeresforsch, Alfred Wegener Inst, Ocean Acoust Lab, D-27570 Bremerhaven, Germany.;Filun, D (corresponding author), Univ Bremen, Fac Biol Chem, D-28359 Bremen, Germany.</t>
  </si>
  <si>
    <t>diego.filun@awi.de</t>
  </si>
  <si>
    <t>Spiesecke, Stefanie/0000-0002-1105-7710; Sirovic, Ana/0000-0001-5097-1268; Filun, Diego/0000-0003-2789-596X</t>
  </si>
  <si>
    <t>AlfredWegener Institute for Polar and Marine Research - National Agency for Research and Development; German Academic Exchange Agency (DAAD) [91643562]</t>
  </si>
  <si>
    <t>AlfredWegener Institute for Polar and Marine Research - National Agency for Research and Development; German Academic Exchange Agency (DAAD)(Deutscher Akademischer Austausch Dienst (DAAD))</t>
  </si>
  <si>
    <t>This research was supported by funding from the AlfredWegener Institute for Polar and Marine Research. D.F. was funded by the National Agency for Research and Development (ANID) -Chile and the German Academic Exchange Agency (DAAD) grant no. 91643562.</t>
  </si>
  <si>
    <t>2054-5703</t>
  </si>
  <si>
    <t>ROY SOC OPEN SCI</t>
  </si>
  <si>
    <t>R. Soc. Open Sci.</t>
  </si>
  <si>
    <t>OCT 7</t>
  </si>
  <si>
    <t>10.1098/rsos.192112</t>
  </si>
  <si>
    <t>OG9ZR</t>
  </si>
  <si>
    <t>WOS:000582233500001</t>
  </si>
  <si>
    <t>Jánosi, IM; Baki, A; Beims, MW; Gallas, JAC</t>
  </si>
  <si>
    <t>Janosi, Imre M.; Baki, Agnes; Beims, Marcus W.; Gallas, Jason A. C.</t>
  </si>
  <si>
    <t>Bottom-to-top decomposition of time series by smoothness-controlled cubic splines: Uncovering distinct freezing-melting dynamics between the Arctic and the Antarctic</t>
  </si>
  <si>
    <t>PHYSICAL REVIEW RESEARCH</t>
  </si>
  <si>
    <t>EMPIRICAL MODE DECOMPOSITION; EMD</t>
  </si>
  <si>
    <t>The classical methods of identifying significant slow components (modes) in a strongly fluctuating signal usually require strict stationarity. A notable exception is the procedure called empirical mode decomposition (EMD), which is designed to work well for nonstationary and nonlinear (quasiperiodic) time series. However, EMD has some well-known limitations such as the end divergence effect, mode mixing, and the general problem of interpreting the modes. Methods to overcome these limitations, such as ensemble EMD or complete ensemble EMD with adaptive noise, promise an exact reconstruction of the original signal and a better spectral separation of the intrinsic mode functions (IMFs). All these variants share the feature that the decomposition runs from the top to the bottom: The first few IMFs represent the noise contribution and the last is a long-term trend. Here we propose a decomposition from the bottom to the top, by the introduction of smoothness-controlled cubic spline fits. The key tool is a systematic scan by cubic spline fits with an input parameter controlling the smoothness, essentially the number of knots. Regression qualities are evaluated by the usual coefficient of determination R-2, which grows monotonically when the number of knots increases. In contrast, the growth rate of R-2 is not monotonic: When an essential slow mode is approached, the growth rate exhibits a local minimum. We demonstrate that this behavior provides an optimal tool to identify strongly quasiperiodic slow modes in nonstationary signals. We illustrate the capability of our method by reconstruction of a synthetic signal composed of a chirp, a strong nonlinear background, and a large-amplitude additive noise, where all EMD-based algorithms fail spectacularly. As a practical application, we identify essential slow modes in daily ice extent anomalies at both the Arctic and the Antarctic. Our analysis demonstrates the distinct freezing-melting dynamics on the two poles, where apparently different factors are determining the time evolution of ice sheets. Thus, we believe that our methodology offers a competitive tool to identify modes in strongly fluctuating data and advances significantly the state of the art regarding the decomposition of nonlinear time series.</t>
  </si>
  <si>
    <t>[Janosi, Imre M.; Baki, Agnes] Eotvos Lorand Univ, Dept Phys Complex Syst, Pazmany Peter St 1-A, H-1117 Budapest, Hungary; [Beims, Marcus W.] Univ Fed Parana, Dept Fis, BR-81531990 Curitiba, Parana, Brazil; [Gallas, Jason A. C.] Inst Altos Estudos Paraiba, Rua Silvino Lopes 419-2502, BR-58039190 Joao Pessoa, Paraiba, Brazil; [Gallas, Jason A. C.] Complex Sci Ctr, 9225 Collins Ave, Surfside, FL 33154 USA; [Janosi, Imre M.; Beims, Marcus W.] Max Planck Inst Phys Komplexer Syst, Nothnitzer Str 38, D-01187 Dresden, Germany</t>
  </si>
  <si>
    <t>Eotvos Lorand University; Universidade Federal do Parana; Max Planck Society</t>
  </si>
  <si>
    <t>Jánosi, IM (corresponding author), Eotvos Lorand Univ, Dept Phys Complex Syst, Pazmany Peter St 1-A, H-1117 Budapest, Hungary.;Jánosi, IM (corresponding author), Max Planck Inst Phys Komplexer Syst, Nothnitzer Str 38, D-01187 Dresden, Germany.</t>
  </si>
  <si>
    <t>imre.janosi@ttk.elte.hu</t>
  </si>
  <si>
    <t>Janosi, Imre M./H-4096-2017</t>
  </si>
  <si>
    <t>Janosi, Imre M./0000-0002-3705-5748; Gallas, Jason/0000-0003-4378-9083; Baki, Agnes/0000-0002-2163-9255</t>
  </si>
  <si>
    <t>Max-Planck Institute for the Physics of Complex Systems; Hungarian National Research, Development and Innovation Office [FK-125024, K-125171]; CNPq, Brazil [310792/2018-5, 304719/2015-3]</t>
  </si>
  <si>
    <t>Max-Planck Institute for the Physics of Complex Systems(Foundation CELLEX); Hungarian National Research, Development and Innovation Office; CNPq, Brazil(Conselho Nacional de Desenvolvimento Cientifico e Tecnologico (CNPQ))</t>
  </si>
  <si>
    <t>This work was supported by the Max-Planck Institute for the Physics of Complex Systems in the framework of an Advanced Study Group on Forecasting with Lyapunov vectors. I.M.J. was supported by the Hungarian National Research, Development and Innovation Office (Grants No. FK-125024 and No. K-125171). M.W.B. and J.A.C.G. were partially supported by CNPq, Brazil, Grants No. 310792/2018-5 and No. 304719/2015-3.</t>
  </si>
  <si>
    <t>AMER PHYSICAL SOC</t>
  </si>
  <si>
    <t>COLLEGE PK</t>
  </si>
  <si>
    <t>ONE PHYSICS ELLIPSE, COLLEGE PK, MD 20740-3844 USA</t>
  </si>
  <si>
    <t>2643-1564</t>
  </si>
  <si>
    <t>PHYS REV RES</t>
  </si>
  <si>
    <t>Phys. Rev. Res.</t>
  </si>
  <si>
    <t>10.1103/PhysRevResearch.2.043040</t>
  </si>
  <si>
    <t>Physics, Multidisciplinary</t>
  </si>
  <si>
    <t>Physics</t>
  </si>
  <si>
    <t>PO8AY</t>
  </si>
  <si>
    <t>WOS:000605390500009</t>
  </si>
  <si>
    <t>Wen, CF; Jiang, M; Huang, WX; Liu, SM</t>
  </si>
  <si>
    <t>Wen, Chengfei; Jiang, Mi; Huang, Weixin; Liu, Shumei</t>
  </si>
  <si>
    <t>Antarctic Krill Oil Attenuates Oxidative Stress via the KEAP1-NRF2 Signaling in Patients with Coronary Heart Disease</t>
  </si>
  <si>
    <t>EVIDENCE-BASED COMPLEMENTARY AND ALTERNATIVE MEDICINE</t>
  </si>
  <si>
    <t>FATTY-ACIDS; ANTIOXIDANT; SUPPLEMENTATION; ASSAY; TIME; DHA</t>
  </si>
  <si>
    <t>Background.Antarctic krill oil (AKO) has strong antioxidant activities and is effective for alleviating coronary heart disease (CHD). Kelch-like ECH-associated protein 1-NF-E2-related factor 2 (KEAP1-NRF2) axis is a crucial antioxidant signaling pathway. Thus, AKO may exert its antioxidant effects on CHD patients via KEAP1-NRF2 signaling.Methods. AKO fatty acid (FA) profiles were analyzed by using gas chromatography (GC). One hundred CHD patients were divided into the intervention (IG, AKO) and control (CG, placebo) groups. Before and after 1, 2, and 3 months of intervention, we measured serum levels of reactive oxygen species (ROS), 8-hydroxy-2-deoxyguanosine (8-OHdG), nitric oxide (NO), malondialdehyde (MDA), superoxide dismutase (SOD), reduced glutathione (GSH), and glutathione peroxidase (GPx), and KEAP1 and NRF2 levels in peripheral blood leukocytes (PBLs). Serum FAs were measured by GC at baseline and after 3-month intervention.Results. AKO contains rich eicosapentaenoic acid (EPA) and docosahexaenoic acid (DHA), which is more than 27% of total FA. The levels of EPA and DHA, KEAP1, and NRF2 in the IG group were higher than those in the CG group (p&lt;0.05). Serum levels of ROS, 8-OHdG, NO, and MDA in the IG group were lower than those in the CG group, whereas the levels of SOD, GSH, and GPx in the IG group were higher than those in the CG group (p&lt;0.05). Serum levels of saturated fatty acids (UFA) in the IG group were higher than those in the CG group, whereas reverse results were obtained for the levels of saturated fatty acids (SFA). Serum levels of EPA and DHA had a strong negative relationship with the level of ROS, whereas the ROS level had a strong negative relationship with the levels of KEAP1-NRF2.Conclusion. AKO increases antioxidant capacities of CHD patients via the KEAP1-NRF2 signaling in the PBL.</t>
  </si>
  <si>
    <t>[Wen, Chengfei] First Hosp Jilin Univ, Dept Cardiol, Changchun 130021, Peoples R China; [Jiang, Mi] First Hosp Jilin Univ, Dept Cardiac Surg, Changchun 130021, Peoples R China; [Huang, Weixin] First Hosp Jilin Univ, Dept Geriatr, Changchun 130021, Peoples R China; [Liu, Shumei] First Hosp Jilin Univ, Dept Endocrinol, Changchun 130031, Peoples R China</t>
  </si>
  <si>
    <t>Jilin University; Jilin University; Jilin University; Jilin University</t>
  </si>
  <si>
    <t>Liu, SM (corresponding author), First Hosp Jilin Univ, Dept Endocrinol, Changchun 130031, Peoples R China.</t>
  </si>
  <si>
    <t>wenchengfei00@126.com; jiangmidr@126.com; huangwx11@126.com; liushumeijl@126.com</t>
  </si>
  <si>
    <t>1741-427X</t>
  </si>
  <si>
    <t>1741-4288</t>
  </si>
  <si>
    <t>EVID-BASED COMPL ALT</t>
  </si>
  <si>
    <t>Evid.-based Complement Altern. Med.</t>
  </si>
  <si>
    <t>10.1155/2020/9534137</t>
  </si>
  <si>
    <t>Integrative &amp; Complementary Medicine</t>
  </si>
  <si>
    <t>OI4HH</t>
  </si>
  <si>
    <t>WOS:000583241300002</t>
  </si>
  <si>
    <t>Sun, N; Wang, TT; Wang, D; Cui, PB; Hu, SJ; Jiang, PF; Lin, SY</t>
  </si>
  <si>
    <t>Sun, Na; Wang, Tongtong; Wang, Di; Cui, Pengbo; Hu, Shengjie; Jiang, Pengfei; Lin, Songyi</t>
  </si>
  <si>
    <t>Antarctic Krill Derived Nonapeptide as an Effective Iron-Binding Ligand for Facilitating Iron Absorption via the Small Intestine</t>
  </si>
  <si>
    <t>JOURNAL OF AGRICULTURAL AND FOOD CHEMISTRY</t>
  </si>
  <si>
    <t>Antarctic krill peptide; iron binding; gastrointestinal digestion; stability; iron absorption; peptide absorption</t>
  </si>
  <si>
    <t>THR-LYS-GLU; TRANSEPITHELIAL TRANSPORT; PROTEIN HYDROLYSATE; PEPTIDE; BIOAVAILABILITY; CASEIN; WHEY; COMPLEXES; CHELATE</t>
  </si>
  <si>
    <t>A novel nonapeptide DTDSEEEIR identified from Antarctic krill (Euphausia superba) iron-binding peptides was used in this study to analyze its iron-binding sites and structural changes after iron coordination. The enzymatic resistance and transport of DTDSEEEIR-iron during gastrointestinal digestion and absorption as well as the relationship between the DTDSEEEIR stability and the enhancement of iron absorption were further explored. Results revealed that iron ions spontaneously bound to the carboxyl, hydroxyl, and amino groups of the DTDSEEEIR peptide, which induced the folding of DTDSEEEIR to form a more orderly structure. The DTDSEEEIR peptide remained stable to a certain extent (79.60 +/- 0.19%) after gastrointestinal digestion and the coordination of iron improved the digestive stability of the DTDSEEEIR peptide (93.89 +/- 1.37%). Moreover, the stability of DTDSEEEIR across intestinal epithelium had a positive effect on iron absorption, which implied that DTDSEEEIR might carry iron ions through intestinal epithelial cells.</t>
  </si>
  <si>
    <t>[Sun, Na; Wang, Tongtong; Wang, Di; Cui, Pengbo; Hu, Shengjie; Jiang, Pengfei; Lin, Songyi] Dalian Polytech Univ, Sch Food Sci &amp; Technol, Natl Engn Res Ctr Seafood, Dalian 116034, Peoples R China; [Sun, Na; Jiang, Pengfei; Lin, Songyi] Dalian Polytech Univ, Collaborat Innovat Ctr Seafood Deep Proc, Dalian 116034, Peoples R China</t>
  </si>
  <si>
    <t>Dalian Polytechnic University; Dalian Polytechnic University</t>
  </si>
  <si>
    <t>Lin, SY (corresponding author), Dalian Polytech Univ, Sch Food Sci &amp; Technol, Natl Engn Res Ctr Seafood, Dalian 116034, Peoples R China.;Lin, SY (corresponding author), Dalian Polytech Univ, Collaborat Innovat Ctr Seafood Deep Proc, Dalian 116034, Peoples R China.</t>
  </si>
  <si>
    <t>linsongyi730@163.com</t>
  </si>
  <si>
    <t>Liu, Yixuan/JFJ-2820-2023; wang, tong/HTR-5412-2023; Hu, shengjie/JCP-5531-2023; li, tong/JYO-7530-2024</t>
  </si>
  <si>
    <t>Hu, Shengjie/0000-0002-9374-3131</t>
  </si>
  <si>
    <t>National Natural Science Foundation of China [31972008]; Natural Science Foundation of Liaoning Province of China [2019-ZD-0130]</t>
  </si>
  <si>
    <t>National Natural Science Foundation of China(National Natural Science Foundation of China (NSFC)); Natural Science Foundation of Liaoning Province of China(Natural Science Foundation of Liaoning Province)</t>
  </si>
  <si>
    <t>This work was financially supported by the National Natural Science Foundation of China (31972008) and the Natural Science Foundation of Liaoning Province of China (2019-ZD-0130).</t>
  </si>
  <si>
    <t>0021-8561</t>
  </si>
  <si>
    <t>1520-5118</t>
  </si>
  <si>
    <t>J AGR FOOD CHEM</t>
  </si>
  <si>
    <t>J. Agric. Food Chem.</t>
  </si>
  <si>
    <t>10.1021/acs.jafc.0c03223</t>
  </si>
  <si>
    <t>Agriculture, Multidisciplinary; Chemistry, Applied; Food Science &amp; Technology</t>
  </si>
  <si>
    <t>Agriculture; Chemistry; Food Science &amp; Technology</t>
  </si>
  <si>
    <t>OE4OO</t>
  </si>
  <si>
    <t>WOS:000580512000025</t>
  </si>
  <si>
    <t>Di Franco, D; Linse, K; Griffiths, HJ; Haas, C; Saeedi, H; Brandt, A</t>
  </si>
  <si>
    <t>Di Franco, Davide; Linse, Katrin; Griffiths, Huw J.; Haas, Christian; Saeedi, Hanieh; Brandt, Angelika</t>
  </si>
  <si>
    <t>Abundance and Distributional Patterns of Benthic Peracarid Crustaceans From the Atlantic Sector of the Southern Ocean and Weddell Sea</t>
  </si>
  <si>
    <t>the Weddell Sea; Southern Ocean; ice coverage; environmental variables; Peracarida; Crustacea; abundance; distribution pattern</t>
  </si>
  <si>
    <t>MARGINAL ICE-ZONE; CLIMATE-CHANGE; MONOPOREIA-AFFINIS; ANTARCTIC BENTHOS; ORGANIC-MATTER; BOUNDARY-LAYER; SOFT-BOTTOM; ROSS SEA; DEEP; SHELF</t>
  </si>
  <si>
    <t>Climate change is influencing some environmental variables in the Southern Ocean (SO) and this will have an effect on the marine biodiversity. Peracarid crustaceans are one of the dominant and most species-rich groups of the SO benthos. To date, our knowledge on the influence of environmental variables in shaping abundance and species composition in the SO's peracarid assemblages is limited, and with regard to ice coverage it is unknown. The aim of our study was to assess the influence of sea ice coverage, chlorophyll-a, and phytoplankton concentrations on abundance, distribution and assemblage structure of peracarids. In addition, the influence of other physical parameters on peracarid abundance was assessed, including depth, temperature, salinity, sediment type, current velocity, oxygen, iron, nitrate, silicate and phosphate. Peracarids were sampled with an epibenthic sledge (EBS) in different areas of the Atlantic sector of the SO and in the Weddell Sea. Sampling areas were characterized by different regimes of ice coverage (the ice free South Orkney Islands, the seasonally ice-covered Filchner Trough and the Eastern Antarctic Peninsula including the Prince Gustav Channel which was formerly covered by a perennial ice shelf). In total 64766 individuals of peracarids were collected and identified to order level including five orders: Amphipoda, Cumacea, Isopoda, Mysidacea, and Tanaidacea. Amphipoda was the most abundant taxon, representing 32% of the overall abundances, followed by Cumacea (31%), Isopoda (29%), Mysidacea (4%), and Tanaidacea (4%). The Filchner Trough had the highest abundance of peracarids, while the South Orkney Islands showed the lowest abundance compared to other areas. Ice coverage was the main environmental driver shaping the abundance pattern and assemblage structure of peracarids and the latter were positively correlated with ice coverage and chlorophyll-a concentration. We propose that the positive correlation between sea ice and peracarid abundances is likely due to phytoplankton blooms triggered by seasonal sea ice melting, which might increase the food availability for benthos. Variations in ice coverage extent and seasonality due to climate change would strongly influence the abundance and assemblage structure of benthic peracarids.</t>
  </si>
  <si>
    <t>[Di Franco, Davide; Saeedi, Hanieh; Brandt, Angelika] Senckenberg Res Inst, Dept Marine Zool, Frankfurt, Germany; [Di Franco, Davide; Saeedi, Hanieh; Brandt, Angelika] Nat Hist Museum, Frankfurt, Germany; [Di Franco, Davide; Saeedi, Hanieh; Brandt, Angelika] Goethe Univ Frankfurt, Inst Ecol Divers &amp; Evolut, Frankfurt, Germany; [Linse, Katrin; Griffiths, Huw J.] British Antarctic Survey, Cambridge, England; [Haas, Christian] Alfred Wegener Inst Polar &amp; Marine Res, Bremerhaven, Germany; [Saeedi, Hanieh] Ocean Biodivers Informat Syst OBIS, Frankfurt, Germany</t>
  </si>
  <si>
    <t>Senckenberg Gesellschaft fur Naturforschung (SGN); Goethe University Frankfurt; UK Research &amp; Innovation (UKRI); Natural Environment Research Council (NERC); NERC British Antarctic Survey; Helmholtz Association; Alfred Wegener Institute, Helmholtz Centre for Polar &amp; Marine Research</t>
  </si>
  <si>
    <t>Di Franco, D (corresponding author), Senckenberg Res Inst, Dept Marine Zool, Frankfurt, Germany.;Di Franco, D (corresponding author), Nat Hist Museum, Frankfurt, Germany.;Di Franco, D (corresponding author), Goethe Univ Frankfurt, Inst Ecol Divers &amp; Evolut, Frankfurt, Germany.</t>
  </si>
  <si>
    <t>davide.di-franco@senckenberg.de</t>
  </si>
  <si>
    <t>Griffiths, Huw J/D-4234-2009; Di Franco, Davide/AAY-7768-2020; Saeedi, Hanieh/AAD-9374-2020</t>
  </si>
  <si>
    <t>Griffiths, Huw J/0000-0003-1764-223X; Di Franco, Davide/0000-0002-4595-839X;</t>
  </si>
  <si>
    <t>Deutsche Forschungsgemeinschaft (DFG) [Br1121/51-1]; Natural Environment Research Council (NERC) (NC-Science); NERC urgency grant [NE/R012296/1]; [REKLIM-2013-04]; NERC [NE/R012296/1, bas0100036] Funding Source: UKRI</t>
  </si>
  <si>
    <t>Deutsche Forschungsgemeinschaft (DFG)(German Research Foundation (DFG)); Natural Environment Research Council (NERC) (NC-Science)(UK Research &amp; Innovation (UKRI)Natural Environment Research Council (NERC)); NERC urgency grant(UK Research &amp; Innovation (UKRI)Natural Environment Research Council (NERC)); ; NERC(UK Research &amp; Innovation (UKRI)Natural Environment Research Council (NERC))</t>
  </si>
  <si>
    <t>DD and AB and their participation in the RV Polarstern expedition PS118 were funded by the Deutsche Forschungsgemeinschaft (DFG; Br1121/51-1). KL and HG are part of the British Antarctic Survey Polar Science for Planet Earth Programme. It was funded by the Natural Environment Research Council (NERC) (NC-Science), and included the funding for the RSS James Clark Ross expeditions JR275 and JR15005. The RSS James Clark Ross expedition JR17003a was funded by the NERC urgency grant NE/R012296/1. Multiyear ice data from 15/10/1978 to 15/03/2019 were obtained from https://www.meereisportal.de (grant: REKLIM-2013-04).</t>
  </si>
  <si>
    <t>10.3389/fmars.2020.554663</t>
  </si>
  <si>
    <t>NZ4YG</t>
  </si>
  <si>
    <t>WOS:000577101700001</t>
  </si>
  <si>
    <t>Dar, SS; Ghosh, P; Swaraj, A; Kumar, A</t>
  </si>
  <si>
    <t>Dar, Shaakir Shabir; Ghosh, Prosenjit; Swaraj, Ankit; Kumar, Anil</t>
  </si>
  <si>
    <t>Craig-Gordon model validation using stable isotope ratios in water vapor over the Southern Ocean</t>
  </si>
  <si>
    <t>HYDROGEN ISOTOPES; OXYGEN; FRACTIONATION; DEUTERIUM; MOISTURE</t>
  </si>
  <si>
    <t>The stable oxygen and hydrogen isotopic composition of water vapor over a water body is governed by the isotopic composition of surface water and ambient vapor, exchange and mixing processes at the water-air interface, and the local meteorological conditions. These parameters form inputs to the Craig-Gordon models, used for predicting the isotopic composition of vapor produced from the surface water due to the evaporation process. In this study we present water vapor, surface water isotope ratios and meteorological parameters across latitudinal transects in the Southern Ocean (27.38-69.34 and 21.98-66.8 degrees S) during two austral summers. The performance of Traditional Craig-Gordon (TCG) (Craig and Gordon, 1965) and the Unified Craig-Gordon (UCG) (Gonfiantini et al., 2018) models is evaluated to predict the isotopic composition of evaporated water vapor flux in the diverse oceanic settings. The models are run for the molecular diffusivity ratios suggested by Merlivat (1978), Cappa et al. (2003) and Pfahl and Wernli (2009), referred to as MJ, CD and PW, respectively, and different turbulent indices (x), i.e., fractional contribution of molecular vs. turbulent diffusion. It is found that the UCG(x=0.8)(MJ), UCG(x=0.6)(CD), TCG(x=0.6)(MJ) and TCG(x=0.7)(CD) models predicted the isotopic composition that best matches with the observations. The relative contribution from locally generated and advected moisture is calculated at the water vapor sampling points, along the latitudinal transects, assigning the representative end-member isotopic compositions, and by solving the two-component mixing model. The results suggest a varying contribution of the advected westerly component, with an increasing trend up to 65 degrees S. Beyond 65 degrees S, the proportion of Antarctic moisture was found to be prominent and increasing linearly towards the coast.</t>
  </si>
  <si>
    <t>[Dar, Shaakir Shabir; Ghosh, Prosenjit] Indian Inst Sci, Ctr Earth Sci, Bengaluru 560012, Karnataka, India; [Ghosh, Prosenjit; Swaraj, Ankit] Indian Inst Sci, Divecha Ctr Climate Change, Bengaluru 560012, Karnataka, India; [Kumar, Anil] Natl Ctr Polar &amp; Ocean Res, Vasco Da Gama 403804, Goa, India</t>
  </si>
  <si>
    <t>Indian Institute of Science (IISC) - Bangalore; Indian Institute of Science (IISC) - Bangalore; Ministry of Earth Sciences (MoES) - India; National Centre for Polar and Ocean Research (NCPOR)</t>
  </si>
  <si>
    <t>Ghosh, P (corresponding author), Indian Inst Sci, Ctr Earth Sci, Bengaluru 560012, Karnataka, India.;Ghosh, P (corresponding author), Indian Inst Sci, Divecha Ctr Climate Change, Bengaluru 560012, Karnataka, India.</t>
  </si>
  <si>
    <t>pghosh@iisc.ac.in</t>
  </si>
  <si>
    <t>Dar, Shaakir Shabir/0000-0001-8739-269X</t>
  </si>
  <si>
    <t>Ministry of Earth Sciences, India [NCAOR/OSSG/IISc/01/2015-17]</t>
  </si>
  <si>
    <t>Ministry of Earth Sciences, India</t>
  </si>
  <si>
    <t>This research has been supported by the Ministry of Earth Sciences, India (grant no. NCAOR/OSSG/IISc/01/2015-17).</t>
  </si>
  <si>
    <t>OCT 6</t>
  </si>
  <si>
    <t>10.5194/acp-20-11435-2020</t>
  </si>
  <si>
    <t>OC2IQ</t>
  </si>
  <si>
    <t>WOS:000578984200001</t>
  </si>
  <si>
    <t>Widhelm, TJ; Grewe, F; Huang, JP; Ramanauskas, K; Mason-Gamer, R; Lumbsch, HT</t>
  </si>
  <si>
    <t>Widhelm, Todd J.; Grewe, Felix; Huang, Jen-Pan; Ramanauskas, Karolis; Mason-Gamer, Roberta; Lumbsch, H. Thorsten</t>
  </si>
  <si>
    <t>Using RADseq to understand the circum-Antarctic distribution of a lichenized fungus,Pseudocyphellaria glabra</t>
  </si>
  <si>
    <t>JOURNAL OF BIOGEOGRAPHY</t>
  </si>
  <si>
    <t>biogeography; dispersal; evolution; lichen; lichenized fungi; population genetics; subantarctic; systematics</t>
  </si>
  <si>
    <t>LONG-DISTANCE DISPERSAL; NEW-ZEALAND FLORA; SOUTHERN-HEMISPHERE; PLATE-TECTONICS; PLANT; BIOGEOGRAPHY; EVOLUTION; ALGORITHM; SEQUENCE; ORIGIN</t>
  </si>
  <si>
    <t>Aim The Southern Ocean landmasses have intrigued biologists for centuries because they share many taxonomic groups. Such disjunct taxa can provide insight into evolutionary processes that connect populations or drive divergence. The lichenized fungusPseudocyphellaria glabra, for example, has a disjunct distribution-separated by the Tasman Sea and the Pacific Ocean-yet whether these locations should be genetically distinct is unclear. The large distances between continents may be expected to prohibit gene flow, but strong and sustained winds in the Southern Hemisphere and the small size ofP. glabrapropagules may facilitate migration. We compared support for these two hypotheses. Location Southeastern Australia, Tasmania, New Zealand and Southern Chile. Taxon Pseudocyphellaria glabra(Hook. f. &amp; Taylor) C.W. Dodge, 1948 (Ascomycota, Peltigeraceae) Methods We collected 371 samples across the disjunct range ofP. glabra. We generated genomic data using restriction site-associated DNA sequencing and reconstructed a Maximum Likelihood phylogeny using 29,098 unlinked SNPs. We then conducted population genomic analyses using 3,756 SNPs including a minimum-spanning network, principal components analysis, discriminate analysis of principal components, and k-means clustering. Results Maximum likelihood analysis recovered multiple well-supported clades that roughly corresponded to geography. Population genomic analyses identified genetic structuring that generally corresponded with geographic distance; however, some individuals from Chile and Australia were assigned to genetic clusters found in New Zealand, suggesting that recent dispersal events from New Zealand have successfully colonized Chile and Australia. Main conclusion Populations ofP. glabrafrom Australia, Chile and New Zealand are genetically distinct, but frequent long-distance dispersal during the Quaternary probably prevented speciation. This study demonstrates the power of restriction-site associated DNA sequencing for discernment between divergent and connective evolutionary forces that simultaneously influence the population structure of species with disjunct ranges in the Southern Ocean landmasses.</t>
  </si>
  <si>
    <t>[Widhelm, Todd J.; Grewe, Felix; Huang, Jen-Pan; Lumbsch, H. Thorsten] Field Museum, Grainger Bioinformat Ctr, Gantz Family Collect Ctr, Dept Sci &amp; Educ, Chicago, IL USA; [Widhelm, Todd J.; Ramanauskas, Karolis; Mason-Gamer, Roberta] Univ Illinois, Dept Biol Sci, Chicago, IL 60680 USA; [Huang, Jen-Pan] Acad Sinica, Biodivers Res Ctr, Taipei, Taiwan</t>
  </si>
  <si>
    <t>Field Museum of Natural History (Chicago); University of Illinois System; University of Illinois Chicago; University of Illinois Chicago Hospital; Academia Sinica - Taiwan</t>
  </si>
  <si>
    <t>Widhelm, TJ (corresponding author), Field Museum, Gantz Family Collect Ctr, Chicago, IL 60605 USA.</t>
  </si>
  <si>
    <t>twidhelm@fieldmuseum.org</t>
  </si>
  <si>
    <t>Lumbsch, Thorsten/K-3573-2012</t>
  </si>
  <si>
    <t>Widhelm, Todd/0000-0001-6453-3429; Grewe, Felix/0000-0002-2805-5930; Ramanauskas, Karolis/0000-0002-3513-0695</t>
  </si>
  <si>
    <t>American Bryological and Lichenological Society; University of Illinois at Chicago; National Science Foundation [DEB-1354884]; Tawani Foundation; Robert A. Pritzker Center for Meteoritics and Polar Studies</t>
  </si>
  <si>
    <t>American Bryological and Lichenological Society; University of Illinois at Chicago; National Science Foundation(National Science Foundation (NSF)); Tawani Foundation; Robert A. Pritzker Center for Meteoritics and Polar Studies</t>
  </si>
  <si>
    <t>American Bryological and Lichenological Society; University of Illinois at Chicago; National Science Foundation, Grant/Award Number: DEB-1354884; Robert A. Pritzker Center for Meteoritics and Polar Studies; Tawani Foundation</t>
  </si>
  <si>
    <t>0305-0270</t>
  </si>
  <si>
    <t>1365-2699</t>
  </si>
  <si>
    <t>J BIOGEOGR</t>
  </si>
  <si>
    <t>J. Biogeogr.</t>
  </si>
  <si>
    <t>10.1111/jbi.13983</t>
  </si>
  <si>
    <t>PS5BO</t>
  </si>
  <si>
    <t>WOS:000575314900001</t>
  </si>
  <si>
    <t>Dominguez, TE; Kaur, K; Burri, L</t>
  </si>
  <si>
    <t>Dominguez, Tonje E.; Kaur, Kiranpreet; Burri, Lena</t>
  </si>
  <si>
    <t>Enhanced omega-3 index after long- versus short-chain omega-3 fatty acid supplementation in dogs</t>
  </si>
  <si>
    <t>VETERINARY MEDICINE AND SCIENCE</t>
  </si>
  <si>
    <t>Alpha-linolenic acid; astaxanthin krill oil; flaxseed oil; Omega-3 Index; omega-3 long-chain polyunsaturated fatty acids</t>
  </si>
  <si>
    <t>POLYUNSATURATED FATTY-ACIDS; ALPHA-LINOLENIC ACID; RED-BLOOD-CELL; DOCOSAHEXAENOIC ACID; PLASMA; OIL</t>
  </si>
  <si>
    <t>Background The Omega-3 Index is a test that measures the amount of the long-chain omega-3 polyunsaturated fatty acids (n-3 PUFAs), eicosapentaenoic acid (EPA) and docosahexaenoic acid (DHA) in red blood cell membranes, which is expressed as a percentage of all fatty acids. However, alpha-linolenic acid (ALA) from flaxseed oil, which is a short-chain n-3 PUFA, is often promoted in pet feed as a n-3 source, implicitly assuming it is an effective precursor of EPA and DHA. Objective This study was aimed to compare the effect of supplementation with a plant-based short-chain n-3 PUFA source (flaxseed oil, FSO) with a marine long-chain n-3 PUFA source (astaxanthin krill oil, AKO) to increase the Omega-3 Index in dogs. Methods Ten adult Alaskan Huskies of both genders were supplemented daily with 1,155 mg of EPA/DHA from AKO, whereas another 10 dogs received 1,068 mg ALA from flaxseed oil for 6 weeks. Fatty acid and Omega-3 Index measurements of the two groups were taken after 0, 3 and 6 weeks for comparison. Results The EPA and DHA concentrations increased significantly only in the dogs fed with AKO resulting in a significant increase in mean Omega-3 Index, from 1.68% at baseline to 2.7% after 6 weeks of supplementation (p &lt; .0001). On the contrary, both EPA and DHA concentrations decreased significantly in the dogs fed with FSO, which led to a significant decrease in mean Omega-3 Index from 1.6% at baseline to 0.96% at study end (p &lt; .0001). Conclusions The results showed that supplementation of AKO from Antarctic krill led to a significant increase in the Omega-3 Index in comparison to FSO in dogs. This suggests that preformed marine EPA and DHA sources are needed in dog feeds, as the dietary requirements proposed by feed industry organizations are not met with conversion from short-chain n-3 fatty acids.</t>
  </si>
  <si>
    <t>[Dominguez, Tonje E.; Kaur, Kiranpreet; Burri, Lena] Aker BioMarine Antarctic AS, Lysaker, Norway</t>
  </si>
  <si>
    <t>Burri, L (corresponding author), Aker BioMarine Antarctic AS, Lysaker, Norway.</t>
  </si>
  <si>
    <t>lena.burri@akerbiomarine.com</t>
  </si>
  <si>
    <t>111 RIVER ST, HOBOKEN, NJ 07030 USA</t>
  </si>
  <si>
    <t>2053-1095</t>
  </si>
  <si>
    <t>VET MED SCI</t>
  </si>
  <si>
    <t>Vet. Med. Sci.</t>
  </si>
  <si>
    <t>10.1002/vms3.369</t>
  </si>
  <si>
    <t>Veterinary Sciences</t>
  </si>
  <si>
    <t>RJ1OZ</t>
  </si>
  <si>
    <t>WOS:000575316900001</t>
  </si>
  <si>
    <t>Baeza, N; Mercade, E</t>
  </si>
  <si>
    <t>Baeza, Nicolas; Mercade, Elena</t>
  </si>
  <si>
    <t>Relationship Between Membrane Vesicles, Extracellular ATP and Biofilm Formation in Antarctic Gram-Negative Bacteria</t>
  </si>
  <si>
    <t>Membrane vesicles; Gram-negative bacteria; Biofilm; Extracellular ATP; Antarctica</t>
  </si>
  <si>
    <t>ADENOSINE-TRIPHOSPHATE ATP; PSEUDOMONAS-AERUGINOSA; BIOGENESIS; QUANTIFICATION; LOCUS</t>
  </si>
  <si>
    <t>Biofilms offer a safe environment that favors bacterial survival; for this reason, most pathogenic and environmental bacteria live integrated in biofilm communities. The development of biofilms is complex and involves many factors, which need to be studied in order to understand bacterial behavior and control biofilm formation when necessary. We used a collection of cold-adapted Antarctic Gram-negative bacteria to study whether their ability to form biofilms is associated with a capacity to produce membrane vesicles and secrete extracellular ATP. In most of the studied strains, no correlation was found between biofilm formation and these two factors. OnlyShewanella vesiculosaM7(T)secreted high levels of extracellular ATP, and its membrane vesicles caused a significant increase in the speed and amount of biofilm formation. In this strain, an important portion of the exogenous ATP was contained in membrane vesicles, where it was protected from apyrase treatment. These results confirm that ATP influences biofilm formation. Although the role of extracellular ATP in prokaryotes is still not well understood, the metabolic cost of its production suggests it has an important function, such as a role in biofilm formation. Thus, the liberation of extracellular ATP through membrane vesicles and its function deserve further study.</t>
  </si>
  <si>
    <t>[Baeza, Nicolas; Mercade, Elena] Univ Barcelona, Dept Biol Sanitat &amp; Medi Ambient, Seccio Microbiol, Barcelona, Spain</t>
  </si>
  <si>
    <t>University of Barcelona</t>
  </si>
  <si>
    <t>Mercade, E (corresponding author), Univ Barcelona, Dept Biol Sanitat &amp; Medi Ambient, Seccio Microbiol, Barcelona, Spain.</t>
  </si>
  <si>
    <t>mmercade@ub.edu</t>
  </si>
  <si>
    <t>Mercade, Elena/L-5218-2014</t>
  </si>
  <si>
    <t>Mercade, Elena/0000-0001-7828-2210</t>
  </si>
  <si>
    <t>Ministerio de Economia y Competitividad, Spain [CTQ2014-59632-R, BES-2015-074582]; Departament d'Innovacio, Universitats i Empresa from the Autonomous Goverment of Catalonia [2014SGR1017]</t>
  </si>
  <si>
    <t>Ministerio de Economia y Competitividad, Spain(Spanish Government); Departament d'Innovacio, Universitats i Empresa from the Autonomous Goverment of Catalonia</t>
  </si>
  <si>
    <t>This work received funding from grant CTQ2014-59632-R to EM, and a scholarship BES-2015-074582 to NB, both from the Ministerio de Economia y Competitividad, Spain; they also received a grant 2014SGR1017 from the Departament d'Innovacio, Universitats i Empresa from the Autonomous Goverment of Catalonia. The funders had no role in the study design, data collection and analysis, decision to publish, or preparation of the manuscript.</t>
  </si>
  <si>
    <t>10.1007/s00248-020-01614-6</t>
  </si>
  <si>
    <t>QZ9FD</t>
  </si>
  <si>
    <t>WOS:000575755400003</t>
  </si>
  <si>
    <t>De Vleeschouwer, D; Drury, AJ; Vahlenkamp, M; Rochholz, F; Liebrand, D; Pälike, H</t>
  </si>
  <si>
    <t>De Vleeschouwer, David; Drury, Anna Joy; Vahlenkamp, Maximilian; Rochholz, Fiona; Liebrand, Diederik; Paelike, Heiko</t>
  </si>
  <si>
    <t>High-latitude biomes and rock weathering mediate climate-carbon cycle feedbacks on eccentricity timescales</t>
  </si>
  <si>
    <t>OLIGOCENE-MIOCENE TRANSITION; ANTARCTIC ICE-SHEET; EQUATORIAL PACIFIC; EARLY PLIOCENE; GLOBAL CHANGE; SITE U1334; ATLANTIC; RECORDS; EVOLUTION; MYR</t>
  </si>
  <si>
    <t>The International Ocean Discovery Programme (IODP) and its predecessors generated a treasure trove of Cenozoic climate and carbon cycle dynamics. Yet, it remains unclear how climate and carbon cycle interacted under changing geologic boundary conditions. Here, we present the carbon isotope (delta C-13) megasplice, documenting deep-ocean delta C-13 evolution since 35 million years ago (Ma). We juxtapose the delta C-13 megasplice with its delta O-18 counterpart and determine their phase-difference on similar to 100-kyr eccentricity timescales. This analysis reveals that 2.4-Myr eccentricity cycles modulate the delta C-13-delta O-18 phase relationship throughout the Oligo-Miocene (34-6Ma), potentially through changes in continental weathering. At 6Ma, a striking switch from in-phase to anti-phase behaviour occurs, signalling a reorganization of the climate-carbon cycle system. We hypothesize that this transition is consistent with Arctic cooling: Prior to 6Ma, low-latitude continental carbon reservoirs expanded during astronomically-forced cool spells. After 6Ma, however, continental carbon reservoirs contract rather than expand during cold periods due to competing effects between Arctic biomes (ice, tundra, taiga). We conclude that, on geologic timescales, System Earth experienced state-dependent modes of climate-carbon cycle interaction. Climate and carbon cycle interactions during major Earth system changes through the Cenozoic remain unclear. Here, the authors present a combined delta C-13-delta O-18 megasplice for the last 35Ma which allows them to identify three marked intervals of distinct climate-carbon cycle interactions.</t>
  </si>
  <si>
    <t>[De Vleeschouwer, David; Drury, Anna Joy; Vahlenkamp, Maximilian; Rochholz, Fiona; Liebrand, Diederik; Paelike, Heiko] Univ Bremen, MARUM Ctr Marine &amp; Environm Sci, Klagenfurterstr 2-4, D-28359 Bremen, Germany; [Drury, Anna Joy] UCL, Dept Earth Sci, Gower St, London WC1E 6BT, England; [Rochholz, Fiona] Padag Hsch Heidelberg, Res Grp Earth Observat, Czernyring 22-10-12, D-69120 Heidelberg, Germany</t>
  </si>
  <si>
    <t>University of Bremen; University of London; University College London</t>
  </si>
  <si>
    <t>De Vleeschouwer, D (corresponding author), Univ Bremen, MARUM Ctr Marine &amp; Environm Sci, Klagenfurterstr 2-4, D-28359 Bremen, Germany.</t>
  </si>
  <si>
    <t>ddevleeschouwer@marum.de</t>
  </si>
  <si>
    <t>Lieband, Diederik/AAT-2004-2021; Pälike, Heiko/A-6560-2008; De Vleeschouwer, David/ABA-6115-2020; Drury, Anna Joy/A-5237-2017</t>
  </si>
  <si>
    <t>Lieband, Diederik/0000-0002-6925-7889; Pälike, Heiko/0000-0003-3386-0923; De Vleeschouwer, David/0000-0002-3323-807X; Drury, Anna Joy/0000-0001-6206-7284; Rochholz, Fiona/0000-0002-9404-1836</t>
  </si>
  <si>
    <t>Cluster of Excellence: The Ocean Floor-Earth's Uncharted Interface</t>
  </si>
  <si>
    <t>This research used samples and data provided by the International Ocean Discovery Programme (IODP). Figure 4 was created using clipart designed by Freepik. This research is part of ERC Consolidator Grant EarthSequencing awarded to H.P. DDV is currently funded through the Cluster of Excellence: The Ocean Floor-Earth's Uncharted Interface.</t>
  </si>
  <si>
    <t>10.1038/s41467-020-18733-w</t>
  </si>
  <si>
    <t>OB4RJ</t>
  </si>
  <si>
    <t>WOS:000578458200009</t>
  </si>
  <si>
    <t>Risaro, J; Williams, GC; Pereyra, D; Lauretta, D</t>
  </si>
  <si>
    <t>Risaro, Jessica; Williams, Gary C.; Pereyra, Daniela; Lauretta, Daniel</t>
  </si>
  <si>
    <t>Umbellula pomona sp. nov., a new sea pen from Mar del Plata Submarine Canyon (Cnidaria: Octocorallia: Pennatulacea)</t>
  </si>
  <si>
    <t>EUROPEAN JOURNAL OF TAXONOMY</t>
  </si>
  <si>
    <t>Argentina; benthos; octocorals; taxonomy; biodiversity</t>
  </si>
  <si>
    <t>SOUTHWESTERN ATLANTIC WATERS; DEEP-SEA; 1ST RECORD; ANTHOZOA; GENUS; ARGENTINA; OCEAN; DNA</t>
  </si>
  <si>
    <t>Sea pens (Cnidaria: Anthozoa: Pennatulacea) constitute a distinctive group of colonial marine invertebrates. They inhabit the world' s oceans, from shallow to deep waters. Studies about this group in Argentina are scarce, and no species have been described in the area in over a decade. Based on samples collected in Mar del Plata Submarine Canyon at about 3000 m deep we describe a new species of sea pen, Umbellula pomona Risaro, Williams &amp; Lauretta sp. nov. This is a spiculate Umbellula that differs from other species of Umbellula with sclerites, by the number, development and distribution of the autozooids in its terminal cluster, as well as the shape of its axis. Molecular data also distinguishes it from other known species. Of the forty-three described species approximately ten arc considered valid for the genus Umbellula, four of them are registered for the South Atlantic Ocean and only three are described for the Antarctic region. Since sampling efforts in this area have been scarce, the number of species of sea pens from the region is likely to increase substantially in the coming years.</t>
  </si>
  <si>
    <t>[Risaro, Jessica; Pereyra, Daniela; Lauretta, Daniel] Consejo Nacl Invest Cient &amp; Tecn, Museo Argentino Ciencias Nat Bernardino Rivadavia, Av Angel Gallardo 470, Buenos Aires, DF, Argentina; [Williams, Gary C.] Calif Acad Sci, Dept Invertebrate Zool &amp; Geol, Golden Gate Pk, San Francisco, CA 94118 USA</t>
  </si>
  <si>
    <t>Museo Argentino de Ciencias Naturales Bernardino Rivadavia (MACN); Consejo Nacional de Investigaciones Cientificas y Tecnicas (CONICET); California Academy of Sciences</t>
  </si>
  <si>
    <t>Risaro, J (corresponding author), Consejo Nacl Invest Cient &amp; Tecn, Museo Argentino Ciencias Nat Bernardino Rivadavia, Av Angel Gallardo 470, Buenos Aires, DF, Argentina.</t>
  </si>
  <si>
    <t>jessicarisaro@gmail.com; gwilliams@calacademy.org; mdr.pereyra@gmail.com; dlauretta@gmail.com</t>
  </si>
  <si>
    <t>CONICET-National Scientific and Technical Research Council [PIP 2017-0643]; Idea Wild; PADI (Professional Association of Diving Instructors); PICT (Agencia Nacional de Promocion Cientifica y Tecnologica) [2013-2504]; National Scientific and Technical Research Council (Argentina)</t>
  </si>
  <si>
    <t>CONICET-National Scientific and Technical Research Council; Idea Wild; PADI (Professional Association of Diving Instructors); PICT (Agencia Nacional de Promocion Cientifica y Tecnologica); National Scientific and Technical Research Council (Argentina)</t>
  </si>
  <si>
    <t>This work was supported by PIP 2017-0643 (CONICET-National Scientific and Technical Research Council), an Idea Wild and PADI (Professional Association of Diving Instructors) grant to Daniel Lauretta; and a PICT (Agencia Nacional de Promocion Cientifica y Tecnologica) 2013-2504 grant to Pablo Penchaszadeh. Support was provided by the National Scientific and Technical Research Council (Argentina) to Daniel Lauretta.</t>
  </si>
  <si>
    <t>MUSEUM NATL HISTOIRE NATURELLE</t>
  </si>
  <si>
    <t>PARIS</t>
  </si>
  <si>
    <t>SERVICE PUBLICATIONS SCIENTIFIQUES, 57 RUE CUVIER, 75005 PARIS, FRANCE</t>
  </si>
  <si>
    <t>2118-9773</t>
  </si>
  <si>
    <t>EUR J TAXON</t>
  </si>
  <si>
    <t>Eur. J. Taxon.</t>
  </si>
  <si>
    <t>OCT 5</t>
  </si>
  <si>
    <t>10.5852/ejt.2020.720.1121</t>
  </si>
  <si>
    <t>Plant Sciences; Entomology; Zoology</t>
  </si>
  <si>
    <t>PN6XQ</t>
  </si>
  <si>
    <t>Green Published, Green Submitted, gold</t>
  </si>
  <si>
    <t>WOS:000604620400007</t>
  </si>
  <si>
    <t>Moreno-Chamarro, E; Ortega, P; Massonnet, F</t>
  </si>
  <si>
    <t>Moreno-Chamarro, Eduardo; Ortega, Pablo; Massonnet, Francois</t>
  </si>
  <si>
    <t>Impact of the ice thickness distribution discretization on the sea ice concentration variability in the NEMO3.6-LIM3 global ocean-sea ice model</t>
  </si>
  <si>
    <t>GEOSCIENTIFIC MODEL DEVELOPMENT</t>
  </si>
  <si>
    <t>NORTH-ATLANTIC OSCILLATION; CLIMATE VARIABILITY; R PACKAGE; MELT; CLUSTERS; DRIVEN; REGION; AGE</t>
  </si>
  <si>
    <t>This study assesses the impact of different sea ice thickness distribution (ITD) discretizations on the sea ice concentration (SIC) variability in ocean stand-alone NEMO3.6-LIM3 simulations. Three ITD discretizations with different numbers of sea ice thickness categories and boundaries are evaluated against three different satellite products (hereafter referred to as data). Typical model and data interannual SIC variability is characterized by K-means clustering both in the Arctic and Antarctica between 1979 and 2014. We focus on two seasons, winter (January-March) and summer (August-October), in which correlation coefficients across clusters in individual months are largest. In the Arctic, clusters are computed before and after detrending the series with a second-degree polynomial to separate interannual from longer-term variability. The analysis shows that, before detrending, winter clusters reflect the SIC response to large-scale atmospheric variability at both poles, while summer clusters capture the negative and positive trends in Arctic and Antarctic SIC, respectively. After detrending, Arctic clusters reflect the SIC response to interannual atmospheric variability predominantly. The cluster analysis is complemented with a model-data comparison of the sea ice extent and SIC anomaly patterns. The single-category discretization shows the worst model-data agreement in the Arctic summer before detrending, related to a misrepresentation of the long-term melting trend. Similarly, increasing the number of thin categories reduces model-data agreement in the Arctic, due to a poor representation of the summer melting trend and an overly large winter sea ice volume associated with a net increase in basal ice growth. In contrast, more thin categories improve model realism in Antarctica, and more thick ones improve it in central Arctic regions with very thick ice. In all the analyses we nonetheless identify no optimal discretization. Our results thus suggest that no clear benefit in the representation of SIC variability is obtained from increasing the number of sea ice thickness categories beyond the current standard with five categories in NEMO3.6-LIM3.</t>
  </si>
  <si>
    <t>[Moreno-Chamarro, Eduardo; Ortega, Pablo] Barcelona Supercomp Ctr BSC, Barcelona, Spain; [Massonnet, Francois] Catholic Univ Louvain, Georges Lemaitre Ctr Earth &amp; Climate Res, Earth &amp; Life Inst, Louvain La Neuve, Belgium</t>
  </si>
  <si>
    <t>Universitat Politecnica de Catalunya; Barcelona Supercomputer Center (BSC-CNS); Universite Catholique Louvain</t>
  </si>
  <si>
    <t>Moreno-Chamarro, E (corresponding author), Barcelona Supercomp Ctr BSC, Barcelona, Spain.</t>
  </si>
  <si>
    <t>eduardo.moreno@bsc.es</t>
  </si>
  <si>
    <t>Moreno-Chamarro, Eduardo/ABF-9676-2021; Ortega, Pablo/ABE-7884-2020; Massonnet, Francois/J-5315-2014</t>
  </si>
  <si>
    <t>Moreno-Chamarro, Eduardo/0000-0002-7931-5149; Ortega, Pablo/0000-0002-4135-9621; Massonnet, Francois/0000-0002-4697-5781</t>
  </si>
  <si>
    <t>European Commission [GA 727862, GA 641727]</t>
  </si>
  <si>
    <t>European Commission(European Union (EU)European Commission Joint Research Centre)</t>
  </si>
  <si>
    <t>This research has been supported by the European Commission's Horizon 2020 APPLICATE project (grant no. GA 727862) and the European Commission's Horizon 2020 PRIMAVERA project (grant no. GA 641727).</t>
  </si>
  <si>
    <t>1991-959X</t>
  </si>
  <si>
    <t>1991-9603</t>
  </si>
  <si>
    <t>GEOSCI MODEL DEV</t>
  </si>
  <si>
    <t>Geosci. Model Dev.</t>
  </si>
  <si>
    <t>10.5194/gmd-13-4773-2020</t>
  </si>
  <si>
    <t>NZ5RO</t>
  </si>
  <si>
    <t>WOS:000577163100001</t>
  </si>
  <si>
    <t>Barrett, J; Chase, Z; Zhang, J; Holl, MMB; Willis, K; Williams, A; Hardesty, BD; Wilcox, C</t>
  </si>
  <si>
    <t>Barrett, Justine; Chase, Zanna; Zhang, Jing; Holl, Mark M. Banaszak; Willis, Kathryn; Williams, Alan; Hardesty, Britta D.; Wilcox, Chris</t>
  </si>
  <si>
    <t>Microplastic Pollution in Deep-Sea Sediments From the Great Australian Bight</t>
  </si>
  <si>
    <t>deep-sea; fiber; fragment; microplastics; pollution; sediment</t>
  </si>
  <si>
    <t>MARINE DEBRIS; PLASTICS; ORGANISMS; CIRCULATION; ENVIRONMENT; QUANTITIES; IMPACTS; SIZE</t>
  </si>
  <si>
    <t>Interest in understanding the extent of plastic and specifically microplastic pollution has increased on a global scale. However, we still know relatively little about how much plastic pollution has found its way into the deeper areas of the world's oceans. The extent of microplastic pollution in deep-sea sediments remains poorly quantified, but this knowledge is imperative for predicting the distribution and potential impacts of global plastic pollution. To address this knowledge gap, we quantified microplastics in deep-sea sediments from the Great Australian Bight using an adapted density separation and dye fluorescence technique. We analyzed sediment cores from six locations (1-6 cores each, n = 16 total samples) ranging in depth from 1,655 to 3,062 m and offshore distances ranging from 288 to 356 km from the Australian coastline. Microplastic counts ranged from 0 to 13.6 fragments per g dry sediment (mean 1.26 +/- 0.68; n = 51). We found substantially higher microplastic counts than recorded in other analyses of deep-sea sediments. Overall, the number of microplastic fragments in the sediment increased as surface plastic counts increased, and as the seafloor slope angle increased. However, microplastic counts were highly variable, with heterogeneity between sediment cores from the same location greater than the variation across sampling sites. Based on our empirical data, we conservatively estimate 14 million tonnes of microplastic reside on the ocean floor.</t>
  </si>
  <si>
    <t>[Barrett, Justine; Williams, Alan; Hardesty, Britta D.; Wilcox, Chris] CSIRO, Oceans &amp; Atmosphere, Hobart, Tas, Australia; [Chase, Zanna] Univ Tasmania, Inst Marine &amp; Antarctic Studies, Hobart, Tas, Australia; [Zhang, Jing; Holl, Mark M. Banaszak] Monash Univ, Dept Chem Engn, Clayton, Vic, Australia; [Willis, Kathryn] Univ Tasmania, Ctr Marine Socioecol, Hobart, Tas, Australia; [Willis, Kathryn] Univ Tasmania, Sch Social Sci, Hobart, Tas, Australia</t>
  </si>
  <si>
    <t>Commonwealth Scientific &amp; Industrial Research Organisation (CSIRO); University of Tasmania; Monash University; University of Tasmania; University of Tasmania</t>
  </si>
  <si>
    <t>Barrett, J (corresponding author), CSIRO, Oceans &amp; Atmosphere, Hobart, Tas, Australia.</t>
  </si>
  <si>
    <t>justine.barrett@csiro.au</t>
  </si>
  <si>
    <t>Hardesty, Britta Denise/A-3189-2011; Holl, Mark Banaszak/AAH-3777-2021; Chase, Zanna/E-9232-2013</t>
  </si>
  <si>
    <t>Holl, Mark Banaszak/0000-0001-7759-7456; Chase, Zanna/0000-0001-5060-779X; Barrett, Justine/0000-0003-1340-9481; Zhang, Jing/0000-0002-7560-121X; Willis, Kathryn/0000-0001-7614-1027</t>
  </si>
  <si>
    <t>CSIRO Oceans and Atmosphere; Great Australian Bight Deepwater Marine Program (GABDMP); Chevron Australia</t>
  </si>
  <si>
    <t>We wish to thank the CSIRO Oceans and Atmosphere and the Great Australian Bight Deepwater Marine Program (GABDMP) for funding this project. The GABDMP is a CSIRO-led research program sponsored by Chevron Australia, with data generated to be made publicly available. We thank Andy Ross for providing the opportunity and then engineering the ROV sampling program so that these extra samples could be taken. We also thank several seagoing staff from CSIRO, notably Mark Green, for collecting the samples. We also thank Qamar Schuyler for her assistance with statistical analysis and Robert Walch from Walch Optics for his assistance with microscopy matters. Finally, we thank T. J. Lawson, Peter Thompson, Pascal Craw, and Andrew Revill for the loan of laboratory equipment to undertake this project.</t>
  </si>
  <si>
    <t>10.3389/fmars.2020.576170</t>
  </si>
  <si>
    <t>NZ2TU</t>
  </si>
  <si>
    <t>WOS:000576950400001</t>
  </si>
  <si>
    <t>Parchikolaei, HM; Kenari, AA; Esmaeili, M</t>
  </si>
  <si>
    <t>Montazeri Parchikolaei, Homeyra; Abedian Kenari, Abdolmohamad; Esmaeili, Moha</t>
  </si>
  <si>
    <t>Soya bean-based diets plus probiotics improve the profile of fatty acids, digestibility, intestinal microflora, growth performance and the innate immunity of beluga (Huso huso)</t>
  </si>
  <si>
    <t>AQUACULTURE RESEARCH</t>
  </si>
  <si>
    <t>digestibility; fishmeal replacement; growth performance; immunostimulants; phosphorus</t>
  </si>
  <si>
    <t>FERMENTED SOYBEAN-MEAL; ONCORHYNCHUS-MYKISS WALBAUM; SOLID-STATE FERMENTATION; JUVENILE OLIVE FLOUNDER; ALLIUM-SATIVUM POWDER; RAINBOW-TROUT; FISH-MEAL; BACILLUS-SUBTILIS; BODY-COMPOSITION; HEMATOLOGICAL PARAMETERS</t>
  </si>
  <si>
    <t>This study was conducted to investigate the effect of different methods of using probioticsBacillus subtilisandBacillus licheniformisin soya bean-based diets on the physiology of beluga(Huso huso) (351 +/- 4 g). Five experimental diets were formulated to feed beluga for 10 weeks. The results showed that there was no significant difference in weight gain between control (446 g) and 70%SBM-SPRAY2 (409 g) treatments. Long-chain polyunsaturated fatty acids in the muscle of beluga fed control (203.2 g/kg) and 70%SBM-SPRAY2 (166.4 g/kg) diet did not change statistically. Blood performance as a newly introduced factor in individuals fed dietary control (64.06) and 70%SBM-SPRAY2 (64.33) had higher value as compared with those fed dietary 70%SBM-DIET2 (61.90) (p &lt; 0.05). Also, total protein (1.68 g/dl) and RBC (0.74 x 10(6)/mm(3)) in fish fed 70%SBM were statistically lower than other treatments (p &lt; 0.05). Lysozyme, alternative complement activity and total viable counts in beluga fed dietary probiotics were significantly higher than others. In conclusion, feeding fish with the 70%SBM-SPRAY2 diet improved fish growth and health.</t>
  </si>
  <si>
    <t>[Montazeri Parchikolaei, Homeyra; Abedian Kenari, Abdolmohamad] Tarbiat Modares Univ, Fac Nat Resources &amp; Marine Sci, Dept Aquaculture, POB 64414-356, Noor, Mazandaran, Iran; [Esmaeili, Moha] Univ Tasmania, Inst Marine &amp; Antarctic Studies, Hobart, Tas, Australia</t>
  </si>
  <si>
    <t>Tarbiat Modares University; University of Tasmania</t>
  </si>
  <si>
    <t>Kenari, AA (corresponding author), Tarbiat Modares Univ, Fac Nat Resources &amp; Marine Sci, Dept Aquaculture, POB 64414-356, Noor, Mazandaran, Iran.</t>
  </si>
  <si>
    <t>aabedian@modares.ac.ir</t>
  </si>
  <si>
    <t>Esmaeili, Noah/Q-4536-2019; Abedian Kenari, Abdolmohammad/JWP-0761-2024</t>
  </si>
  <si>
    <t>Esmaeili, Noah/0000-0001-8704-939X; Abedian Kenari, Abdolmohammad/0000-0003-3410-3908</t>
  </si>
  <si>
    <t>Iran National Science Foundation; Tarbiat Modares University</t>
  </si>
  <si>
    <t>Iran National Science Foundation(Iran National Science Foundation (INSF)); Tarbiat Modares University</t>
  </si>
  <si>
    <t>1355-557X</t>
  </si>
  <si>
    <t>1365-2109</t>
  </si>
  <si>
    <t>AQUAC RES</t>
  </si>
  <si>
    <t>Aquac. Res.</t>
  </si>
  <si>
    <t>10.1111/are.14877</t>
  </si>
  <si>
    <t>PH6QU</t>
  </si>
  <si>
    <t>WOS:000575127600001</t>
  </si>
  <si>
    <t>Ingels, J; Aronson, RB; Smith, CR; Baco, A; Bik, HM; Blake, JA; Brandt, A; Cape, M; Demaster, D; Dolan, E; Domack, E; Fire, S; Geisz, H; Gigliotti, M; Griffiths, H; Halanych, KM; Havermans, C; Huettmann, F; Ishman, S; Kranz, SA; Leventer, A; Mahon, AR; McClintock, J; McCormick, ML; Mitchell, BG; Murray, AE; Peck, L; Rogers, A; Shoplock, B; Smith, KE; Steffel, B; Stukel, MR; Sweetman, AK; Taylor, M; Thurber, AR; Truffer, M; van de Putte, A; Vanreusel, A; Zamora-Duran, MA</t>
  </si>
  <si>
    <t>Ingels, Jeroen; Aronson, Richard B.; Smith, Craig R.; Baco, Amy; Bik, Holly M.; Blake, James A.; Brandt, Angelika; Cape, Mattias; Demaster, David; Dolan, Emily; Domack, Eugene; Fire, Spencer; Geisz, Heidi; Gigliotti, Michael; Griffiths, Huw; Halanych, Kenneth M.; Havermans, Charlotte; Huettmann, Falk; Ishman, Scott; Kranz, Sven A.; Leventer, Amy; Mahon, Andrew R.; McClintock, James; McCormick, Michael L.; Mitchell, B. Greg; Murray, Alison E.; Peck, Lloyd; Rogers, Alex; Shoplock, Barbara; Smith, Kathryn E.; Steffel, Brittan; Stukel, Michael R.; Sweetman, Andrew K.; Taylor, Michelle; Thurber, Andrew R.; Truffer, Martin; van de Putte, Anton; Vanreusel, Ann; Zamora-Duran, Maria Angelica</t>
  </si>
  <si>
    <t>Antarctic ecosystem responses following ice-shelf collapse and iceberg calving: Science review and future research</t>
  </si>
  <si>
    <t>WILEY INTERDISCIPLINARY REVIEWS-CLIMATE CHANGE</t>
  </si>
  <si>
    <t>Antarctic; climate change; ecosystems; ice shelf</t>
  </si>
  <si>
    <t>BENTHIC COMMUNITY RESPONSE; BASAL MELT RATES; SEA-ICE; SOUTHERN-OCEAN; CLIMATE-CHANGE; AMUNDSEN SEA; WEDDELL SEA; CONTINENTAL-SHELF; MARINE ECOSYSTEM; EAST ANTARCTICA</t>
  </si>
  <si>
    <t>The calving of A-68, the 5,800-km(2), 1-trillion-ton iceberg shed from the Larsen C Ice Shelf in July 2017, is one of over 10 significant ice-shelf loss events in the past few decades resulting from rapid warming around the Antarctic Peninsula. The rapid thinning, retreat, and collapse of ice shelves along the Antarctic Peninsula are harbingers of warming effects around the entire continent. Ice shelves cover more than 1.5 million km(2)and fringe 75% of Antarctica's coastline, delineating the primary connections between the Antarctic continent, the continental ice, and the Southern Ocean. Changes in Antarctic ice shelves bring dramatic and large-scale modifications to Southern Ocean ecosystems and continental ice movements, with global-scale implications. The thinning and rate of future ice-shelf demise is notoriously unpredictable, but models suggest increased shelf-melt and calving will become more common. To date, little is known about sub-ice-shelf ecosystems, and our understanding of ecosystem change following collapse and calving is predominantly based on responsive science once collapses have occurred. In this review, we outline what is known about (a) ice-shelf melt, volume loss, retreat, and calving, (b) ice-shelf-associated ecosystems through sub-ice, sediment-core, and pre-collapse and post-collapse studies, and (c) ecological responses in pelagic, sympagic, and benthic ecosystems. We then discuss major knowledge gaps and how science might address these gaps. This article is categorized under: Climate, Ecology, and Conservation &gt; Modeling Species and Community Interactions</t>
  </si>
  <si>
    <t>[Ingels, Jeroen; Dolan, Emily; Geisz, Heidi; Shoplock, Barbara] Florida State Univ, Coastal &amp; Marine Lab, St Teresa, FL 32358 USA; [Aronson, Richard B.; Fire, Spencer; Gigliotti, Michael; Steffel, Brittan; Zamora-Duran, Maria Angelica] Florida Inst Technol, Dept Ocean Engn &amp; Marine Sci, Melbourne, FL 32901 USA; [Smith, Craig R.] Univ Hawaii Manoa, Dept Oceanog, Honolulu, HI 96822 USA; [Baco, Amy; Kranz, Sven A.; Stukel, Michael R.] Florida State Univ, Dept Earth Ocean &amp; Atmospher Sci, Tallahassee, FL 32306 USA; [Bik, Holly M.] Univ Georgia, Dept Marine Sci, Athens, GA 30602 USA; [Blake, James A.] Aquat Res &amp; Consulting, Duxbury, MA USA; [Brandt, Angelika] Senckenberg Res Inst &amp; Museum, Frankfurt, Germany; [Brandt, Angelika] Goethe Univ Frankfurt, Inst Ecol Evolut &amp; Div, Frankfurt, Germany; [Cape, Mattias] Univ Washington, Sch Oceanog, Seattle, WA 98195 USA; [Demaster, David] North Carolina State Univ, Dept Marine Earth &amp; Atmospher Sci, Box 8208, Raleigh, NC 27695 USA; [Domack, Eugene] Univ S Florida, St Petersburg, FL 33701 USA; [Griffiths, Huw; Peck, Lloyd] British Antarctic Survey, Biodivers Evolut &amp; Adaptat, Cambridge, England; [Halanych, Kenneth M.] Auburn Univ, Dept Biol Sci, Auburn, AL 36849 USA; [Halanych, Kenneth M.] Auburn Univ, Molette Biol Lab Environm &amp; Climate Change Studie, Auburn, AL 36849 USA; [Havermans, Charlotte] Univ Bremen, BreMarE Bremen Marine Ecol Ctr Res &amp; Educ, Bremen, Germany; [Havermans, Charlotte] Helmholtz Ctr Polar &amp; Marine Res, Alfred Wegener Inst, Funct Ecol, Bremerhaven, Germany; [Huettmann, Falk; Truffer, Martin] Univ Alaska, Dept Biol &amp; Wildlife, Inst Arctic Biol, Fairbanks, AK 99775 USA; [Ishman, Scott] Southern Illinois Univ, Coll Agr Life &amp; Phys Sci, Carbondale, IL USA; [Leventer, Amy] Colgate Univ, Dept Geol, Hamilton, NY 13346 USA; [Mahon, Andrew R.] Cent Michigan Univ, Dept Biol, Mt Pleasant, MI 48859 USA; [McClintock, James] Univ Alabama Birmingham, Dept Biol, Birmingham, AL 35294 USA; [McCormick, Michael L.] Hamilton Coll, Dept Biol, Clinton, NY 13323 USA; [Mitchell, B. Greg] Univ Calif San Diego, Scripps Inst Oceanog, San Diego, CA 92103 USA; [Murray, Alison E.] Desert Res Inst, Div Earth &amp; Ecosyst Sci, Reno, NV USA; [Rogers, Alex] REV Ocean, Lysaker, Norway; [Smith, Kathryn E.] Marine Biol Assoc UK, Plymouth, Devon, England; [Sweetman, Andrew K.] Herriot Watt Univ, Lyell Ctr Earth &amp; Marine Sci &amp; Technol, Deep Sea Ecol &amp; Biogeochem Res Grp, Edinburgh, Midlothian, Scotland; [Taylor, Michelle] Univ Essex, Sch Life Sci, Colchester, Essex, England; [Thurber, Andrew R.] Oregon State Univ, Coll Earth Ocean &amp; Atmospher Sci, Corvallis, OR 97331 USA; [van de Putte, Anton] Royal Belgian Inst Nat Sci, BEDIC, OD Nat, Brussels, Belgium; [Vanreusel, Ann] Univ Ghent, Dept Biol, Marine Biol Res Grp, Ghent, Belgium</t>
  </si>
  <si>
    <t>State University System of Florida; Florida State University; Florida Institute of Technology; University of Hawaii System; University of Hawaii Manoa; State University System of Florida; Florida State University; University System of Georgia; University of Georgia; Senckenberg Gesellschaft fur Naturforschung (SGN); Goethe University Frankfurt; University of Washington; University of Washington Seattle; North Carolina State University; State University System of Florida; University of South Florida; UK Research &amp; Innovation (UKRI); Natural Environment Research Council (NERC); NERC British Antarctic Survey; Auburn University System; Auburn University; Auburn University System; Auburn University; University of Bremen; Helmholtz Association; Alfred Wegener Institute, Helmholtz Centre for Polar &amp; Marine Research; University of Alaska System; University of Alaska Fairbanks; Southern Illinois University System; Southern Illinois University; Colgate University; Central Michigan University; University of Alabama System; University of Alabama Birmingham; Hamilton College; University of California System; University of California San Diego; Scripps Institution of Oceanography; Nevada System of Higher Education (NSHE); Desert Research Institute NSHE; Marine Biological Association United Kingdom; Heriot Watt University; University of Essex; Oregon State University; Royal Belgian Institute of Natural Sciences; Ghent University</t>
  </si>
  <si>
    <t>Ingels, J (corresponding author), Florida State Univ, Coastal &amp; Marine Lab, St Teresa, FL 32358 USA.</t>
  </si>
  <si>
    <t>jingels@fsu.edu</t>
  </si>
  <si>
    <t>Kranz, Sven/ABG-9009-2020; Smith, kathryn/KBC-9376-2024; Fire, Spencer E/P-6040-2014; McCormick, Michael L/A-2308-2008; Cape, Mattias/KCK-4444-2024; Taylor, Michelle/AAY-3864-2021; Griffiths, Huw J/D-4234-2009; Stukel, Michael R/F-9029-2013; Halanych, Ken M/A-9480-2009; Taylor, Michelle/C-3918-2015; Ingels, Jeroen/A-1691-2008</t>
  </si>
  <si>
    <t>Griffiths, Huw J/0000-0003-1764-223X; Leventer, Amy/0000-0001-9401-0987; Aronson, Richard/0000-0003-0383-3844; Mahon, Andrew/0000-0002-5074-8725; Rogers, Alex David/0000-0002-4864-2980; Taylor, Michelle/0000-0001-7271-4385; Havermans, Charlotte/0000-0002-1126-4074; McCormick, Michael/0000-0002-7403-7186; Cape, Mattias/0000-0002-5621-1128; DeMaster, David/0000-0002-7874-0637; Ingels, Jeroen/0000-0001-8342-2222; Bik, Holly/0000-0002-4356-3837; Shoplock, Barbara/0000-0002-3081-0982; Van de Putte, Anton/0000-0003-1336-5554; Smith, Craig/0000-0002-3976-0889</t>
  </si>
  <si>
    <t>British Antarctic Survey; Deutsche Forschungsgemeinschaft [HA7627/1-1, HA7627/1-2]; National Science Foundation [ANT-1043670, ANT-1043745, ANT-1744550, ANT-1750630, ANT-1750888, ANT-1750903, DBI-1262480]; Pew Charitable Trusts; University of Alabama at Birmingham; NERC [bas0100036] Funding Source: UKRI</t>
  </si>
  <si>
    <t>British Antarctic Survey; Deutsche Forschungsgemeinschaft(German Research Foundation (DFG)); National Science Foundation(National Science Foundation (NSF)); Pew Charitable Trusts; University of Alabama at Birmingham; NERC(UK Research &amp; Innovation (UKRI)Natural Environment Research Council (NERC))</t>
  </si>
  <si>
    <t>British Antarctic Survey; Deutsche Forschungsgemeinschaft, Grant/Award Numbers: HA7627/1-1, HA7627/1-2; National Science Foundation, Grant/Award Numbers: ANT-1043670, ANT-1043745, ANT-1744550, ANT-1750630, ANT-1750888, ANT-1750903, DBI-1262480; Pew Charitable Trusts; University of Alabama at Birmingham</t>
  </si>
  <si>
    <t>1757-7780</t>
  </si>
  <si>
    <t>1757-7799</t>
  </si>
  <si>
    <t>WIRES CLIM CHANGE</t>
  </si>
  <si>
    <t>Wiley Interdiscip. Rev.-Clim. Chang.</t>
  </si>
  <si>
    <t>e682</t>
  </si>
  <si>
    <t>10.1002/wcc.682</t>
  </si>
  <si>
    <t>Environmental Studies; Meteorology &amp; Atmospheric Sciences</t>
  </si>
  <si>
    <t>PH0UK</t>
  </si>
  <si>
    <t>WOS:000575013800001</t>
  </si>
  <si>
    <t>Mishra, KB; Vítek, P; Mishra, A; Hájek, J; Barták, M</t>
  </si>
  <si>
    <t>Mishra, Kumud Bandhu; Vitek, Petr; Mishra, Anamika; Hajek, Josef; Bartak, Milos</t>
  </si>
  <si>
    <t>Chlorophyll a fluorescence and Raman spectroscopy can monitor activation/deactivation of photosynthesis and carotenoids in Antarctic lichens</t>
  </si>
  <si>
    <t>SPECTROCHIMICA ACTA PART A-MOLECULAR AND BIOMOLECULAR SPECTROSCOPY</t>
  </si>
  <si>
    <t>HYDRATION; PLANTS; PERFORMANCE; CRYPTOGAMS; SCYTONEMIN; DIVERSITY; GRANITE; ECOLOGY; HISTORY; GROWTH</t>
  </si>
  <si>
    <t>[Mishra, Kumud Bandhu; Hajek, Josef; Bartak, Milos] Masaryk Univ, Fac Sci, Dept Expt Biol, Kamenice 5, Brno 62500, Czech Republic; [Mishra, Kumud Bandhu; Vitek, Petr; Mishra, Anamika] Czech Acad Sci, Global Change Res Inst, Belidla 986-4a, Brno 60300, Czech Republic</t>
  </si>
  <si>
    <t>Masaryk University Brno; Czech Academy of Sciences; Global Change Research Centre of the Czech Academy of Sciences</t>
  </si>
  <si>
    <t>Mishra, KB (corresponding author), Masaryk Univ, Fac Sci, Dept Expt Biol, Kamenice 5, Brno 62500, Czech Republic.</t>
  </si>
  <si>
    <t>mishra.k@czechglobe.cz</t>
  </si>
  <si>
    <t>Vitek, Petr/R-8022-2016; Mishra, Kumud Bandhu/C-1150-2013; Barták, Miloš/F-4714-2019; Mishra, Anamika/G-9614-2014; Hájek, Josef/F-4694-2019</t>
  </si>
  <si>
    <t>Mishra, Kumud Bandhu/0000-0002-1969-0828; Hájek, Josef/0000-0002-2679-1707; Bartak, Milos/0000-0002-3898-3626</t>
  </si>
  <si>
    <t>ECOPOLARIS project [CZ.02.1.01/0.0/0.0/16_013/0001708]; SustES - Adaptation strategies for sustainable ecosystem services and food security under adverse environmental conditions [CZ.02.1.01/0.0/0.0/16_019/0000797]; CzechPolar-2 infrastructure [LM2015078]</t>
  </si>
  <si>
    <t>ECOPOLARIS project; SustES - Adaptation strategies for sustainable ecosystem services and food security under adverse environmental conditions; CzechPolar-2 infrastructure</t>
  </si>
  <si>
    <t>The authors are grateful to the CzechPolar-2 infrastructure (LM2015078) that enabled sample collection and its handling from Antarctica. The experimental part of the work has been done in the EEL laboratory (CzechPolar infrastructure) and CzechGlobe laboratory and supported by the ECOPOLARIS project (CZ.02.1.01/0.0/0.0/16_013/0001708). Thework by KBM, AM, and PV on the development of the Raman methods was supported by SustES - Adaptation strategies for sustainable ecosystem services and food security under adverse environmental conditions (CZ.02.1.01/0.0/0.0/16_019/0000797).</t>
  </si>
  <si>
    <t>1386-1425</t>
  </si>
  <si>
    <t>1873-3557</t>
  </si>
  <si>
    <t>SPECTROCHIM ACTA A</t>
  </si>
  <si>
    <t>Spectroc. Acta Pt. A-Molec. Biomolec. Spectr.</t>
  </si>
  <si>
    <t>10.1016/j.saa.2020.118458</t>
  </si>
  <si>
    <t>Spectroscopy</t>
  </si>
  <si>
    <t>MB4JH</t>
  </si>
  <si>
    <t>WOS:000542569000004</t>
  </si>
  <si>
    <t>Balza, U; Lois, NA; Polito, MJ; Pütz, K; Salom, A; Rey, AR</t>
  </si>
  <si>
    <t>Balza, Ulises; Lois, Nicolas A.; Polito, Michael J.; Puetz, Klemens; Salom, Amira; Raya Rey, Andrea</t>
  </si>
  <si>
    <t>The dynamic trophic niche of an island bird of prey</t>
  </si>
  <si>
    <t>ecological specialization; floaters; individual ecology; intraspecific variation; nicheROVER; pulsed resources; SIBER; SIDER; trophic ecology</t>
  </si>
  <si>
    <t>ISOTOPE MIXING MODELS; CARACARAS PHALCOBOENUS-AUSTRALIS; OPTIMAL FORAGING THEORY; STABLE-ISOTOPES; DISCRIMINATION FACTORS; STRIATED CARACARAS; INTRASPECIFIC COMPETITION; INTRAPOPULATION VARIATION; FALKLAND ISLANDS; STATEN-ISLAND</t>
  </si>
  <si>
    <t>Optimal foraging theory predicts an inverse relationship between the availability of preferred prey and niche width in animals. Moreover, when individuals within a population have identical prey preferences and preferred prey is scarce, a nested pattern of trophic niche is expected if opportunistic and selective individuals can be identified. Here, we examined intraspecific variation in the trophic niche of a resident population of striated caracara (Phalcoboenus australis) on Isla de los Estados (Staten Island), Argentina, using pellet and stable isotope analyses. While this raptor specializes on seabird prey, we assessed this population's potential to forage on terrestrial prey, especially invasive herbivores as carrion, when seabirds are less accessible. We found that the isotopic niche of this species varies with season, age, breeding status, and, to a lesser extent, year. Our results were in general consistent with classic predictions of the optimal foraging theory, but we also explore other possible explanations for the observed pattern. Isotopic niche was broader for groups identified a priori as opportunistic (i.e., nonbreeding adults during the breeding season and the whole population during the nonbreeding season) than it was for individuals identified a priori as selective. Results suggested that terrestrial input was relatively low, and invasive mammals accounted for no more than 5% of the input. The seasonal pulse of rockhopper penguins likely interacts with caracara's reproductive status by constraining the spatial scale on which individuals forage. Niche expansion in spatially flexible individuals did not reflect an increase in terrestrial prey input; rather, it may be driven by a greater variation in the types of marine prey items consumed.</t>
  </si>
  <si>
    <t>[Balza, Ulises; Salom, Amira; Raya Rey, Andrea] Ctr Austral Invest Cient CADIC CONICET, Lab Ecol &amp; Conservac Vida Silvestre, Bernardo Houssay 200, Ushuaia, Argentina; [Balza, Ulises; Lois, Nicolas A.; Salom, Amira] Univ Buenos Aires, Fac Ciencias Exactas &amp; Nat, Dept Ecol Genet &amp; Evoluc, Buenos Aires, DF, Argentina; [Lois, Nicolas A.] Consejo Nacl Invest Cient &amp; Tecn, Inst Ecol Genet &amp; Evoluc Buenos Aires, Buenos Aires, DF, Argentina; [Polito, Michael J.] Louisiana State Univ, Dept Oceanog &amp; Coastal Sci, Baton Rouge, LA 70803 USA; [Puetz, Klemens] Antarctic Res Trust, Bremervorde, Germany; [Raya Rey, Andrea] Univ Nacl Tierra Del Fuego UNTdF, Inst Ciencias Polares Ambiente &amp; Recursos Nat ICP, Ushuaia, Argentina; [Raya Rey, Andrea] Wildlife Conservat Soc Representac Argentina, Buenos Aires, DF, Argentina</t>
  </si>
  <si>
    <t>Consejo Nacional de Investigaciones Cientificas y Tecnicas (CONICET); University of Buenos Aires; Consejo Nacional de Investigaciones Cientificas y Tecnicas (CONICET); Louisiana State University System; Louisiana State University</t>
  </si>
  <si>
    <t>Balza, U (corresponding author), Ctr Austral Invest Cient CADIC CONICET, Lab Ecol &amp; Conservac Vida Silvestre, Bernardo Houssay 200, Ushuaia, Argentina.</t>
  </si>
  <si>
    <t>ulisesbalza@cadic-conicet.gob.ar</t>
  </si>
  <si>
    <t>Polito, Michael/G-9118-2012; Balza, Ulises/AAO-6580-2020</t>
  </si>
  <si>
    <t>Polito, Michael/0000-0001-8639-4431; Balza, Ulises/0000-0003-1538-2438; Raya Rey, Andrea/0000-0003-0127-6650; Lois, Nicolas A./0000-0001-5664-0486</t>
  </si>
  <si>
    <t>Agencia Nacional de Promocion Cientifica y Tecnologica; Antarctic Research Trust; Wildlife Conservation Society</t>
  </si>
  <si>
    <t>Agencia Nacional de Promocion Cientifica y Tecnologica(ANPCyTSpanish Government); Antarctic Research Trust; Wildlife Conservation Society</t>
  </si>
  <si>
    <t>10.1002/ece3.6856</t>
  </si>
  <si>
    <t>OQ4KX</t>
  </si>
  <si>
    <t>WOS:000574544400001</t>
  </si>
  <si>
    <t>Cebuhar, J; Negrete, J; Botta, S</t>
  </si>
  <si>
    <t>Cebuhar, Julieta; Negrete, Javier; Botta, Silvina</t>
  </si>
  <si>
    <t>Age estimation and growth layer patterns in teeth of crabeater seals: A comparison of techniques</t>
  </si>
  <si>
    <t>aging; etched canines; growth layer groups; Lobodon carcinophaga; stained postcanines</t>
  </si>
  <si>
    <t>ANTARCTIC FUR SEALS</t>
  </si>
  <si>
    <t>Age estimation of marine mammals provides important information about ecological and life history parameters. Counting growth layer groups (GLGs) in the dentine and cementum of teeth is the most common technique for age estimation in pinnipeds. In this study, we used acid-etched canines (n= 38) and decalcified stained postcanine sections (n= 40) to calibrate readings in mummified crabeater seals (Lobodon carcinophaga). A subsample of this group received a prior cleaning treatment of boiling the teeth with hydrogen peroxide (H2O2). Ages ranged from 0 to 31 years. Dentine from canines and cementum from postcanines showed higher estimated ages (maximum 31 years) than dentine from postcanines (maximum 24 years), mainly in those teeth that did not receive prior treatment. Boiling with H(2)O(2)has shown to affect cementum structure and, thus, results in underestimated ages, but dentine did not seem to be affected. The results presented here showed that ages can be estimated for the crabeater seal regardless of which tooth/tissue or method is used, at least for seals &lt;13 years old. However, nontreated, stained thin sections of postcanine teeth are recommended because more reliable age estimations in older crabeater seals are obtained.</t>
  </si>
  <si>
    <t>[Cebuhar, Julieta] Univ Fed Rio Grande FURG, Programa Posgrad Oceanog Biol, Rio Grande, RS, Brazil; [Cebuhar, Julieta; Botta, Silvina] Univ Fed Rio Grande FURG, Lab Ecol &amp; Conservacao Megafauna Marinha, Inst Oceanog, Ave Italia Km 8 S-N, BR-96203900 Rio Grande, RS, Brazil; [Negrete, Javier] Inst Antartico Argentino, Dept Biol Predadores Tope, San Martin, Buenos Aires, Argentina; [Negrete, Javier] Univ Nacl La Plata, Fac Ciencias Nat &amp; Museo, La Plata, Buenos Aires, Argentina</t>
  </si>
  <si>
    <t>Universidade Federal do Rio Grande; Universidade Federal do Rio Grande; Instituto Antartico Argentino; National University of La Plata; Museo La Plata</t>
  </si>
  <si>
    <t>Cebuhar, J (corresponding author), Univ Fed Rio Grande FURG, Lab Ecol &amp; Conservacao Megafauna Marinha, Inst Oceanog, Ave Italia Km 8 S-N, BR-96203900 Rio Grande, RS, Brazil.</t>
  </si>
  <si>
    <t>jucebuhar@gmail.com</t>
  </si>
  <si>
    <t>Botta, Silvina/0000-0001-6219-6932; Negrete, Javier/0000-0001-6853-8307</t>
  </si>
  <si>
    <t>Instituto Antartico Argentino [16]; Direccion Nacional del Antartico [16]; INTERBIOTA Project -Brazilian Antarctic Program (CNPq) [407889/2013-2]; Programa de Excelenca Academica-PROEX; National Council for Research and Technological Development -CNPq/Brazil; Argentinean Air force</t>
  </si>
  <si>
    <t>Instituto Antartico Argentino; Direccion Nacional del Antartico; INTERBIOTA Project -Brazilian Antarctic Program (CNPq)(Conselho Nacional de Desenvolvimento Cientifico e Tecnologico (CNPQ)); Programa de Excelenca Academica-PROEX; National Council for Research and Technological Development -CNPq/Brazil; Argentinean Air force</t>
  </si>
  <si>
    <t>We want to thank Dr. L. Soibelzon, Dr. Gustavo Daneri, and R. Montiel for their assistance during the field work at Marambio Island. This work was supported by the financial and logistic aid of the Instituto Antartico Argentino and the Direccion Nacional del Antartico (Proyecto Institucional N. 16), the Argentinean Air force and INTERBIOTA Project -Brazilian Antarctic Program (CNPq grant number 407889/2013-2). All permits for sampling procedures were granted by the environmental office of Direccion Nacional del Antartico. Many thanks to Dr. Martinez Alvarez for English corrections. The Coordenac~ao de Aperfeicoamento de Pessoal de Nivel Superior-Brasil (CAPES)-provided access to the Portal de Periodicos and financial support through Programa de Excelenca Academica-PROEX. This study was part of the Master's thesis of Julieta Cebuhar at the Graduate Program in Biological Oceanography -Federal University of Rio Grande-FURG under the supervision of S.B and J.N. J.C. received a scholarship from the National Council for Research and Technological Development -CNPq/Brazil. This is a contribution of the Marine Megafauna Ecology and Conservation Research Group (Ecomega/CNPq).</t>
  </si>
  <si>
    <t>10.1111/mms.12749</t>
  </si>
  <si>
    <t>WOS:000574709100001</t>
  </si>
  <si>
    <t>Studinger, M; Medley, BC; Brunt, KM; Casey, KA; Kurtz, NT; Manizade, SS; Neumann, TA; Overly, TB</t>
  </si>
  <si>
    <t>Studinger, Michael; Medley, Brooke C.; Brunt, Kelly M.; Casey, Kimberly A.; Kurtz, Nathan T.; Manizade, Serdar S.; Neumann, Thomas A.; Overly, Thomas B.</t>
  </si>
  <si>
    <t>Temporal and spatial variability in surface roughness and accumulation rate around 88° S from repeat airborne geophysical surveys</t>
  </si>
  <si>
    <t>GREENLAND ICE-SHEET; EAST ANTARCTIC PLATEAU; SOUTH-POLE; WEST ANTARCTICA; MASS-BALANCE; SEA-ICE; SNOW ACCUMULATION; FREEBOARD RETRIEVAL; THWAITES GLACIER; CRYOSAT-2 DATA</t>
  </si>
  <si>
    <t>We use repeat high-resolution airborne geophysical data consisting of laser altimetry, snow, and Ku-band radar and optical imagery acquired in 2014, 2016, and 2017 to analyze the spatial and temporal variability in surface roughness, slope, wind deposition, and snow accumulation at 88 degrees S, an elevation bias validation site for ICESat-2 and potential validation site for CryoSat-2. We find significant small-scale variability (&lt; 10 km) in snow accumulation based on the snow radar subsurface stratigraphy, indicating areas of strong wind redistribution are prevalent at 88 degrees S. In general, highs in snow accumulation rate correspond with topographic lows, resulting in a negative correlation coefficient of r(2) = 0.32 between accumulation rate and MSWD (mean slope in the mean wind direction). This relationship is strongest in areas where the dominant wind direction is parallel to the survey profile, which is expected as the geophysical surveys only capture a two-dimensional cross section of snow redistribution. Variability in snow accumulation appears to correlate with variability in MSWD. The correlation coefficient between the standard deviations of accumulation rate and MSWD is r(2) = 0.48, indicating a stronger link between the standard deviations than the actual parameters. Our analysis shows that there is no simple relationship between surface slope, wind direction, and snow accumulation rates for the overall survey area. We find high variability in surface roughness derived from laser altimetry measurements on length scales smaller than 10 km, sometimes with very distinct and sharp transitions. Some areas also show significant temporal variability over the course of the 3 survey years. Ultimately, there is no statistically significant slopeindependent relationship between surface roughness and accumulation rates within our survey area. The observed correspondence between the small-scale temporal and spatial variability in surface roughness and backscatter, as evidenced by Ku-band radar signal strength retrievals, will make it difficult to develop elevation bias corrections for radar altimeter retrieval algorithms.</t>
  </si>
  <si>
    <t>[Studinger, Michael; Medley, Brooke C.; Brunt, Kelly M.; Casey, Kimberly A.; Kurtz, Nathan T.; Neumann, Thomas A.; Overly, Thomas B.] NASA, Goddard Space Flight Ctr, Greenbelt, MD 20771 USA; [Brunt, Kelly M.; Overly, Thomas B.] Univ Maryland, Earth Syst Sci Interdisciplinary Ctr Ess, College Pk, MD USA; [Casey, Kimberly A.] US Geol Survey, 959 Natl Ctr, Reston, VA 22092 USA; [Manizade, Serdar S.] Amentum Serv Inc, Wallops Isl, VA USA; [Manizade, Serdar S.] NASA, Wallops Flight Facil, Wallops Isl, VA USA</t>
  </si>
  <si>
    <t>National Aeronautics &amp; Space Administration (NASA); NASA Goddard Space Flight Center; University System of Maryland; University of Maryland College Park; United States Department of the Interior; United States Geological Survey; National Aeronautics &amp; Space Administration (NASA); NASA Goddard Space Flight Center; Wallops Flight Facility</t>
  </si>
  <si>
    <t>Studinger, M (corresponding author), NASA, Goddard Space Flight Ctr, Greenbelt, MD 20771 USA.</t>
  </si>
  <si>
    <t>michael.studinger@nasa.gov</t>
  </si>
  <si>
    <t>Neumann, Thomas/JLL-4672-2023</t>
  </si>
  <si>
    <t>Studinger, Michael/0000-0003-1265-4741</t>
  </si>
  <si>
    <t>NASA Cryospheric Sciences Program</t>
  </si>
  <si>
    <t>NASA Cryospheric Sciences Program(National Aeronautics &amp; Space Administration (NASA))</t>
  </si>
  <si>
    <t>This research has been supported by the NASA Cryospheric Sciences Program.</t>
  </si>
  <si>
    <t>OCT 2</t>
  </si>
  <si>
    <t>10.5194/tc-14-3287-2020</t>
  </si>
  <si>
    <t>NZ5LF</t>
  </si>
  <si>
    <t>WOS:000577143300003</t>
  </si>
  <si>
    <t>Pahlow, M; Chien, CT; Arteaga, LA; Oschlies, A</t>
  </si>
  <si>
    <t>Pahlow, Markus; Chien, Chia-Te; Arteaga, Lionel A.; Oschlies, Andreas</t>
  </si>
  <si>
    <t>Optimality-based non-Redfield plankton-ecosystem model (OPEM v1.1) in UVic-ESCM 2.9-Part 1: Implementation and model behaviour</t>
  </si>
  <si>
    <t>MARINE PRIMARY PRODUCTION; THEMED SECTION ADVANCES; EARTH SYSTEM MODELS; PHYTOPLANKTON GROWTH; NITROGEN-FIXATION; GLOBAL PATTERNS; CLIMATE MODEL; PART I; OCEAN; CARBON</t>
  </si>
  <si>
    <t>Uncertainties in projections of marine biogeochemistry from Earth system models (ESMs) are associated to a large degree with the imperfect representation of the marine plankton ecosystem, in particular the physiology of primary and secondary producers. Here, we describe the implementation of an optimality-based plankton-ecosystem model (OPEM) version 1.1 with variable carbon : nitrogen : phosphorus (C : N : P) stoichiometry in the University of Victoria ESM (UVic; Eby et al., 2009; Weaver et al., 2001) and the behaviour of two calibrated reference configurations, which differ in the assumed temperature dependence of diazotrophs. Predicted tracer distributions of oxygen and dissolved inorganic nutrients are similar to those of an earlier fixed-stoichiometry formulation in UVic (Nickelsen et al., 2015). Compared to the classic fixed-stoichiometry UVic model, OPEM is closer to recent satellite-based estimates of net community production (NCP), despite overestimating net primary production (NPP), can better reproduce deep-ocean gradients in the NO3- : PO43- ratio and partially explains observed patterns of particulate C : N : P in the surface ocean. Allowing diazotrophs to grow (but not necessarily fix N-2) at similar temperatures as other phytoplankton results in a better representation of surface Chl and NPP in the Arctic and Antarctic oceans. Deficiencies of our calibrated OPEM configurations may serve as a magnifying glass for shortcomings in global biogeochemical models and hence guide future model development. The overestimation of NPP at low latitudes indicates the need for improved representations of temperature effects on biotic processes, as well as phytoplankton community composition, which may be represented by locally varying parameters based on suitable trade-offs. The similarity in the overestimation of NPP and surface autotrophic particulate organic carbon (POC) could indicate deficiencies in the representation of top-down control or nutrient supply to the surface ocean. Discrepancies between observed and predicted vertical gradients in particulate C V N V P ratios suggest the need to include preferential P remineralisation, which could also benefit the representation of N-2 fixation. While OPEM yields a much improved distribution of surface N* (NO3- - 16 . PO43- + 2.9 mmol m(-3)), it still fails to reproduce observed N* in the Arctic, possibly related to a misrepresentation of the phytoplankton community there and the lack of benthic denitrification in the model. Coexisting ordinary and diazotrophic phytoplankton can exert strong control on N* in our simulations, which questions the interpretation of N* as reflecting the balance of N-2 fixation and denitrification.</t>
  </si>
  <si>
    <t>[Pahlow, Markus; Chien, Chia-Te; Oschlies, Andreas] GEOMAR Helmholtz Ctr Ocean Res Kiel, Dusternbrooker Weg 20, D-24105 Kiel, Germany; [Arteaga, Lionel A.] Princeton Univ, Program Atmospher &amp; Ocean Sci, Princeton, NJ 08544 USA; [Arteaga, Lionel A.] NASA, Global Modeling &amp; Assimilat Off, Univ Space Res Assoc, Columbia, MD USA</t>
  </si>
  <si>
    <t>Helmholtz Association; GEOMAR Helmholtz Center for Ocean Research Kiel; National Oceanic Atmospheric Admin (NOAA) - USA; Princeton University; National Aeronautics &amp; Space Administration (NASA); Universities Space Research Association (USRA)</t>
  </si>
  <si>
    <t>Pahlow, M (corresponding author), GEOMAR Helmholtz Ctr Ocean Res Kiel, Dusternbrooker Weg 20, D-24105 Kiel, Germany.</t>
  </si>
  <si>
    <t>mpahlow@geomar.de</t>
  </si>
  <si>
    <t>Oschlies, Andreas/F-9749-2012; Arteaga, Lionel/HRA-0626-2023; Chien, Chia-Te/AAH-5851-2021; Arteaga, Lionel/V-4549-2019</t>
  </si>
  <si>
    <t>Arteaga, Lionel/0000-0002-2796-7452; Chien, Chia-Te/0000-0002-0461-2851</t>
  </si>
  <si>
    <t>Deutsche Forschungsgemeinschaft (DFG) [SFB754]; BMBF; Integrated School of Ocean Sciences (ISOS) Kiel; NASA [NNX17AI73G]; Deutsche Forschungsgemeinschaft (DFG), Priority Programme 1704 (DynaTrait)</t>
  </si>
  <si>
    <t>Deutsche Forschungsgemeinschaft (DFG)(German Research Foundation (DFG)); BMBF(Federal Ministry of Education &amp; Research (BMBF)); Integrated School of Ocean Sciences (ISOS) Kiel; NASA(National Aeronautics &amp; Space Administration (NASA)); Deutsche Forschungsgemeinschaft (DFG), Priority Programme 1704 (DynaTrait)(German Research Foundation (DFG))</t>
  </si>
  <si>
    <t>Markus Pahlow was supported by Deutsche Forschungsgemeinschaft (DFG) by SFB754 (Sonderforschungsbereich 754 Climate-Biogeochemistry Interactions in the Tropical Ocean; http://www.sfb754.de, last access: 8 September 2020) and as part of Priority Programme 1704 (DynaTrait). Markus Pahlow and Chia-Te Chien were supported by the BMBF-funded Deutsches Zentrum fur Luft-und Raumfahrt (PalMod). Lionel A. Arteaga was partially supported by the 2014 miniproposal award from the Integrated School of Ocean Sciences (ISOS) Kiel and by NASA (award no. NNX17AI73G).</t>
  </si>
  <si>
    <t>10.5194/gmd-13-4663-2020</t>
  </si>
  <si>
    <t>NZ5LA</t>
  </si>
  <si>
    <t>WOS:000577142700001</t>
  </si>
  <si>
    <t>Alekseev, I; Abakumov, E</t>
  </si>
  <si>
    <t>Alekseev, Ivan; Abakumov, Evgeny</t>
  </si>
  <si>
    <t>The content and distribution of trace elements and polycyclic aromatic hydrocarbons in soils of Maritime Antarctica</t>
  </si>
  <si>
    <t>Soils; PAHs; Trace elements; Antarctica; Polar environments</t>
  </si>
  <si>
    <t>KING-GEORGE ISLAND; FILDES PENINSULA; ADMIRALTY BAY; HEAVY-METALS; SURFACE SEDIMENTS; MARINE-SEDIMENTS; ORGANIC-MATTER; CONTAMINATION; STATION; CRYOSOLS</t>
  </si>
  <si>
    <t>Antarctica is considered as one of the most pristine areas on Earth. However, increasing intensity of human presence on the sixth continent (scientific operations, functioning of the numerous scientific stations, tourism activities) makes it crucial to investigate the level of environmental pollution within the vulnerable ecosystem of Antarctica. Soils play a significant role in processes of accumulation, mobilization, redistribution of chemical elements within landscapes, and ecosystems. The aim of this work was to analyze the levels of 17 polycyclic aromatic hydrocarbons and eight trace elements in soils of King George and Ardley islands, Western Antarctica. Moreover, our work was aimed to determine the trends and reasons of anthropogenic pollution of Antarctic soils and characterization of accumulation levels of trace elements and PAHs. Results showed the predominance of light PAHs in all studied sites. The content of benzo(a)pyrene does not exceed the threshold concentration (adopted by different national environmental legislation systems). At the same time, the content of benzo(a)pyrene, which is a marker of anthropogenic contamination, is relatively low or equal to 0 in soils of reference landscapes. Cu and Zn were found as most abundant elements in all studied soils. The highest lead concentration content has been described in soil from Bellingshausen station. In general term, obtained Igeo values for trace elements in all samples were under or slightly above the 0 level, indicating low to moderate pollution of the studied soils. This study also contributes new data on trace element accumulation in soils strongly influenced by ornithogenic factor. Principal component analysis allowed to estimate the probable sources of specific trace metals and their relationship with soil variables. Ornithogenic factor has been also revealed as a driver for some trace element accumulation especially in breeding penguin colonies. High contents of organic matter in ornithogenic habitats could increase trace metal mobility, environmental risks for surrounding terrestrial environments should be considered.</t>
  </si>
  <si>
    <t>[Alekseev, Ivan; Abakumov, Evgeny] St Petersburg State Univ, Dept Appl Ecol, St Petersburg, Russia</t>
  </si>
  <si>
    <t>Saint Petersburg State University</t>
  </si>
  <si>
    <t>Alekseev, I (corresponding author), St Petersburg State Univ, Dept Appl Ecol, St Petersburg, Russia.</t>
  </si>
  <si>
    <t>alekseevivan95@gmail.com</t>
  </si>
  <si>
    <t>Alekseev, Ivan/H-5338-2016; Abakumov, e_abakumov@mail.ru/ADJ-1297-2022; Abakumov, Evgeny/AAO-8580-2020</t>
  </si>
  <si>
    <t>Alekseev, Ivan/0000-0002-0512-3849; Abakumov, e_abakumov@mail.ru/0000-0002-5248-9018; Abakumov, Evgeny/0000-0002-5248-9018</t>
  </si>
  <si>
    <t>Russian Scientific Foundation for Basic Research [19-54-18003, 19-05-50107, 18-04-00900]; Russian Antarctic Expedition (Arctic and Antarctic Research Institute, Saint Petersburg, Russia)</t>
  </si>
  <si>
    <t>Russian Scientific Foundation for Basic Research(Russian Science Foundation (RSF)); Russian Antarctic Expedition (Arctic and Antarctic Research Institute, Saint Petersburg, Russia)</t>
  </si>
  <si>
    <t>This study was supported by Russian Scientific Foundation for Basic Research, grant nos. 19-54-18003 Assessment of regional contribution of soils of Antarctic Islands into global carbon balance including degree of stabilization and humification of organic matter, 19-05-50107 The role of organic matter microparticles in degradation of glacier cover of polar regions and formation of soil-like bodies, 18-04-00900 Ornithogenic soils of Antarctica: formation, geography and biogeochemistry, and Russian Antarctic Expedition (Arctic and Antarctic Research Institute, Saint Petersburg, Russia).</t>
  </si>
  <si>
    <t>10.1007/s10661-020-08618-2</t>
  </si>
  <si>
    <t>NZ1XS</t>
  </si>
  <si>
    <t>WOS:000576890200002</t>
  </si>
  <si>
    <t>Alvarez-Guzmán, CL; Balderas-Hernández, VE; Leon-Rodriguez, AD</t>
  </si>
  <si>
    <t>Alvarez-Guzman, Cecilia L.; Balderas-Hernandez, Victor E.; Leon-Rodriguez, Antonio De</t>
  </si>
  <si>
    <t>Coproduction of hydrogen, ethanol and 2,3-butanediol from agro-industrial residues by the Antarctic psychrophilic GA0F bacterium</t>
  </si>
  <si>
    <t>INTERNATIONAL JOURNAL OF HYDROGEN ENERGY</t>
  </si>
  <si>
    <t>Article; Proceedings Paper</t>
  </si>
  <si>
    <t>10th International Conference on Hydrogen Production (ICH2P) / 38th Modern Science and Energy Conference (SME)</t>
  </si>
  <si>
    <t>MAY 15-17, 2019</t>
  </si>
  <si>
    <t>Cluj Napoca, ROMANIA</t>
  </si>
  <si>
    <t>Biofuels; Dark fermentation; Hydrogen; Ethanol; 2,3-Butanediol</t>
  </si>
  <si>
    <t>WHEY POWDER CWP; SUGAR-BEET MOLASSES; OIL PALM TRUNK; BIO-HYDROGEN; WASTE-WATER; FERMENTATIVE PRODUCTION; ENTEROBACTER-AEROGENES; BIOHYDROGEN PRODUCTION; KLEBSIELLA-PNEUMONIAE; MICROBIAL-PRODUCTION</t>
  </si>
  <si>
    <t>In this study, the simultaneous production of hydrogen, ethanol, and 2,3-butanediol was assessed using three agro-industrial residues: cheese whey powder (CWP), wheat straw hydrolysate (WSH) and sugarcane molasses (SCM), by the Antarctic psychrophilic GA0F bacterium [EU636050], which is closely related to Pseudomonas antarctica [KX186936.1]. The main soluble metabolites produced in all the fermentations were ethanol and 2,3-butanediol. CWP demonstrated to be the most effective carbon source, since fermentation of this substrate resulted in the highest yields of H-2 (73.5 +/- 10 cm(3) g(-1)) ethanol (0.24 +/- 0.03 g g(-1)) and 2,3-butanediol (0.42 +/- 0.04 g g(-1)), followed by the use of SCM, whereas WSH showed to have an inhibitory effect during the fermentation process, showing the lowest production values. Our results demonstrated the ability of the Antarctic psychrophilic GA0F bacterium to produce valuable products using low-cost substrates at room temperature conditions. (C) 2020 Hydrogen Energy Publications LLC. Published by Elsevier Ltd. All rights reserved.</t>
  </si>
  <si>
    <t>[Alvarez-Guzman, Cecilia L.; Balderas-Hernandez, Victor E.; Leon-Rodriguez, Antonio De] Inst Potosino Invest Cient &amp; Tecnol AC, Div Biol Mol, Camino Presa San Jose 2055,Col Lomas 4a Secc, San Luis Potosi 78216, San Luis Potosi, Mexico</t>
  </si>
  <si>
    <t>Instituto Potosino Investigacion Cientifica y Tecnologica</t>
  </si>
  <si>
    <t>Leon-Rodriguez, AD (corresponding author), Inst Potosino Invest Cient &amp; Tecnol AC, Div Biol Mol, Camino Presa San Jose 2055,Col Lomas 4a Secc, San Luis Potosi 78216, San Luis Potosi, Mexico.</t>
  </si>
  <si>
    <t>aleonr@me.com</t>
  </si>
  <si>
    <t>De Leon Rodriguez, Antonio/AFV-3188-2022</t>
  </si>
  <si>
    <t>De Leon Rodriguez, Antonio/0000-0003-3347-3499; Alvarez Guzman, Cecilia Lizeth/0000-0001-9735-9770; BALDERAS HERNANDEZ, VICTOR E/0000-0002-3295-6758</t>
  </si>
  <si>
    <t>Consejo Nacional de Ciencia y Tecnologia (CONACyT)-Basicas, Mexico [281700]; CONACyT, Mexico [330870]</t>
  </si>
  <si>
    <t>Consejo Nacional de Ciencia y Tecnologia (CONACyT)-Basicas, Mexico(Consejo Nacional de Ciencia y Tecnologia (CONACyT)); CONACyT, Mexico(Consejo Nacional de Ciencia y Tecnologia (CONACyT))</t>
  </si>
  <si>
    <t>Authors thank partial support from Consejo Nacional de Ciencia y Tecnologia (CONACyT)-Basicas, Mexico, Grant 281700. Cecilia L. Alvarez-Guzman thanks to CONACyT, Mexico, for her scholarship 330870. Authors thank to Matthew Tippett for the English grammar revision.</t>
  </si>
  <si>
    <t>0360-3199</t>
  </si>
  <si>
    <t>1879-3487</t>
  </si>
  <si>
    <t>INT J HYDROGEN ENERG</t>
  </si>
  <si>
    <t>Int. J. Hydrog. Energy</t>
  </si>
  <si>
    <t>10.1016/j.ijhydene.2020.02.105</t>
  </si>
  <si>
    <t>Chemistry, Physical; Electrochemistry; Energy &amp; Fuels</t>
  </si>
  <si>
    <t>Science Citation Index Expanded (SCI-EXPANDED); Conference Proceedings Citation Index - Science (CPCI-S)</t>
  </si>
  <si>
    <t>Chemistry; Electrochemistry; Energy &amp; Fuels</t>
  </si>
  <si>
    <t>NU4JV</t>
  </si>
  <si>
    <t>WOS:000573610100014</t>
  </si>
  <si>
    <t>Souster, TA; Barnes, DKA; Hopkins, J</t>
  </si>
  <si>
    <t>Souster, T. A.; Barnes, D. K. A.; Hopkins, J.</t>
  </si>
  <si>
    <t>Variation in zoobenthic blue carbon in the Arctic's Barents Sea shelf sediments</t>
  </si>
  <si>
    <t>PHILOSOPHICAL TRANSACTIONS OF THE ROYAL SOCIETY A-MATHEMATICAL PHYSICAL AND ENGINEERING SCIENCES</t>
  </si>
  <si>
    <t>zoobenthic; blue carbon; benthos; Arctic; Antarctic; sea ice</t>
  </si>
  <si>
    <t>CLIMATE-CHANGE; ICE LOSSES; OCEAN; PRODUCTIVITY; ECOSYSTEM; GROWTH; INCREASES; BLOOMS; GAINS; CYCLE</t>
  </si>
  <si>
    <t>The flow of carbon from atmosphere to sediment fauna and sediments reduces atmospheric CO2, which in turn reduces warming. Here, during the Changing Arctic Ocean Seafloor programme, we use comparable methods to those used in the Antarctic (vertical, calibrated camera drops and trawl-collected specimens) to calculate the standing stock of zoobenthic carbon throughout the Barents Sea. The highest numbers of morphotypes, functional groups and individuals were found in the northernmost sites (80-81.3 degrees N, 29-30 degrees E). Ordination (non-metric multidimensional scaling) suggested a cline of faunal transition from south to north. The functional group dominance differed across all six sites, despite all being apparently similar muds. Of the environmental variables we measured, only water current speed could significantly explain any of our spatial carbon differences. We found no obvious relationship with sea ice loss and thus no evidence of Arctic blue carbon-climate feedback. Blue carbon in the Barents Sea can be comparable with the highest levels in Antarctic shelf sediments. This article is part of the theme issue 'The changing Arctic Ocean: consequences for biological communities, biogeochemical processes and ecosystem functioning'.</t>
  </si>
  <si>
    <t>[Souster, T. A.] Ulster Univ, Coleraine Campus, Coleraine, Londonderry, North Ireland; [Souster, T. A.; Barnes, D. K. A.] UKRI, British Antarctic Survey, Biol Sci, Cambridge, England; [Hopkins, J.] Natl Oceanog Ctr, Marine Phys &amp; Ocean Climate, Liverpool, Merseyside, England</t>
  </si>
  <si>
    <t>Ulster University; UK Research &amp; Innovation (UKRI); Natural Environment Research Council (NERC); NERC British Antarctic Survey; NERC National Oceanography Centre</t>
  </si>
  <si>
    <t>Souster, TA (corresponding author), Ulster Univ, Coleraine Campus, Coleraine, Londonderry, North Ireland.;Souster, TA (corresponding author), UKRI, British Antarctic Survey, Biol Sci, Cambridge, England.</t>
  </si>
  <si>
    <t>ta.souster@ulster.ac.uk</t>
  </si>
  <si>
    <t>Hopkins, Joanne E/E-1209-2019; Souster, Terri/HJY-6034-2023</t>
  </si>
  <si>
    <t>Souster, Terri/0000-0002-7585-1999; Barnes, David/0000-0002-9076-7867</t>
  </si>
  <si>
    <t>Changing Arctic Oceans NERC [NE/P006000/1]; NERC [NE/P006000/2, bas0100036, NE/P006000/1] Funding Source: UKRI</t>
  </si>
  <si>
    <t>Changing Arctic Oceans NERC; NERC(UK Research &amp; Innovation (UKRI)Natural Environment Research Council (NERC))</t>
  </si>
  <si>
    <t>The authors of this article received support from the Changing Arctic Oceans NERC grant. J.H. was supported by grant no. NE/P006000/1.</t>
  </si>
  <si>
    <t>1364-503X</t>
  </si>
  <si>
    <t>1471-2962</t>
  </si>
  <si>
    <t>PHILOS T R SOC A</t>
  </si>
  <si>
    <t>Philos. Trans. R. Soc. A-Math. Phys. Eng. Sci.</t>
  </si>
  <si>
    <t>10.1098/rsta.2019.0362</t>
  </si>
  <si>
    <t>NL6UH</t>
  </si>
  <si>
    <t>WOS:000567547600010</t>
  </si>
  <si>
    <t>Kim, H; Ducklow, HW; Abele, D; Barlett, EMR; Buma, AGJ; Meredith, MP; Rozema, PD; Schofield, OM; Venables, HJ; Schloss, IR</t>
  </si>
  <si>
    <t>Kim, Hyewon; Ducklow, Hugh W.; Abele, Doris; Barlett, Eduardo M. Ruiz; Buma, Anita G. J.; Meredith, Michael P.; Rozema, Patrick D.; Schofield, Oscar M.; Venables, Hugh J.; Schloss, Irene R.</t>
  </si>
  <si>
    <t>Inter-decadal variability of phytoplankton biomass along the coastal West Antarctic Peninsula (vol 376, 20170174, 2018)</t>
  </si>
  <si>
    <t>10.1098/rsta.2020.0281</t>
  </si>
  <si>
    <t>WOS:000567547600019</t>
  </si>
  <si>
    <t>Winterl, A; Richter, S; Houstin, A; Nesterova, AP; Bonadonna, F; Schneider, W; Fabry, B; Le Bohec, C; Zitterbart, DP</t>
  </si>
  <si>
    <t>Winterl, Alexander; Richter, Sebastian; Houstin, Aymeric; Nesterova, Anna P.; Bonadonna, Francesco; Schneider, Werner; Fabry, Ben; Le Bohec, Celine; Zitterbart, Daniel P.</t>
  </si>
  <si>
    <t>micrObs - A customizable time-lapse camera for ecological studies</t>
  </si>
  <si>
    <t>HARDWAREX</t>
  </si>
  <si>
    <t>Automated camera system; Image processing; Remote sensing; Ecology; Collective behavior; Wildlife monitoring</t>
  </si>
  <si>
    <t>BEHAVIOR</t>
  </si>
  <si>
    <t>Camera traps for motion-triggered or continuous time-lapse recordings are readily available on the market. For demanding applications in ecology and environmental sciences, however, commercial systems often lack flexibility to freely adjust recording time intervals, suffer from mechanical component wear, and can be difficult to combine with auxiliary sensors such as GPS, weather stations, or light sensors. We present a robust time-lapse camera system that has been operating continuously since 2013 under the harsh climatic conditions of the Antarctic and Subantarctic regions. Thus far, we have recorded over one million images with individual cameras. The system consumes 122 mW of power in standby mode and captures up to 200,000 high-resolution (16 MPix) images without maintenance such as battery or image memory replacement. It offers time-lapse intervals between 2 s and 1 h, low-light or night-time power saving, and data logging capabilities for additional inputs such as GPS and weather data. (C) 2020 The Author(s). Published by Elsevier Ltd.</t>
  </si>
  <si>
    <t>[Winterl, Alexander; Richter, Sebastian; Schneider, Werner; Fabry, Ben; Zitterbart, Daniel P.] Friedrich Alexander Univ Erlangen Nurnberg, Dept Phys, Erlangen, Germany; [Winterl, Alexander; Richter, Sebastian; Zitterbart, Daniel P.] Woods Hole Oceanog Inst, Dept Appl Ocean Phys &amp; Engn, Woods Hole, MA 02543 USA; [Houstin, Aymeric; Le Bohec, Celine] Ctr Sci Monaco, Dept Biol Polaire, Monaco, Monaco; [Houstin, Aymeric; Le Bohec, Celine] Univ Strasbourg, IPHC, CNRS, UMR 7178, Strasbourg, France; [Nesterova, Anna P.] Univ Tours, CNRS, INRAE, PRC,UMR 7247, Nouzilly, France; [Nesterova, Anna P.; Bonadonna, Francesco] Univ Paul Valery Montpellier 3, Univ Montpellier, CEFE, CNRS,EPHE,IRD, Montpellier, France</t>
  </si>
  <si>
    <t>University of Erlangen Nuremberg; Woods Hole Oceanographic Institution; Centre National de la Recherche Scientifique (CNRS); CNRS - National Institute of Nuclear and Particle Physics (IN2P3); Universites de Strasbourg Etablissements Associes; Universite de Strasbourg; Universite de Tours; INRAE; Centre National de la Recherche Scientifique (CNRS); CNRS - National Institute for Biology (INSB); Universite PSL; Ecole Pratique des Hautes Etudes (EPHE); Institut Agro; Montpellier SupAgro; CIRAD; Centre National de la Recherche Scientifique (CNRS); Institut de Recherche pour le Developpement (IRD); Universite Paul-Valery; Universite de Montpellier</t>
  </si>
  <si>
    <t>Zitterbart, DP (corresponding author), Friedrich Alexander Univ Erlangen Nurnberg, Dept Phys, Erlangen, Germany.;Zitterbart, DP (corresponding author), Woods Hole Oceanog Inst, Dept Appl Ocean Phys &amp; Engn, Woods Hole, MA 02543 USA.</t>
  </si>
  <si>
    <t>alexander.winterl@fau.de; dpz@whoi.edu</t>
  </si>
  <si>
    <t>Nesterova, Anna Alexandrovna/ACA-9089-2022; LE BOHEC, CELINE/AAD-3589-2022; Zitterbart, Daniel P/N-7489-2013; Fabry, Ben/C-5496-2013</t>
  </si>
  <si>
    <t>Nesterova, Anna Alexandrovna/0000-0002-8106-4887; LE BOHEC, Celine/0000-0003-0149-6477; Winterl, Alexander/0000-0003-0688-9317; Fabry, Ben/0000-0003-1737-0465; Zitterbart, Daniel/0000-0001-9429-4350</t>
  </si>
  <si>
    <t>Deutsche Forschungsgemeinschaft (DFG) [FA336/5-1, ZI1525/3-1]; Institut Polaire Francais Paul-Emile Victor (IPEV) [137-ANTAVIA, 354-ETHOTAAF]; Centre Scientifique de Monaco (CSM) [LIA-647]; RTPI-NUTRESS (CSM/CNRS-UNISTRA); Centre National de la Recherche Scientifique (CNRS) through the Programme Zone Atelier de Recherches sur l'Environnement Antarctique et Subantarctique (ZATA)</t>
  </si>
  <si>
    <t>Deutsche Forschungsgemeinschaft (DFG)(German Research Foundation (DFG)); Institut Polaire Francais Paul-Emile Victor (IPEV); Centre Scientifique de Monaco (CSM); RTPI-NUTRESS (CSM/CNRS-UNISTRA); Centre National de la Recherche Scientifique (CNRS) through the Programme Zone Atelier de Recherches sur l'Environnement Antarctique et Subantarctique (ZATA)</t>
  </si>
  <si>
    <t>This study was funded by the Deutsche Forschungsgemeinschaft (DFG) grants FA336/5-1 and ZI1525/3-1 in the framework of the priority program ``Antarctic research with comparative investigations in Arctic ice areasand by The Penzance Endowed Fund and The Grayce B. Kerr Fund in Support of Assistant Scientists. This study was also supported by the Institut Polaire Francais Paul-Emile Victor (IPEV) within the framework of the Programmes 137-ANTAVIA (data collection at Crozet and Terre Adelie) and 354-ETHOTAAF (Kerguelen data collection), by the Centre Scientifique de Monaco (CSM) with additional support from the LIA-647 and RTPI-NUTRESS (CSM/CNRS-UNISTRA), and by the Centre National de la Recherche Scientifique (CNRS) through the Programme Zone Atelier de Recherches sur l'Environnement Antarctique et Subantarctique (ZATA). We thank the IPEV logistics team, the overwinterers at Dumont d'Urville, at Crozet Island, and at Kerguelen Islands for their support. We thank Michael Hoffman for building micrObs control units and reviewing our camera customization instruction.</t>
  </si>
  <si>
    <t>2468-0672</t>
  </si>
  <si>
    <t>HardwareX</t>
  </si>
  <si>
    <t>OCT</t>
  </si>
  <si>
    <t>e00134</t>
  </si>
  <si>
    <t>10.1016/j.ohx.2020.e00134</t>
  </si>
  <si>
    <t>Engineering, Electrical &amp; Electronic; Instruments &amp; Instrumentation; Materials Science, Multidisciplinary</t>
  </si>
  <si>
    <t>Engineering; Instruments &amp; Instrumentation; Materials Science</t>
  </si>
  <si>
    <t>RW6FP</t>
  </si>
  <si>
    <t>Green Published, gold, Green Submitted</t>
  </si>
  <si>
    <t>WOS:000646618100023</t>
  </si>
  <si>
    <t>Klein, E; Mosbeux, C; Bromirski, PD; Padman, L; Bock, Y; Springer, SR; Fricker, HA</t>
  </si>
  <si>
    <t>Klein, Emilie; Mosbeux, Cyrille; Bromirski, Peter D.; Padman, Laurie; Bock, Yehuda; Springer, Scott R.; Fricker, Helen A.</t>
  </si>
  <si>
    <t>Annual cycle in flow of Ross Ice Shelf, Antarctica: contribution of variable basal melting</t>
  </si>
  <si>
    <t>JOURNAL OF GLACIOLOGY</t>
  </si>
  <si>
    <t>Antarctic glaciology; ice; ocean interactions; ice shelves</t>
  </si>
  <si>
    <t>SEA-LEVEL RISE; WEST ANTARCTICA; GROUNDING LINE; MASS-BALANCE; PINE ISLAND; SHEET; STREAM; MODEL; VELOCITY; SURFACE</t>
  </si>
  <si>
    <t>Ice shelves play a critical role in modulating dynamic loss of ice from the grounded portion of the Antarctic Ice Sheet and its contribution to sea-level rise. Measurements of ice-shelf motion provide insights into processes modifying buttressing. Here we investigate the effect of seasonal variability of basal melting on ice flow of Ross Ice Shelf. Velocities were measured from November 2015 to December 2016 at 12 GPS stations deployed from the ice front to 430 km upstream. The flow-parallel velocity anomaly at each station, relative to the annual mean, was small during early austral summer (November-January), negative during February-April, and positive during austral winter (May-September). The maximum velocity anomaly reached several metres per year at most stations. We used a 2-D ice-sheet model of the RIS and its grounded tributaries to explore the seasonal response of the ice sheet to time-varying basal melt rates. We find that melt-rate response to changes in summer upper-ocean heating near the ice front will affect the future flow of RIS and its tributary glaciers. However, modelled seasonal flow variations from increased summer basal melting near the ice front are much smaller than observed, suggesting that other as-yet-unidentified seasonal processes are currently dominant.</t>
  </si>
  <si>
    <t>[Klein, Emilie; Mosbeux, Cyrille; Bromirski, Peter D.; Bock, Yehuda; Fricker, Helen A.] Univ Calif San Diego, Scripps Inst Oceanog, La Jolla, CA 92093 USA; [Klein, Emilie] PSL Res Univ, Dept Geosci, Lab Geol, ENS,CNRS,UMR 8538, Paris, France; [Padman, Laurie] Earth &amp; Space Res, Corvallis, OR USA; [Springer, Scott R.] Earth &amp; Space Res, Seattle, WA USA</t>
  </si>
  <si>
    <t>University of California System; University of California San Diego; Scripps Institution of Oceanography; Universite PSL; Ecole Normale Superieure (ENS); Centre National de la Recherche Scientifique (CNRS); CNRS - National Institute for Earth Sciences &amp; Astronomy (INSU)</t>
  </si>
  <si>
    <t>Klein, E (corresponding author), Univ Calif San Diego, Scripps Inst Oceanog, La Jolla, CA 92093 USA.;Klein, E (corresponding author), PSL Res Univ, Dept Geosci, Lab Geol, ENS,CNRS,UMR 8538, Paris, France.</t>
  </si>
  <si>
    <t>klein@geologie.ens.fr</t>
  </si>
  <si>
    <t>Klein, Emilie/JZW-5171-2024; Padman, Laurence/AAH-3808-2021; Springer, Scott/AAH-3218-2019</t>
  </si>
  <si>
    <t>Springer, Scott/0000-0002-6669-4557; Padman, Laurence/0000-0003-2010-642X; Mosbeux, Cyrille/0009-0005-3075-7754; Klein, Emilie/0000-0003-3239-5118</t>
  </si>
  <si>
    <t>NASA [NNX17AG63G, NNH17ZDA001N]; NSF [OPP-1443677, OPP-1443498, TG-DPP190003, PLR-1246151, OPP-1744856, CAL DPR-C1670002]</t>
  </si>
  <si>
    <t>NASA(National Aeronautics &amp; Space Administration (NASA)); NSF(National Science Foundation (NSF))</t>
  </si>
  <si>
    <t>EK was supported by NASA grant MEaSUREs NNH17ZDA001N. CM and HAF were supported by NSF grant OPP-1443498 and CM used the Extreme Science and Engineering Discovery Environment (XSEDE), which is supported by NSF grant no. TG-DPP190003. PB was supported by NSF grant PLR-1246151 and also received support from NSF OPP-1744856 and CAL DPR-C1670002. LP was supported by NSF grant OPP-1443677 and NASA grant NNX17AG63G. GPS instruments and on-ice support were provided by UNAVCO. We thank Patrick Shore, Anja Dietz, Jerry Wanetick, Zhao Chen, Momme Hell, Alan Seltzer, and Laura Stevens for their invaluable assistance with field operations. Logistical support from the U.S. Antarctica Program and staff at McMurdo Station were critical, and much appreciated. We also thank Matthew Siegfried, Susheel Adusumilli and Frank Pattyn for fruitful discussions. Finally, we like to sincerely thank Xingyu Chen and Jianghui Geng at the GNSS Research Center, Wuhan University, China and Peng Fang at SOPAC, for their help for their GPS data processing. We like to thank two anonymous reviewers and the Scientific Editor Jonathan Kingslake for their thorough and constructive reviews that allowed us to improve the manuscript.</t>
  </si>
  <si>
    <t>EDINBURGH BLDG, SHAFTESBURY RD, CB2 8RU CAMBRIDGE, ENGLAND</t>
  </si>
  <si>
    <t>0022-1430</t>
  </si>
  <si>
    <t>1727-5652</t>
  </si>
  <si>
    <t>J GLACIOL</t>
  </si>
  <si>
    <t>J. Glaciol.</t>
  </si>
  <si>
    <t>PII S0022143020000611</t>
  </si>
  <si>
    <t>10.1017/jog.2020.61</t>
  </si>
  <si>
    <t>NT9NG</t>
  </si>
  <si>
    <t>WOS:000573265700013</t>
  </si>
  <si>
    <t>Etzelmüller, B; Guglielmin, M; Hauck, C; Hilbich, C; Hoelzle, M; Isaksen, K; Noetzli, J; Oliva, M; Ramos, M</t>
  </si>
  <si>
    <t>Etzelmuller, B.; Guglielmin, M.; Hauck, C.; Hilbich, C.; Hoelzle, M.; Isaksen, K.; Noetzli, J.; Oliva, M.; Ramos, M.</t>
  </si>
  <si>
    <t>Twenty years of European mountain permafrost dynamics-the PACE legacy</t>
  </si>
  <si>
    <t>mountain permafrost; PACE; Europe; monitoring; climate change; recent warming</t>
  </si>
  <si>
    <t>RESISTIVITY TOMOGRAPHY; NORTHERN-HEMISPHERE; MURTEL-CORVATSCH; THERMAL REGIME; CLIMATE-CHANGE; SIERRA-NEVADA; AREAS; TEMPERATURES; EVENTS; MODELS</t>
  </si>
  <si>
    <t>This paper reviews and analyses the past 20 years of change and variability of European mountain permafrost in response to climate change based on time series of ground temperatures along a south-north transect of deep boreholes from Sierra Nevada in Spain (37 degrees N) to Svalbard (78 degrees N), established between 1998 and 2000 during the EU-funded PACE (Permafrost and Climate in Europe) project. In Sierra Nevada (at the Veleta Peak), no permafrost is encountered. All other boreholes are drilled in permafrost. Results show that permafrost warmed at all sites down to depths of 50 m or more. The warming at a 20 m depth varied between 1.5 degrees C on Svalbard and 0.4 degrees C in the Alps. Warming rates tend to be less pronounced in the warm permafrost boreholes, which is partly due to latent heat effects at more ice-rich sites with ground temperatures close to 0 degrees C. At most sites, the air temperature at 2 m height showed a smaller increase than the near-ground-surface temperature, leading to an increase of surface offsets (SOs). The active layer thickness (ALT) increased at all sites between c. 10% and 200% with respect to the start of the study period, with the largest changes observed in the European Alps. Multi-temporal electrical resistivity tomography (ERT) carried out at six sites showed a decrease in electrical resistivity, independently supporting our conclusion of ground ice degradation and higher unfrozen water content.</t>
  </si>
  <si>
    <t>[Etzelmuller, B.] Univ Oslo, Dept Geosci, Oslo, Norway; [Guglielmin, M.] Insubria Univ, Dept Theoret &amp; Appl Sci, Varese, Italy; [Hauck, C.; Hilbich, C.; Hoelzle, M.] Univ Fribourg, Dept Geosci, Fribourg, Switzerland; [Isaksen, K.] Norwegian Meteorol Inst, Oslo, Norway; [Noetzli, J.] WSL Inst Snow &amp; Avalanche Res SLF, Davos, Switzerland; [Oliva, M.] Univ Barcelona, Dept Geog, Barcelona, Spain; [Ramos, M.] Alcala Univ, Phys &amp; Math Dept, Alcala De Henares, Spain</t>
  </si>
  <si>
    <t>University of Oslo; University of Insubria; University of Fribourg; Norwegian Meteorological Institute; Swiss Federal Institutes of Technology Domain; Swiss Federal Institute for Forest, Snow &amp; Landscape Research; University of Barcelona; Universidad de Alcala</t>
  </si>
  <si>
    <t>Etzelmüller, B (corresponding author), Univ Oslo, Dept Geosci, Oslo, Norway.</t>
  </si>
  <si>
    <t>bernd.etzelmuller@geo.uio.no</t>
  </si>
  <si>
    <t>Oliva, Marc/K-5423-2014; Isaksen, Ketil/C-6493-2011; Ramos, Miguel/K-2230-2014; Noetzli, Jeannette/ABA-4132-2020</t>
  </si>
  <si>
    <t>Isaksen, Ketil/0000-0003-2356-5330; Ramos, Miguel/0000-0003-3648-6818; Noetzli, Jeannette/0000-0001-9188-6318; Hauck, Christian/0000-0003-4488-6475; Etzelmuller, Bernd/0000-0001-5156-3653; Hoelzle, Martin/0000-0002-3591-4377</t>
  </si>
  <si>
    <t>Norwegian Meteorological Institute; Ramon y Cajal Program [RYC-2015-17597]; Federal Office for the Environment, MeteoSwiss of GCOS Switzerland; Swiss Academy of Sciences; Swiss GCOS Office; Italian Ministry of Research and University (MIUR) [2015N8F555]; Research Group ANTALP (Antarctic, Arctic, Alpine Environments) - Government of Catalonia through the AGAUR agency [2017-SGR-1102]</t>
  </si>
  <si>
    <t>Norwegian Meteorological Institute; Ramon y Cajal Program(Spanish Government); Federal Office for the Environment, MeteoSwiss of GCOS Switzerland; Swiss Academy of Sciences; Swiss GCOS Office; Italian Ministry of Research and University (MIUR)(Ministry of Education, Universities and Research (MIUR)); Research Group ANTALP (Antarctic, Arctic, Alpine Environments) - Government of Catalonia through the AGAUR agency</t>
  </si>
  <si>
    <t>The study is based on the co-operative work of the authors, who put together the various data sources related to the PACE transect boreholes. All authors contributed likewise, and the author list therefore is alphabetical. The first author (BE), together with KI, MH, JN, CHi and CHa, took the initiative to produce this summarising study. BE has co-ordinated the writing process and therefore serves as corresponding author. All authors affiliated to universities have received support for following up data monitoring from their respective home institutions. The study provided by KI and long-term permafrost monitoring at the two Nordic sites Janssonhaugen and Juvvasshoe were supported by the Norwegian Meteorological Institute. Permafrost data from Tarfalaryggen was provided by Profs. Peter Jansson and Per Holmlund, and the data are available through the Bolin Centre for Climate Research (https://bolin.su.se/). MO is supported by the Ramon y Cajal Program (RYC-2015-17597) and the Research Group ANTALP (Antarctic, Arctic, Alpine Environments; 2017-SGR-1102) funded by the Government of Catalonia through the AGAUR agency. Data of the three Swiss boreholes are provided by the Swiss Permafrost Monitoring Network (PERMOS) with financial support from the Federal Office for the Environment, MeteoSwiss in the framework of GCOS Switzerland and the Swiss Academy of Sciences. The boreholes were maintained by the Universities of Zurich and Fribourg. Part of the study (CHa and CHi) was conducted within the REP-ERT project (funded by the Swiss GCOS Office). The Stelvio station in Italy was maintained thanks to different projects run during the monitoring period, in particular the project 'Share Stelvio' of Regione Lombardia and the project 'Responses of Sensitive Alpine Ecosystems to Climate Change' (RESACC, 2015N8F555) funded by Italian Ministry of Research and University (MIUR). Figures 2 and 4(a), (b) were created by KI, while JN created figure 4(c). Sebastian Westermann, University of Oslo, commended an earlier version of this article.</t>
  </si>
  <si>
    <t>10.1088/1748-9326/abae9d</t>
  </si>
  <si>
    <t>OC6OK</t>
  </si>
  <si>
    <t>WOS:000579275300001</t>
  </si>
  <si>
    <t>England, MR; Polvani, LM; Sun, L</t>
  </si>
  <si>
    <t>England, M. R.; Polvani, L. M.; Sun, L.</t>
  </si>
  <si>
    <t>Robust Arctic warming caused by projected Antarctic sea ice loss</t>
  </si>
  <si>
    <t>sea ice loss; polar climate change; arctic; antarctic; climate model simulations; climate projections</t>
  </si>
  <si>
    <t>ATMOSPHERIC RESPONSE; CLIMATE-CHANGE; LAST DEGLACIATION; TROPICAL PACIFIC; GLACIAL CLIMATE; BIPOLAR SEESAW; VARIABILITY; CIRCULATION; GREENLAND; MECHANISM</t>
  </si>
  <si>
    <t>Over the coming century, both Arctic and Antarctic sea ice cover are projected to substantially decline. While many studies have documented the potential impacts of projected Arctic sea ice loss on the climate of the mid-latitudes and the tropics, little attention has been paid to the impacts of Antarctic sea ice loss. Here, using comprehensive climate model simulations, we show that the effects of end-of-the-century projected Antarctic sea ice loss extend much further than the tropics, and are able to produce considerable impacts on Arctic climate. Specifically, our model indicates that the Arctic surface will warm by 1 degrees C and Arctic sea ice extent will decline by 0.5 x 10(6)km(2)in response to future Antarctic sea ice loss. Furthermore, with the aid of additional atmosphere-only simulations, we show that this pole-to-pole effect is mediated by the response of the tropical SSTs to Antarctic sea ice loss: these simulations reveal that Rossby waves originating in the tropical Pacific cause the Aleutian Low to deepen in the boreal winter, bringing warm air into the Arctic, and leading to sea ice loss in the Bering Sea. This pole-to-pole signal highlights the importance of understanding the climate impacts of the projected sea ice loss in the Antarctic, which could be as important as those associated with projected sea ice loss in the Arctic.</t>
  </si>
  <si>
    <t>[England, M. R.] Scripps Inst Oceanog, Dept Climate Atmospher Sci &amp; Phys Oceanog, La Jolla, CA 92037 USA; [England, M. R.] Univ N Carolina, Dept Phys &amp; Phys Oceanog, Wilmington, NC 28403 USA; [Polvani, L. M.] Columbia Univ, Dept Appl Math &amp; Appl Phys, New York, NY USA; [Polvani, L. M.] Columbia Univ, Lamont Doherty Earth Observ, Dept Earth &amp; Environm Sci, Palisades, NY USA; [Sun, L.] Colorado State Univ, Dept Atmospher Sci, Ft Collins, CO 80523 USA</t>
  </si>
  <si>
    <t>University of California System; University of California San Diego; Scripps Institution of Oceanography; University of North Carolina; University of North Carolina Wilmington; Columbia University; Columbia University; Colorado State University</t>
  </si>
  <si>
    <t>England, MR (corresponding author), Scripps Inst Oceanog, Dept Climate Atmospher Sci &amp; Phys Oceanog, La Jolla, CA 92037 USA.;England, MR (corresponding author), Univ N Carolina, Dept Phys &amp; Phys Oceanog, Wilmington, NC 28403 USA.</t>
  </si>
  <si>
    <t>Sun, Lantao/D-9948-2015</t>
  </si>
  <si>
    <t>Sun, Lantao/0000-0001-8578-9175; England, Mark/0000-0003-3882-872X</t>
  </si>
  <si>
    <t>US National Science Foundation [OPP-1643445, OPP-1744835]; US National Science Foundation</t>
  </si>
  <si>
    <t>US National Science Foundation(National Science Foundation (NSF)); US National Science Foundation(National Science Foundation (NSF))</t>
  </si>
  <si>
    <t>We appreciate the constructive feedback from two anonymous reviewers which have led to considerable improvements in the manuscript. The work of MRE is funded by grants OPP-1643445 and OPP-1744835 from the US National Science Foundation. The work of LMP is funded, in part, by a grant from the US National Science Foundation to Columbia University.</t>
  </si>
  <si>
    <t>10.1088/1748-9326/abaada</t>
  </si>
  <si>
    <t>NU3UC</t>
  </si>
  <si>
    <t>WOS:000573567100001</t>
  </si>
  <si>
    <t>Bonnet-Lebrun, AS; Catry, P; Clark, TJ; Campioni, L; Kuepfer, A; Tierny, M; Kilbride, E; Wakefield, ED</t>
  </si>
  <si>
    <t>Bonnet-Lebrun, Anne-Sophie; Catry, Paulo; Clark, Tyler J.; Campioni, Letizia; Kuepfer, Amanda; Tierny, Megan; Kilbride, Elizabeth; Wakefield, Ewan D.</t>
  </si>
  <si>
    <t>Habitat preferences, foraging behaviour and bycatch risk among breeding sooty shearwaters Ardenna grisea in the Southwest Atlantic</t>
  </si>
  <si>
    <t>Benthic-pelagic coupling; Dual foraging; Marine protected areas; Diving behaviour</t>
  </si>
  <si>
    <t>DIEL VERTICAL MIGRATION; PUFFINUS-GRISEUS; HARVEST INTENSITY; PATAGONIAN SHELF; DIVING BEHAVIOR; SEABIRD; POPULATION; GREAT; GEOLOCATION; FISHERIES</t>
  </si>
  <si>
    <t>Pelagic seabirds are important components of many marine ecosystems. The most abundant species are medium/small sized petrels (&lt; 1100 g), yet the sub-mesoscale (&lt; 10 km) distribution, habitat use and foraging behaviour of this group are not well understood. Sooty shearwaters Ardenna grisea are among the world's most numerous pelagic seabirds. The majority inhabit the Pacific, where they have declined, partly due to bycatch and other anthropogenic impacts, but they are increasing in the Atlantic. To evaluate the sub-mesoscale habitat preferences (i.e. the disproportionality between habitat use and availability), diving behaviour and bycatch risk of Atlantic breeders, we tracked sooty shearwaters from the Falkland Islands during late incubation and early chick-rearing with GPS loggers (n = 20), geolocators (n = 10) and time-depth recorders (n = 10). These birds foraged exclusively in neritic and shelf-break waters, principally over the Burdwood Bank, similar to 350 km from their colony. Like New Zealand breeders, they dived mostly during daylight, especially at dawn and dusk, consistent with the exploitation of vertically migrating prey. However, Falkland birds made shorter foraging trips, shallower dives, and did not forage in oceanic waters. Their overlap with fisheries was low, and they foraged at shallower depths than those targeted by trawlers, the most frequent fishing vessels encountered, indicating that bycatch risk was low during late incubation/early chick-rearing. Although our results should be treated with caution, they indicate that Atlantic and Pacific sooty shearwaters may experience markedly differing pressures at sea. Comparative study between these populations, e.g. combining biologging and demography, is therefore warranted.</t>
  </si>
  <si>
    <t>[Bonnet-Lebrun, Anne-Sophie; Catry, Paulo; Campioni, Letizia] ISPA Inst Univ, MARE Marine &amp; Environm Sci Ctr, Rua Jardim Tabaco 34, P-1149041 Lisbon, Portugal; [Bonnet-Lebrun, Anne-Sophie] Univ Cambridge, Dept Zool, Cambridge CB2 3EJ, England; [Bonnet-Lebrun, Anne-Sophie] Univ Paul Valery Montpellier, Univ Montpellier, Ctr Ecol Fonct &amp; Evolut CEFE UMR 5175, CNRS,EPHE, F-34293 Montpellier 5, France; [Clark, Tyler J.; Kilbride, Elizabeth; Wakefield, Ewan D.] Univ Glasgow, Inst Biodivers Anim Hlth &amp; Comparat Med, Glasgow G12 8QQ, Lanark, Scotland; [Kuepfer, Amanda] Falkland Isl Govt, FIFD Falkland Isl Fisheries Dept, POB 598, Stanley FIQQ 1ZZ, Falkland Island; [Kuepfer, Amanda; Tierny, Megan] SAERI South Atlantic Environm Res Inst, Stanley FIQQ 1ZZ, Falkland Island; [Kuepfer, Amanda] Univ Exeter, Environm &amp; Sustainabil Inst, Penryn Campus, Penryn TR10 9FE, England; [Bonnet-Lebrun, Anne-Sophie] British Antarctic Survey, Madingley Rd, Cambridge CB4 0ET, England; [Clark, Tyler J.] Univ Montana, Wildlife Biol Program, Dept Ecosyst &amp; Conservat Sci, WA Franke Coll Forestry &amp; Conservat, 32 Campus Dr, Missoula, MT 59812 USA</t>
  </si>
  <si>
    <t>Instituto Superior Psicologia Aplicada (ISPA); University of Cambridge; Universite PSL; Ecole Pratique des Hautes Etudes (EPHE); Centre National de la Recherche Scientifique (CNRS); Universite de Montpellier; University of Glasgow; University of Exeter; UK Research &amp; Innovation (UKRI); Natural Environment Research Council (NERC); NERC British Antarctic Survey; University of Montana System; University of Montana</t>
  </si>
  <si>
    <t>Bonnet-Lebrun, AS (corresponding author), ISPA Inst Univ, MARE Marine &amp; Environm Sci Ctr, Rua Jardim Tabaco 34, P-1149041 Lisbon, Portugal.;Bonnet-Lebrun, AS (corresponding author), Univ Cambridge, Dept Zool, Cambridge CB2 3EJ, England.;Bonnet-Lebrun, AS (corresponding author), Univ Paul Valery Montpellier, Univ Montpellier, Ctr Ecol Fonct &amp; Evolut CEFE UMR 5175, CNRS,EPHE, F-34293 Montpellier 5, France.;Bonnet-Lebrun, AS (corresponding author), British Antarctic Survey, Madingley Rd, Cambridge CB4 0ET, England.</t>
  </si>
  <si>
    <t>anne-sophie.bonnet-lebrun@normale.fr</t>
  </si>
  <si>
    <t>Bonnet-Lebrun, Anne-Sophie/GYU-2977-2022; campioni, letizia/AAZ-2888-2020; Catry, Paulo/I-5408-2013</t>
  </si>
  <si>
    <t>Bonnet-Lebrun, Anne-Sophie/0000-0002-7587-615X; campioni, letizia/0000-0002-6319-6931; Clark-Wolf, Tyler/0000-0003-0115-3482; Catry, Paulo/0000-0003-3000-0522</t>
  </si>
  <si>
    <t>Falkland Islands Government (FIG); Natural Environment Research Council [NE/M017990/1]; Portuguese Foundation for Science and Technology [UID/MAR/04292/2019, FCT-SFRH/BPD/89904/2012]; Seabird Group; NERC [NE/M017990/1, bas0100035] Funding Source: UKRI</t>
  </si>
  <si>
    <t>Falkland Islands Government (FIG); Natural Environment Research Council(UK Research &amp; Innovation (UKRI)Natural Environment Research Council (NERC)); Portuguese Foundation for Science and Technology(Fundacao para a Ciencia e a Tecnologia (FCT)); Seabird Group; NERC(UK Research &amp; Innovation (UKRI)Natural Environment Research Council (NERC))</t>
  </si>
  <si>
    <t>This study was funded by the Falkland Islands Government (FIG), the Natural Environment Research Council (grant NE/M017990/1), the Portuguese Foundation for Science and Technology (strategic project MARE - grant number UID/MAR/04292/2019) and through the grant awarded to L.C. (FCT-SFRH/BPD/89904/2012) and the Seabird Group. Logistical support was provided by the South Atlantic Environmental Research Institute. We are grateful to Scott Shaffer for advising us on logger attachment methods; to Global Fishing Watch for providing early access to fishing effort data for 2017 and 2018; to FIG, CapMarine and MIRAG observers for providing data on sooty shearwaters bycatch; and to Jason Matthiopoulos for providing guidance and support.</t>
  </si>
  <si>
    <t>10.3354/meps13439</t>
  </si>
  <si>
    <t>QL6YN</t>
  </si>
  <si>
    <t>Green Published, Bronze, Green Accepted</t>
  </si>
  <si>
    <t>WOS:000621230500011</t>
  </si>
  <si>
    <t>Costa, PL; Bugoni, L; Kinas, PG; Madureira, LAS</t>
  </si>
  <si>
    <t>Costa, Paloma Lumi; Bugoni, Leandro; Kinas, Paul G.; Saint Pastous Madureira, Lauro Antonio</t>
  </si>
  <si>
    <t>Seabirds, environmental features and the Argentine anchovy Engraulis anchoita in the southwestern Atlantic Ocean</t>
  </si>
  <si>
    <t>Flying seabirds; Oceanographic variables; Sea surface temperature; Spheniscus magellanicus; Wintering areas</t>
  </si>
  <si>
    <t>SUBTROPICAL SHELF FRONT; PENGUINS SPHENISCUS-MAGELLANICUS; SOUTH-AMERICAN TERN; HABITAT SELECTION; FORAGE FISH; VARIABILITY; ABUNDANCE; ECOLOGY; PREY; BRAZIL</t>
  </si>
  <si>
    <t>As top predators in marine environments, seabirds frequently respond to the presence of their main prey, and both predators and prey are usually associated with specific environmental features. We investigated the variability in the presence and density of flying seabirds (mostly Procellariiformes and Charadriiformes) and Magellanic penguins Spheniscus magellanicus along the southwestern (SW) Atlantic continental shelf. Five acoustic assessment surveys were conducted to determine the biomass of the Argentine anchovy Engraulis anchoita, and seabird counts and the collection of oceanographic data were conducted simultaneously with the surveys between June and October 2010. Generalized linear mixed models (GLMMs) were fitted to test the effect of anchovy density and environmental variables on seabird density. Sea surface temperature was significant for the presence of flying seabirds. Bottom water temperature and anchovy density were key variables affecting the presence and density of penguins, while bottom water salinity was also important for penguin presence. Based on Akaike's information criterion, the most important factor explaining the density of flying seabirds was the difference between surface and bottom salinity (Delta S), while for penguin density, the most important factor was anchovy density. These results highlight that the subtropical shelf front in the SW Atlantic Ocean is a key feature influencing the aggregation of flying seabirds and confirm the close association of penguins and anchovies. Bottom water intrusion, originating from the sub-Antarctic shelf water, is an important factor explaining the presence of penguins, which tend to aggregate in areas with high anchovy densities on the SW Atlantic continental shelf.</t>
  </si>
  <si>
    <t>[Costa, Paloma Lumi; Saint Pastous Madureira, Lauro Antonio] Univ Fed Rio Grande FURG, Inst Oceanog, Fisheries Technol &amp; Hydroacoust Lab, Campus Carreiros,Ave Italia Km 8, BR-96203900 Rio Grande, RS, Brazil; [Costa, Paloma Lumi; Bugoni, Leandro; Kinas, Paul G.; Saint Pastous Madureira, Lauro Antonio] Univ Fed Rio Grande FURG, Inst Oceanog, Grad Program Biol Oceanog, Campus Carreiros,Ave Italia Km 8, BR-96203900 Rio Grande, RS, Brazil; [Bugoni, Leandro] Univ Fed Rio Grande FURG, Inst Biol Sci, Waterbirds &amp; Sea Turtle Lab, Campus Carreiros,Ave Italia Km 8, BR-96203900 Rio Grande, RS, Brazil; [Kinas, Paul G.] Univ Fed Rio Grande FURG, Inst Math Stat &amp; Phys, Environm Stat Lab, Campus Carreiros,Ave Italia Km 8, BR-96203900 Rio Grande, RS, Brazil</t>
  </si>
  <si>
    <t>Universidade Federal do Rio Grande; Universidade Federal do Rio Grande; Universidade Federal do Rio Grande; Universidade Federal do Rio Grande</t>
  </si>
  <si>
    <t>Costa, PL (corresponding author), Univ Fed Rio Grande FURG, Inst Oceanog, Fisheries Technol &amp; Hydroacoust Lab, Campus Carreiros,Ave Italia Km 8, BR-96203900 Rio Grande, RS, Brazil.;Costa, PL (corresponding author), Univ Fed Rio Grande FURG, Inst Oceanog, Grad Program Biol Oceanog, Campus Carreiros,Ave Italia Km 8, BR-96203900 Rio Grande, RS, Brazil.</t>
  </si>
  <si>
    <t>paloma.lumi@gmail.com</t>
  </si>
  <si>
    <t>Bugoni, Leandro/F-9539-2012</t>
  </si>
  <si>
    <t>Bugoni, Leandro/0000-0003-0689-7026; Costa, Paloma Lumi/0000-0002-0890-2741</t>
  </si>
  <si>
    <t>Ministry of Fisheries and Aquaculture (MPA); CAPES Foundation (Ministry of Education); National Research Council (CNPq); CNPq [311409/2018-0]; Instituto de Oceanografia at FURG</t>
  </si>
  <si>
    <t>Ministry of Fisheries and Aquaculture (MPA); CAPES Foundation (Ministry of Education)(Coordenacao de Aperfeicoamento de Pessoal de Nivel Superior (CAPES)); National Research Council (CNPq)(Conselho Nacional de Desenvolvimento Cientifico e Tecnologico (CNPQ)); CNPq(Conselho Nacional de Desenvolvimento Cientifico e Tecnologico (CNPQ)); Instituto de Oceanografia at FURG</t>
  </si>
  <si>
    <t>We thank the Instituto de Oceanografia at FURG, the Ministry of Fisheries and Aquaculture (MPA), the CAPES Foundation (Ministry of Education) and the National Research Council (CNPq) for providing financial support. L.B. is a research fellow of CNPq (311409/2018-0). We also thank seabird observers for collecting data: Aurelea Mader, Gustavo R. Leal and Dimas Gianuca, and the Captain of the RV 'Atlantico Sul,' Homero Alvariza (in memoriam) and his crew for support at sea. We thank Nancy Harrison for English language review, Jorge Pablo Castello and Erik Muxagata for providing valuable feedback on the manuscript and 4 anonymous reviewers for suggestions on the manuscript.</t>
  </si>
  <si>
    <t>10.3354/meps13460</t>
  </si>
  <si>
    <t>WOS:000621230500013</t>
  </si>
  <si>
    <t>Woehler, EJ; Holzmann, KL</t>
  </si>
  <si>
    <t>Woehler, Eric J.; Holzmann, Kim L.</t>
  </si>
  <si>
    <t>POLYMELIA AND POLYDACTYLY IN A SILVER GULL CHROICOCEPHALUS NOVAEHOLLANDIAE</t>
  </si>
  <si>
    <t>MARINE ORNITHOLOGY</t>
  </si>
  <si>
    <t>Silver Gull; Chroicocephalus novaehollandiae; polymelia; polydactyly</t>
  </si>
  <si>
    <t>Here, we report the first observation of polymelia and polydactyly in an Australian wild bird, an adult Silver Gull Chroicocephalus novaehollandiae.</t>
  </si>
  <si>
    <t>[Woehler, Eric J.; Holzmann, Kim L.] BirdLife Tasmania, GPO Box 68, Hobart, Tas 7001, Australia; [Woehler, Eric J.] Univ Tasmania, Inst Marine &amp; Antarctic Studies, Hobart, Tas 7000, Australia</t>
  </si>
  <si>
    <t>Woehler, EJ (corresponding author), BirdLife Tasmania, GPO Box 68, Hobart, Tas 7001, Australia.;Woehler, EJ (corresponding author), Univ Tasmania, Inst Marine &amp; Antarctic Studies, Hobart, Tas 7000, Australia.</t>
  </si>
  <si>
    <t>eric.woehler@gmail.com</t>
  </si>
  <si>
    <t>Holzmann, Kim/AES-9694-2022</t>
  </si>
  <si>
    <t>Holzmann, Kim/0000-0002-2469-6212; Woehler, Eric/0000-0002-1125-0748</t>
  </si>
  <si>
    <t>AFRICAN SEABIRD GROUP</t>
  </si>
  <si>
    <t>RHODES GIFT</t>
  </si>
  <si>
    <t>P. O. BOX 34113, RHODES GIFT, SOUTH AFRICA</t>
  </si>
  <si>
    <t>1018-3337</t>
  </si>
  <si>
    <t>2074-1235</t>
  </si>
  <si>
    <t>MAR ORNITHOL</t>
  </si>
  <si>
    <t>Mar. Ornithol.</t>
  </si>
  <si>
    <t>Marine &amp; Freshwater Biology; Ornithology</t>
  </si>
  <si>
    <t>PZ7QT</t>
  </si>
  <si>
    <t>WOS:000612936400005</t>
  </si>
  <si>
    <t>Waugh, SM; Barbraud, C; Delord, K; Simister, KLJ; Baker, GB; Hedley, GK; Wilson, KJ; Rands, DRD</t>
  </si>
  <si>
    <t>Waugh, Susan M.; Barbraud, Christophe; Delord, Karine; Simister, Kate L. J.; Baker, G. Barry; Hedley, Georgie K.; Wilson, Kerry-Jayne; Rands, Douglas R. D.</t>
  </si>
  <si>
    <t>TRENDS IN DENSITY, ABUNDANCE, AND RESPONSE TO STORM DAMAGE FOR WESTLAND PETRELS PROCELLARIA WESTLANDICA, 2007-2019</t>
  </si>
  <si>
    <t>Climate change; seabird population estimate; rare climate event; breeding habitat destruction; endangered endemic species; Westland Petrel</t>
  </si>
  <si>
    <t>MARK</t>
  </si>
  <si>
    <t>The density and distribution of Westland Petrel burrows was assessed over a 12-year period (2007-2019). During that time, burrow density increased while occupancy remained stable, commensurate with an annual population growth rate of 1.022 (95% confidence interval: 0.971-1.076), as estimated using mark recapture data. From our surveys, we estimated a 2019 baseline population of similar to 6 200 breeding pairs and a world population of 13 800-17 600 individuals, covering around 95% of the population. Transects were conducted to establish the location and density of 17 petrel sub-colonies in rugged, untracked terrain in Paparoa National Park, West Coast, New Zealand. Major storms in 2014-2018 caused widespread treefall and landslides, destroying breeding habitat throughout the species' breeding range. Demographic effects of the major and ongoing habitat loss may continue in the medium to long term, as birds re-establish burrows and partnerships following loss of their habitat. Our study illustrates the complex effects of climate-related disruption on the biology of a long-lived species. With a single nesting area in the West Coast region, climate change will likely have an ongoing influence on the species' global population, since an increase in the frequency of severe weather events, including ex-tropical cyclones, is expected. However, current indications suggest that the species has some flexibility to adapt and to occupy new areas following habitat disturbance.</t>
  </si>
  <si>
    <t>[Waugh, Susan M.] Off Parliamentary Commissioner Environm, Level 8,Bowen House 70-84 Lambton Quay, Wellington 6011, New Zealand; [Waugh, Susan M.] Museum New Zealand Te Papa Tongarewa, POB 467, Wellington 6011, New Zealand; [Barbraud, Christophe; Delord, Karine] Univ La Rochelle, CNRS UMR 7372, Ctr Etud Biol Chize, F-79360 Villiers En Bois, France; [Simister, Kate L. J.] Kawatiri Buller Dist Off, Dept Conservat, POB 357, Westport 7866, New Zealand; [Baker, G. Barry] Latitude 42 Environm Consultants, 114 Watson Rd, Kettering, Tas 7155, Australia; [Baker, G. Barry] Univ Tasmania, Inst Marine &amp; Antarctic Studies, Hobart, Tas 7001, Australia; [Hedley, Georgie K.] Rd 1,South Kaipara Heads, Helensville, New Zealand; [Wilson, Kerry-Jayne] West Coast Penguin Trust, POB 70, Charleston 7865, New Zealand; [Rands, Douglas R. D.] Victoria Univ Wellington, Sch Biol Sci, Wellington 6011, New Zealand</t>
  </si>
  <si>
    <t>La Rochelle Universite; Centre National de la Recherche Scientifique (CNRS); CNRS - Institute of Ecology &amp; Environment (INEE); University of Tasmania; Victoria University Wellington</t>
  </si>
  <si>
    <t>Waugh, SM (corresponding author), Off Parliamentary Commissioner Environm, Level 8,Bowen House 70-84 Lambton Quay, Wellington 6011, New Zealand.;Waugh, SM (corresponding author), Museum New Zealand Te Papa Tongarewa, POB 467, Wellington 6011, New Zealand.</t>
  </si>
  <si>
    <t>susan.waugh@pce.parliament.nz</t>
  </si>
  <si>
    <t>Barbraud, Christophe/0000-0003-0146-212X; Baker, G. Barry/0000-0003-4766-8182</t>
  </si>
  <si>
    <t>Department of Conservation and Museum of New Zealand Te Papa Tongarewa; New Zealand Ministry for Primary Industries</t>
  </si>
  <si>
    <t>We thank the many workers who assisted with the field program, including Hedi Saaoudi, Laureline Durand, Francois Meme, Robyn Blyth, Oscar Pollard, Marieke Lettink, Reuben Lane, Matt Charteris, Sandy King, and Bronwen Thompson. We thank Kati Waewae runanga of Ngai tahu for consent to conduct the studies. Thanks to James Washer for rainfall data and assistance with access to the study site. The work was carried out under New Zealand Department of Conservation wildlife permit WC-26677-FAU. Work was funded by the Department of Conservation and Museum of New Zealand Te Papa Tongarewa, with project funding in 2007-2011 from the New Zealand Ministry for Primary Industries. Thanks to Thierry Micol and three anonymous reviewers whose comments helped to improve the manuscript. A special thanks is due to Sandy Bartle, who dedicated decades of his time to working on the Westland Petrel and inspired many of us to get involved in studying their biology.</t>
  </si>
  <si>
    <t>PACIFIC SEABIRD GROUP</t>
  </si>
  <si>
    <t>Olympia</t>
  </si>
  <si>
    <t>c/o PSG Treasurer Pam Michael, PO Box 1292, Olympia, WA, UNITED STATES</t>
  </si>
  <si>
    <t>WOS:000612936400017</t>
  </si>
  <si>
    <t>Bergami, E; Manno, C; Cappello, S; Vannuccini, ML; Corsi, I</t>
  </si>
  <si>
    <t>Bergami, E.; Manno, C.; Cappello, S.; Vannuccini, M. L.; Corsi, I.</t>
  </si>
  <si>
    <t>Nanoplastics affect moulting and faecal pellet sinking in Antarctic krill (Euphausia superba) juveniles</t>
  </si>
  <si>
    <t>ENVIRONMENT INTERNATIONAL</t>
  </si>
  <si>
    <t>Antarctic krill; Southern Ocean; Nanoplastics; Polystyrene nanoparticles; Faecal pellets; Carbon export</t>
  </si>
  <si>
    <t>TERRA-NOVA BAY; POLYSTYRENE NANOPARTICLES; MICROPLASTICS ALTER; MARINE-SEDIMENTS; ORGANIC-MATTER; BEHAVIOR; SEA; COPEPOD; TOXICITY; CARBON</t>
  </si>
  <si>
    <t>Plastic debris has been identified as a potential threat to Antarctic marine ecosystems, however, the impact of nanoplastics (&lt; 1 mu m) is currently unexplored. Antarctic krill (Euphausia superba) is a keystone species of Southern Ocean pelagic ecosystems, which plays a central role in the Antarctic food webs and carbon (C) cycle. Krill has been shown to rapidly fragment microplastic beads through the digestive system, releasing nanoplastics with unknown toxicological effects. Here we exposed krill juveniles to carboxylic (-COOH, anionic) and amino(-NH2, cationic) polystyrene nanoparticles (PS NPs) and we investigated lethal and sub-lethal endpoints after 48 h. The analysis of PS NP suspensions in Antarctic sea water (SW) media showed that PS-COOH formed large agglomerates (1043 +/- 121 nm), while PS-NH2 kept their nominal size (56.8 +/- 3 nm) during the exposure time. After 48 h, no mortality was found but increase in exuviae production (12.6 +/- 1.3%) and reduced swimming activity were observed in juveniles exposed to PS-NH2. The microbial community composition in SW supports the release of krill moults upon PS NP exposure and stimulates further research on the pivotal role of krill in shaping Southern Ocean bacterial assemblages. The presence of fluorescent signal in krill faecal pellets (FPs) confirmed the waterborne ingestion and egestion of PS-COOH at 48 h of exposure. Changes in FP structure and properties were also associated to the incorporation of PS NPs regardless of their surface charge. The effects of PS NPs on krill FP properties were compared to Control 0 h as a reference for full FPs (plastic vs food) and Control 48 h as a reference for more empty-like FPs (plastic vs lack of food). Exposure to PS NPs led to a FP sinking rate comparable to Control 48 h, but significantly lower than Control 0 h (58.40 +/- 23.60 m/d and 51.23 +/- 28.60 m/d for PS-COOH and PS-NH2; 168.80 +/- 74.58 m/d for Control 0 h). Considering the important role played by krill in the food web and C export in the Southern Ocean, the present study provides cues about the potential impact of nanoplastics on Antarctic pelagic ecosystems and their biogeochemical cycles.</t>
  </si>
  <si>
    <t>[Bergami, E.; Vannuccini, M. L.; Corsi, I.] Univ Siena, Dept Phys Earth &amp; Environm Sci DSFTA, I-53100 Siena, Italy; [Manno, C.] NERC, British Antarctic Survey BAS, Cambridge CB3 0ET, England; [Cappello, S.] CNR, Inst Biol Resources &amp; Marine Biotechnol IRBIM, I-98121 Messina, Italy</t>
  </si>
  <si>
    <t>University of Siena; UK Research &amp; Innovation (UKRI); Natural Environment Research Council (NERC); NERC British Antarctic Survey; Consiglio Nazionale delle Ricerche (CNR); Istituto per le Risorse Biologiche Biotecnologie Marine (IRBIM-CNR)</t>
  </si>
  <si>
    <t>Bergami, E (corresponding author), Univ Siena, Dept Phys Earth &amp; Environm Sci, Via PA Mattioli 4, I-53100 Siena, Italy.</t>
  </si>
  <si>
    <t>elisa.bergami@unisi.it</t>
  </si>
  <si>
    <t>Bergami, Elisa/JFJ-1703-2023; Corsi, Ilaria/D-3795-2012</t>
  </si>
  <si>
    <t>Bergami, Elisa/0000-0001-8149-9584; Corsi, Ilaria/0000-0002-1811-3041; Vannuccini, Maria Luisa/0000-0002-1465-1926</t>
  </si>
  <si>
    <t>Italian National Antarctic Program [PNRA 16_00075]; NERC [bas0100035] Funding Source: UKRI</t>
  </si>
  <si>
    <t>Italian National Antarctic Program; NERC(UK Research &amp; Innovation (UKRI)Natural Environment Research Council (NERC))</t>
  </si>
  <si>
    <t>This study was performed within Nanopolymers in the Antarctic marine environment and biota project, founded by the Italian National Antarctic Program (PNRA 16_00075), in collaboration with the British Antarctic Survey (BAS, Cambridge, UK). We thank the officers and crew of the RRS James Clark Ross and the researchers from BAS Ecosystems team for the support prior and during the JR16003 expedition. DLS analysis was conducted at the Dep. of Biotechnologies, Chemistry and Pharmacy (University of Siena, Italy), with the support of Prof. Atrei and Dr. Uva. FP analysis was partially conducted by EB at BAS facilities within the LLP Erasmus (year 2016-2017).</t>
  </si>
  <si>
    <t>0160-4120</t>
  </si>
  <si>
    <t>1873-6750</t>
  </si>
  <si>
    <t>ENVIRON INT</t>
  </si>
  <si>
    <t>Environ. Int.</t>
  </si>
  <si>
    <t>10.1016/j.envint.2020.105999</t>
  </si>
  <si>
    <t>PY7EO</t>
  </si>
  <si>
    <t>WOS:000612205000018</t>
  </si>
  <si>
    <t>Arroyo, MC; Shadwick, EH; Tilbrook, B; Rintoul, SR; Kusahara, K</t>
  </si>
  <si>
    <t>Arroyo, Mar C.; Shadwick, Elizabeth H.; Tilbrook, Bronte; Rintoul, Stephen R.; Kusahara, Kazuya</t>
  </si>
  <si>
    <t>A Continental Shelf Pump for CO2 on the Adelie Land Coast, East Antarctica</t>
  </si>
  <si>
    <t>carbon export; Dense Shelf Water; Mertz Polynya</t>
  </si>
  <si>
    <t>SEA-ICE GROWTH; CARBONATE CHEMISTRY; SOUTHERN-OCEAN; GAS-EXCHANGE; WIND-SPEED; ROSS-SEA; V LAND; WATER; POLYNYA; OCEANOGRAPHY</t>
  </si>
  <si>
    <t>We quantify the transport of inorganic carbon from the continental shelf to the deep ocean in Dense Shelf Water (DSW) from the Mertz and Ninnis Polynyas along the Adelie Land coast in East Antarctica. For this purpose, observations of total dissolved inorganic carbon (TCO2) from two summer hydrographic surveys in 2015 and 2017 were paired with DSW volume transport estimates derived from a coupled ocean-sea ice-ice shelf model to examine the fate of inorganic carbon in DSW from Adelie Land. Transports indicate a net outflow of 227 115 Tg C yr(-1) with DSW in the postglacial calving configuration of the Mertz Polynya. The greatest outflow of inorganic carbon from the shelf region was delivered through the northern boundary across the Adelie and Mertz Sills, with an additional transport westward from the Mertz Polynya. Inorganic carbon in DSW is derived primarily from inflowing TCO2-rich modified Circumpolar Deep Water; local processes (biological productivity, air-sea exchange of CO2, and the addition of brine during sea ice formation) make much smaller contributions. This study proposes that DSW export serves as a continental shelf pump for CO2 and is a pathway to sequester inorganic carbon from the shallow Antarctic continental shelf to the abyssal ocean, removing CO2 from atmospheric exchange on the time scale of centuries. Plain Language Summary Dense waters formed on the Antarctic continental shelf flow into bottom waters that spread throughout the global ocean. These Dense Shelf Waters play an important role in transporting material from the middle and upper layers of the water column to the abyssal ocean. By combining observations and model simulations, we track the transport of dissolved CO2 in these Dense Shelf Waters from the continental shelf to the deep ocean from the Mertz and Ninnis Polynyas in East Antarctica. We find the largest contributor of dissolved CO2 to Dense Shelf Water formed in this region is the CO2-rich midlayers that move onto the continental shelf from offshore. Once on the shelf, local processes in the upper water column further enrich these waters with dissolved CO2 before their subsequent descent into bottom waters and the abyssal ocean. Our findings highlight the importance of the CO2-rich midlayers, rather than upper ocean shelf processes, in driving the conditions for carbon sequestration in the deep ocean. Key Points Export of Dense Shelf Water from the Mertz and Ninnis Polynyas transfers 227 115 Tg C yr(-1) to the abyssal ocean Inflow of modified Circumpolar Deep Water enriches the water column with inorganic carbon, with smaller contributions from shelf processes Continental shelf pumping via Dense Shelf Water export efficiently transfers CO2 from shallow Antarctic shelf seas to the deep open ocean</t>
  </si>
  <si>
    <t>[Arroyo, Mar C.; Shadwick, Elizabeth H.] Virginia Inst Marine Sci, Coll William &amp; Mary, Gloucester Point, VA 23062 USA; [Shadwick, Elizabeth H.; Tilbrook, Bronte; Rintoul, Stephen R.] CSIRO Oceans &amp; Atmosphere, Hobart, Tas, Australia; [Shadwick, Elizabeth H.; Tilbrook, Bronte; Rintoul, Stephen R.] Univ Tasmania, Australian Antarctic Program Partnership, Inst Marine &amp; Antarctic Studies, Hobart, Tas, Australia; [Shadwick, Elizabeth H.; Tilbrook, Bronte; Rintoul, Stephen R.] Ctr Southern Hemisphere Oceans Res, Hobart, Tas, Australia; [Kusahara, Kazuya] Japan Agcy Marine Earth Sci &amp; Technol, Yokohama, Kanagawa, Japan</t>
  </si>
  <si>
    <t>William &amp; Mary; Virginia Institute of Marine Science; Commonwealth Scientific &amp; Industrial Research Organisation (CSIRO); University of Tasmania; Japan Agency for Marine-Earth Science &amp; Technology (JAMSTEC)</t>
  </si>
  <si>
    <t>Arroyo, MC (corresponding author), Virginia Inst Marine Sci, Coll William &amp; Mary, Gloucester Point, VA 23062 USA.</t>
  </si>
  <si>
    <t>mcarroyo@ucsc.edu</t>
  </si>
  <si>
    <t>; Tilbrook, Bronte/A-1522-2012</t>
  </si>
  <si>
    <t>Kusahara, Kazuya/0000-0003-4067-7959; Tilbrook, Bronte/0000-0001-9385-3827; Arroyo, Mar/0000-0002-9794-5750</t>
  </si>
  <si>
    <t>Australian Antarctic Research Program; Australian Antarctic Program Partnership; Earth System and Climate Change Hub of the National Environmental Science Program of the Australian Government; Centre for Southern Hemisphere Oceans Research (CSHOR); Antarctic Climate and Ecosystems Cooperative Research Centre; National Science Foundation Graduate Research Fellowship Program; Rebecca M. Dickhut Endowment from the VIMS Foundation; JSPS KEKENHI [JP19K12301, JP17H06323]</t>
  </si>
  <si>
    <t>Australian Antarctic Research Program; Australian Antarctic Program Partnership; Earth System and Climate Change Hub of the National Environmental Science Program of the Australian Government; Centre for Southern Hemisphere Oceans Research (CSHOR); Antarctic Climate and Ecosystems Cooperative Research Centre(Australian GovernmentDepartment of Industry, Innovation and ScienceCooperative Research Centres (CRC) Programme); National Science Foundation Graduate Research Fellowship Program(National Science Foundation (NSF)); Rebecca M. Dickhut Endowment from the VIMS Foundation; JSPS KEKENHI(Ministry of Education, Culture, Sports, Science and Technology, Japan (MEXT)Japan Society for the Promotion of ScienceGrants-in-Aid for Scientific Research (KAKENHI))</t>
  </si>
  <si>
    <t>This project was supported in part by the Australian Antarctic Research Program, the Australian Antarctic Program Partnership, the Earth System and Climate Change Hub of the National Environmental Science Program of the Australian Government, and the Centre for Southern Hemisphere Oceans Research (CSHOR), a partnership between CSIRO and the Qingdao National Laboratory for Marine Science. Underway observations were provided by a project led by B. T. through Australia's Integrated Marine Observing System (IMOS), which is enabled by the National Collaborative Research Infrastructure Strategy (NCRIS). IMOS is operated by a consortium of institutions as an unincorporated joint venture, with the University of Tasmania as Lead Agent. The water column CO2 system measurements were supported by the Antarctic Climate and Ecosystems Cooperative Research Centre. John Akl, Craig Neill, Kate Berry, and Abe Passmore are thanked for maintaining the CO2 measurements systems. We acknowledge the use of NCEP Reanalysis data provided by the NOAA/OAR/ESRL PSD, Boulder, Colorado, USA. We thank the officers and crew of the RV Aurora Australis. M. C. A. was supported by the National Science Foundation Graduate Research Fellowship Program and the Rebecca M. Dickhut Endowment from the VIMS Foundation. K. K. was supported by the JSPS KEKENHI Grants JP19K12301 and JP17H06323. This is paper is Contribution no. 3945 of the Virginia Institute of Marine Science, William &amp; Mary.</t>
  </si>
  <si>
    <t>e2020JC016302</t>
  </si>
  <si>
    <t>10.1029/2020JC016302</t>
  </si>
  <si>
    <t>PY5IH</t>
  </si>
  <si>
    <t>WOS:000612077200027</t>
  </si>
  <si>
    <t>Holmes, TM; Wuttig, K; Chase, Z; Schallenberg, C; van der Merwe, P; Townsend, AT; Bowie, AR</t>
  </si>
  <si>
    <t>Holmes, Thomas M.; Wuttig, Kathrin; Chase, Zanna; Schallenberg, Christina; van der Merwe, Pier; Townsend, Ashley T.; Bowie, Andrew R.</t>
  </si>
  <si>
    <t>Glacial and Hydrothermal Sources of Dissolved Iron (II) in Southern Ocean Waters Surrounding Heard and McDonald Islands</t>
  </si>
  <si>
    <t>GEOTRACES; biogeochemistry; iron; trace metal; Southern Ocean; Kerguelen Plateau</t>
  </si>
  <si>
    <t>PICOMOLAR CONCENTRATIONS; HYDROGEN-PEROXIDE; FE(II); H2O2; FE; INJECTION; OXIDATION; COLUMN; CIRCULATION; TROPOSPHERE</t>
  </si>
  <si>
    <t>The Southern Ocean is the largest region in which iron limits the growth of phytoplankton. However, a phytoplankton bloom thousands of square kilometers in area forms each spring-summer in the Indian sector of the Southern Ocean, both above and to the east of the Kerguelen Plateau. The central region of the Kerguelen Plateau hosts the volcanically active islands, Heard and McDonald (HIMI), the former of which is largely covered by glaciers. The sources and processes governing supply of iron from HIMI to the region are relatively unknown. In the austral summer of 2016, the first voyage to focus on biogeochemical cycling in the HIMI region was undertaken (GEOTRACES process study GIpr05). Using dissolved iron (II) (DFe (II)) and hydrogen peroxide (H2O2) measurements, we are able to resolve iron sources and show that each of the adjacent islands are strong sources of reduced iron, though controlled by different supply mechanisms. At Heard Island, the greatest DFe (II) concentrations (0.57 nmol L-1) were detected north of the island. An inverse correlation of DFe (II) concentrations with salinity suggests the origin is from a sea-terminating glacier on the island. At McDonald Islands, the greatest DFe (II) concentrations (1.01 nmol L-1) were detected east of the islands, which, based on DFe (II) profiles from five targeted stations, appear likely to originate from shallow diffuse hydrothermalism. Elevated DFe (II) around HIMI may increase Fe availability for biota and has implications for transport of Fe away from the islands to the broader northern Kerguelen Plateau where the annual plankton bloom is strongest. Plain Language Summary Phytoplankton form the base of the aquatic food web, produce comparable atmospheric oxygen to terrestrial plants, and help moderate global heating through uptake of CO2. Thus, it is vital to know what influences phytoplankton growth in the ocean. Along with nutrients such as nitrate and phosphate, phytoplankton require iron for growth. Iron concentrations are very low in the Southern Ocean, limiting the growth of phytoplankton. However, near the Kerguelen Plateau in the Indian sector of the Southern Ocean, a phytoplankton bloom thousands of square kilometers in area forms each spring-summer. There are two volcanically active islands in the central region of the Kerguelen Plateau-Heard and McDonald Islands. Volcanic activity supplies iron in various forms to the ocean, yet these islands have not been studied in detail. Iron (II) is a short lived yet preferred form of iron for phytoplankton in the ocean. Using iron (II), we show that these closely spaced islands supply iron in different ways. Underwater volcanic vents supply iron near McDonald Island, while glacial runoff supplies iron near Heard Island. Knowing these iron sources is essential for understanding what causes this large phytoplankton bloom at the Kerguelen Plateau, an important ecological hotspot and contributor for regulation of atmospheric CO2. Key Points Remote Heard and McDonald Islands are distinct iron (II) sources in the Southern Ocean The main iron (II) source at Heard Island is glacial, while hydrothermal vents are the main source of iron (II) near McDonald Islands Dissolved iron (II) and hydrogen peroxide data combined help to resolve iron sources in a well-mixed and oceanographically complex system</t>
  </si>
  <si>
    <t>[Holmes, Thomas M.; Wuttig, Kathrin; Schallenberg, Christina; van der Merwe, Pier; Bowie, Andrew R.] Univ Tasmania, Antarctic Climate &amp; Ecosyst Cooperat Res Ctr ACE, Hobart, Tas, Australia; [Holmes, Thomas M.; Chase, Zanna; Bowie, Andrew R.] Univ Tasmania, Inst Marine &amp; Antarctic Studies IMAS, Hobart, Tas, Australia; [Holmes, Thomas M.] Univ Washington, Sch Oceanog, Seattle, WA 98195 USA; [Townsend, Ashley T.] Univ Tasmania, Cent Sci Lab CSL, Hobart, Tas, Australia</t>
  </si>
  <si>
    <t>University of Tasmania; Antarctic Climate &amp; Ecosystems Cooperative Research Centre (ACE CRC); University of Tasmania; University of Washington; University of Washington Seattle; University of Tasmania</t>
  </si>
  <si>
    <t>Holmes, TM (corresponding author), Univ Tasmania, Antarctic Climate &amp; Ecosyst Cooperat Res Ctr ACE, Hobart, Tas, Australia.;Holmes, TM (corresponding author), Univ Tasmania, Inst Marine &amp; Antarctic Studies IMAS, Hobart, Tas, Australia.;Holmes, TM (corresponding author), Univ Washington, Sch Oceanog, Seattle, WA 98195 USA.</t>
  </si>
  <si>
    <t>Thomas.holmes@utas.edu.au</t>
  </si>
  <si>
    <t>Townsend, Ashley/J-7445-2014; Schallenberg, Christina/N-4187-2017; Holmes, Thomas/J-4950-2015; Chase, Zanna/E-9232-2013; Bowie, Andrew/C-8677-2013; Wuttig, Kathrin/F-5793-2015; van der Merwe, Pier/C-9210-2015</t>
  </si>
  <si>
    <t>Townsend, Ashley/0000-0002-2972-2678; Schallenberg, Christina/0000-0002-3073-7500; Holmes, Thomas/0000-0001-8061-4325; Chase, Zanna/0000-0001-5060-779X; Bowie, Andrew/0000-0002-5144-7799; Wuttig, Kathrin/0000-0003-4010-5918; van der Merwe, Pier/0000-0002-7428-8030</t>
  </si>
  <si>
    <t>Australian Research Council [DP150100345, LE0989539]; Australian Antarctic Science Program [AAS4338]; Australian Government Cooperative Research Centres Program through the ACE CRC; Australian Research Council [LE0989539] Funding Source: Australian Research Council</t>
  </si>
  <si>
    <t>Australian Research Council(Australian Research Council); Australian Antarctic Science Program; Australian Government Cooperative Research Centres Program through the ACE CRC(Australian GovernmentDepartment of Industry, Innovation and ScienceCooperative Research Centres (CRC) Programme); Australian Research Council(Australian Research Council)</t>
  </si>
  <si>
    <t>The authors would like to thank Elizabeth Shoenfelt Troein and J. M. Santana-Casiano for their detailed and constructive comments, which greatly improved this manuscript. We thank Rob Middag (University of Otago, New Zealand) for supplying the FIA-CL instrument that was used to analyze H2O2 samples during the voyage and Manon Tonnard (Laboratoire des sciences de l'Environnement MARin: LEMAR) and Lavenia Ratnarajah (ACE CRC and IMAS) for their assistance in collecting and filtering samples on the HEOBI voyage. We would like to thank Mark Rayner and Kendall Sherrin for their excellent oxygen analyses. We also thank the captain, officers, and crew of the RV Investigator (HEOBI voyage) and Chief Scientist Mike Coffin for their support during the 53-day expedition. We wish to acknowledge the Australian Research Council (DP150100345 and LE0989539), the Australian Antarctic Science Program (AAS4338), and the Australian Government Cooperative Research Centres Program through the ACE CRC, who provided project funding and PhD scholarship support.</t>
  </si>
  <si>
    <t>e2020JC016286</t>
  </si>
  <si>
    <t>10.1029/2020JC016286</t>
  </si>
  <si>
    <t>Green Accepted, Green Submitted</t>
  </si>
  <si>
    <t>WOS:000612077200011</t>
  </si>
  <si>
    <t>Holzer, M; Chamberlain, MA; Matear, RJ</t>
  </si>
  <si>
    <t>Holzer, Mark; Chamberlain, Matthew A.; Matear, Richard J.</t>
  </si>
  <si>
    <t>Climate-Driven Changes in the Ocean's Ventilation Pathways and Time Scales Diagnosed From Transport Matrices</t>
  </si>
  <si>
    <t>ocean ventilation; climate change; ocean transport; path density; green functions; deep circulation</t>
  </si>
  <si>
    <t>NEWTON-KRYLOV SOLVER; FAST SPIN-UP; SOUTHERN-OCEAN; TRANSIT-TIME; MODEL; DISTRIBUTIONS; PHOSPHORUS; SIMULATION; CMIP5</t>
  </si>
  <si>
    <t>We diagnose changes in the decadal-mean ocean transport over the 21st century as simulated by the ACCESS-1.3 model under RCP8.5 forcing. A matrix formulation of advection-diffusion is used to quantify transport into the ocean interior and from the interior back to the surface. We compute the ocean volumes last ventilated at the surface, as well as the volumes next reexposed to the atmosphere, per unit area, and the distributions of water in transit between key ventilation regions. We find that for the 2090s circulation, Antarctic Bottom Water formation and Antarctic ventilation have collapsed but are compensated by increased mode water formation and ventilation at the poleward edge of the southern subtropical gyres. Reexposure of deep water back to the atmosphere in the Antarctic Southern Ocean is also reduced but compensated by enhanced reexposure in the subpolar Southern Ocean. Labrador Sea ventilation is suppressed, while there is increased ventilation in the eastern subpolar Atlantic. The 2090s surface-to-surface interbasin transport is much more sluggish than that of the 1990s, with 30-40% reduced volume flow rates. For transport from last ventilation in the subpolar North Atlantic to next ventilation in the tropical Eastern Pacific, the 2090s residence-time distribution has a similar to 40% longer mode with much more slowly decaying tails and correspondingly lagged path densities. The 2090s mean times since last ventilation, as well as the mean times to reexposure are older in the Antarctic Southern Ocean and elsewhere progressively with depth, by up to similar to 1,000years in the abyss. Plain Language Summary The ocean's uptake and distribution of greenhouse gases, oxygen, and heat are determined by the time scales and pathways with which water is transported from the surface into the ocean interior, and from the interior back to the surface. Here we use highly efficient numerical methods to analyze climate model simulations of the global ocean circulation over the 21st century for a scenario with strong greenhouse gas emissions. We find that for the 2090s circulation, Antarctic deep-water formation has nearly collapsed and the ocean volume that had last surface contact in the Southern Ocean has been roughly halved. To compensate, the volume that forms in subantarctic regions and provides nutrients to much of the world ocean nearly doubles. Less water is reexposed to the atmosphere in Antarctic seas while more is reexposed in adjacent waters to the north. Compared to the 1990s, the 2090s circulation is much more sluggish. Although the pathways from North Atlantic deep-water formation to reexposure in the tropical eastern Pacific have similar geographic patterns, their most likely transport times are about 40% slower. For the ocean's deepest waters, the mean surface-to-surface transit times along the paths of the 2090s circulation are up to 2,000years longer. Key Points Transport time scales into and out of the abyssal ocean slow by nearly 1,000years for the 2090s circulation Throttled Antarctic Bottom Water formation and high-latitude reexposure are compensated by enhanced subpolar ventilation and reexposure The residence time partitioned pathways of the 2090s have geographic patterns similar to the 1990s but are strongly lagged in residence time</t>
  </si>
  <si>
    <t>[Holzer, Mark] Univ New S Wales, Dept Appl Math, Sch Math &amp; Stat, Sydney, NSW, Australia; [Chamberlain, Matthew A.; Matear, Richard J.] CSIRO Oceans &amp; Atmosphere, Hobart, Tas, Australia</t>
  </si>
  <si>
    <t>University of New South Wales Sydney; Commonwealth Scientific &amp; Industrial Research Organisation (CSIRO)</t>
  </si>
  <si>
    <t>Holzer, M (corresponding author), Univ New S Wales, Dept Appl Math, Sch Math &amp; Stat, Sydney, NSW, Australia.</t>
  </si>
  <si>
    <t>mholzer@unsw.edu.au</t>
  </si>
  <si>
    <t>Chamberlain, Matthew/D-4805-2012; Holzer, Mark/E-8735-2011; matear, richard/C-5133-2011</t>
  </si>
  <si>
    <t>Holzer, Mark/0000-0002-9568-1763; matear, richard/0000-0002-3225-0800</t>
  </si>
  <si>
    <t>CSIRO Decadal Forecasting Project</t>
  </si>
  <si>
    <t>M. C. and R. M. acknowledge support from the CSIRO Decadal Forecasting Project.</t>
  </si>
  <si>
    <t>e2020JC016414</t>
  </si>
  <si>
    <t>10.1029/2020JC016414</t>
  </si>
  <si>
    <t>WOS:000612077200046</t>
  </si>
  <si>
    <t>Le Paih, N; Hattermann, T; Boebel, O; Kanzow, T; Lüpkes, C; Rohardt, G; Strass, V; Herbette, S</t>
  </si>
  <si>
    <t>Le Paih, Nicolas; Hattermann, Tore; Boebel, Olaf; Kanzow, Torsten; Lupkes, Christof; Rohardt, Gerd; Strass, Volker; Herbette, Steven</t>
  </si>
  <si>
    <t>Coherent Seasonal Acceleration of the Weddell Sea Boundary Current System Driven by Upstream Winds</t>
  </si>
  <si>
    <t>Southern Ocean; Weddell Sea; Antarctic slope current; surface stress; flow strength; teleconnection</t>
  </si>
  <si>
    <t>BOTTOM WATER; TRANSPORT; SLOPE; SHELF; GYRE; VARIABILITY; ICE; CIRCULATION; MASSES; EXPORT</t>
  </si>
  <si>
    <t>The Weddell Sea is of global importance in the formation of dense bottom waters associated with sea ice formation and ocean-ice sheet interaction occurring on the shelf areas. In this context, the Weddell Sea boundary current system (BCS) presents a major conduit for transporting relatively warm water to the Weddell Sea ice shelves and for exporting some modified form of Wedell Sea deep and bottom waters into the open ocean. This study investigates the downstream evolution of the structure and the seasonality of the BCS along the Weddell Sea continental slope, combining ocean data collected for the past two decades at three study locations. The interannual-mean geostrophic flow, which follows planetary potential vorticity contours, shifts from being surface intensified to bottom intensified along stream. The shift occurs due to the densification of water masses and the decreasing surface stress that occurs westward, toward the Antarctic Peninsula. A coherent along-slope seasonal acceleration of the barotropic flow exists, with maximum speed in austral autumn and minimum speed in austral summer. The barotropic flow significantly contributes to the seasonal variability in bottom velocity along the tip of the Antarctic Peninsula. Our analysis suggests that the winds on the eastern/northeastern side of the gyre determines the seasonal acceleration of the barotropic flow. In turn, they might control the export of Weddell Sea Bottom Water on seasonal time scales. The processes controlling the baroclinic seasonality of the flow need further investigation. Plain Language Summary In the Weddell Sea, large amounts of seawater are cooled to become dense and sink, carrying signals of human-induced changes such as atmospheric carbon into the abyss of the ocean. Understanding the variability of the ocean currents at the Antarctic continental margin is critical because it controls both the export of the dense water formed in these areas and the access of warm water that may melt the Antarctic ice sheet. This study investigates the structure and the seasonality of the flow at the continental margin in the Atlantic sector of the Southern Ocean, using in situ observations upstream and downstream of the dense water formation regions. Following the bathymetry, ocean currents flow from East to West along the continental shelf edge. As water densifies along this path, the flow speed changes from being maximum at the ocean surface to be maximum at the bottom. The depth-averaged current varies with a synchronized seasonality along the continental shelf break, reaching a maximum in austral autumn. Our analysis suggests that the winds on the eastern/northeastern margin drives the seasonality of the depth-averaged flow along the shelf break, significantly contributing to changes in bottom velocity near the export region. Key Points The coherent seasonal acceleration of the barotropic flow significantly contributes to the seasonal variability in dense water outflow The seasonal flow strength is in phase with the intensification of the surface stress upstream of the dense water formation region Our results suggest a teleconnection to exist between the eastern/northeastern Weddell Sea winds and the barotropic flow</t>
  </si>
  <si>
    <t>[Le Paih, Nicolas; Hattermann, Tore; Boebel, Olaf; Kanzow, Torsten; Lupkes, Christof; Rohardt, Gerd; Strass, Volker] Alfred Wegener Inst, Helmholtz Ctr Polar &amp; Marine Res, Bremerhaven, Germany; [Hattermann, Tore] Norwegian Polar Res Inst, Tromso, Norway; [Kanzow, Torsten] Univ Bremen, Fac Phys Elect Engn FB 01, Dept Geosci FB5, Bremen, Germany; [Herbette, Steven] Univ Brest, Lab Oceanog Phys &amp; Spatiale LOPS, IUEM, CNRS,IRD,Ifremer, Brest, France</t>
  </si>
  <si>
    <t>Helmholtz Association; Alfred Wegener Institute, Helmholtz Centre for Polar &amp; Marine Research; Norwegian Polar Institute; University of Bremen; Institut de Recherche pour le Developpement (IRD); Ifremer; Centre National de la Recherche Scientifique (CNRS); Universite de Bretagne Occidentale; Institut Universitaire Europeen de la Mer (IUEM)</t>
  </si>
  <si>
    <t>Le Paih, N (corresponding author), Alfred Wegener Inst, Helmholtz Ctr Polar &amp; Marine Res, Bremerhaven, Germany.</t>
  </si>
  <si>
    <t>nicolas.le.paih@awi.de</t>
  </si>
  <si>
    <t>Lüpkes, Christof/B-4897-2014; Herbette, Steven/L-4140-2015</t>
  </si>
  <si>
    <t>Herbette, Steven/0000-0002-7349-5572; Strass, Volker/0000-0002-7539-1400; Le Paih, Nicolas/0000-0001-5229-6139; Kanzow, Torsten/0000-0002-5786-3435</t>
  </si>
  <si>
    <t>Natural Environment Research Council [NE/E012965/1]; Deutsche Forschungsgemeinschaft (DFG) [CA 1687/1-1]; NERC [NE/E012965/1] Funding Source: UKRI</t>
  </si>
  <si>
    <t>Natural Environment Research Council(UK Research &amp; Innovation (UKRI)Natural Environment Research Council (NERC)); Deutsche Forschungsgemeinschaft (DFG)(German Research Foundation (DFG)); NERC(UK Research &amp; Innovation (UKRI)Natural Environment Research Council (NERC))</t>
  </si>
  <si>
    <t>Most of the moorings used for this work were part of the Hybrid Antarctic Float Observation System (HAFOS). The authors would like to thank the Natural Environment Research Council (Grant NE/E012965/1) and Karen Heywood for sharing the mooring data collected at Kapp Norvegia for the SASSI project and used to discuss our results (https://www.bodc.ac.uk/data/).We would like to thank the three reviewers who found time to provide thorough and insightful comments during this difficult period of time. The authors would finally like to thank Ralph Timmermann for his useful discussion about the surface stress and for providing model output, and Krissy Reeve for improving the scientific writing. One of the authors (Le Paih) was supported by the grant CA 1687/1-1 funded by the Deutsche Forschungsgemeinschaft (DFG).</t>
  </si>
  <si>
    <t>e2020JC016316</t>
  </si>
  <si>
    <t>10.1029/2020JC016316</t>
  </si>
  <si>
    <t>WOS:000612077200038</t>
  </si>
  <si>
    <t>Luneva, MV; Ivanov, VV; Tuzov, F; Aksenov, Y; Harle, JD; Kelly, S; Holt, JT</t>
  </si>
  <si>
    <t>Luneva, Maria V.; Ivanov, Vladimir V.; Tuzov, Fedor; Aksenov, Yevgeny; Harle, James D.; Kelly, Stephen; Holt, Jason T.</t>
  </si>
  <si>
    <t>Hotspots of Dense Water Cascading in the Arctic Ocean: Implications for the Pacific Water Pathways</t>
  </si>
  <si>
    <t>dense water cascades; Arctic Ocean; 3-D modeling; cross-shelf fluxes; Canadian Basin; Chukchi Sea</t>
  </si>
  <si>
    <t>SEA-ICE MODEL; STORFJORDEN OVERFLOW; OFFSHORE TRANSPORT; CIRCULATION MODEL; GRAVITY CURRENT; CHUKCHI SEA; SHELF WATER; WIND-DRIVEN; LAPTEV SEA; DYNAMICS</t>
  </si>
  <si>
    <t>We explore dense water cascading (DWC), a type of bottom-trapped gravity current, on multidecadal time scales using a pan-Arctic regional ocean-ice model. DWC is particularly important in the Arctic Ocean as the main mechanism of ventilation of interior waters when open ocean convection is blocked by strong density stratification. We identify the locations where the most intense DWC events occur and evaluate the associated cross-shelf mass, heat, and salt fluxes. We find that the modeled locations of cascading agree well with the sparse historical observations and that cascading is the dominant process responsible for cross-shelf exchange in the boundary layers. Simulated DWC fluxes of 1.3 Sv (1 Sv = 10(6) m(3)/s) in the Central Arctic are comparable to Bering Strait inflow, with associated surface and benthic Ekman fluxes of 0.85 and 0.58 Sv. With ice decline, both surface Ekman flux and DWC fluxes are increasing at a rate of 0.023 and 0.0175 Sv/year, respectively. A detailed analysis of specific cascading sites around the Beaufort Gyre and adjacent regions shows that autumn upwelling of warm and saltier Atlantic waters on the shelf and subsequent cooling and mixing of uplifted waters trigger the cascading on the West Chukchi Sea shelf break. Lagrangian particle tracking of low salinity Pacific waters originating at the surface in the Bering Strait shows that these waters are modified by brine rejection and cooling, and through subsequent mixing become dense enough to reach depths of 160-200 m. Plain Language Summary In this study we explore dense water cascading, a specific type of bottom-trapped gravity current. This current of very dense waters originates on the shelves, due to winter cooling and sea ice freezing, and slowly propagates downslope to deep waters. It is specifically important in the Arctic Ocean as the main mechanism of deep water mass formation and carbon storage. We use numerical model of the Arctic Ocean to predict preferable locations of the cascading, its intensity mass, and heat fluxes. Our results are in agreement with available very sparse observations. Our model predicts that with sea ice melting, cascading formation will accelerate.</t>
  </si>
  <si>
    <t>[Luneva, Maria V.; Holt, Jason T.] Natl Oceanog Ctr, Joseph Proudman Bldg, Liverpool, Merseyside, England; [Ivanov, Vladimir V.; Tuzov, Fedor] Moscow MV Lomonosov State Univ, Geog Dept, Moscow, Russia; [Ivanov, Vladimir V.] Arctic &amp; Antarctic Res Inst, St Petersburg, Russia; [Aksenov, Yevgeny; Harle, James D.; Kelly, Stephen] Natl Oceanog Ctr, Southampton, Hants, England</t>
  </si>
  <si>
    <t>NERC National Oceanography Centre; Lomonosov Moscow State University; Arctic &amp; Antarctic Research Institute; NERC National Oceanography Centre</t>
  </si>
  <si>
    <t>Ivanov, VV (corresponding author), Moscow MV Lomonosov State Univ, Geog Dept, Moscow, Russia.;Ivanov, VV (corresponding author), Arctic &amp; Antarctic Res Inst, St Petersburg, Russia.</t>
  </si>
  <si>
    <t>vladimir.ivanov@aari.ru</t>
  </si>
  <si>
    <t>Ivanov, Vladimir/J-5979-2014; Holt, Jason/B-6323-2012</t>
  </si>
  <si>
    <t>Ivanov, Vladimir/0000-0003-2569-6027; Kelly, Stephen/0000-0002-8966-5986; Tuzov, Fedor/0000-0002-3001-7415; Harle, James/0000-0002-9377-7542; Aksenov, Yevgeny/0000-0001-6132-3434; Holt, Jason/0000-0002-3298-8477</t>
  </si>
  <si>
    <t>U.K. Natural Environment Research Council (NERC) [NE/R015953/1]; NERC [NE/N018095/1]; NERC-BMBF project Advective pathways of nutrients and key ecological substances in the Arctic: APEAR, under the UK-Germany Changing Arctic Ocean Programme [NE/R012865/1]; NERC project Preconditioning the trigger for rapid Arctic ice melt: PRE-MELT [NE/T000260/1]; NERC LTS-M Atlantic Climate System Integrated Study Programme (ACSIS) [NE/N018044/1]; UK Arctic Office Bursary Contribution of eddies and dense water cascading to cross-shelf exchange; Russian Science Foundation [19-17-00110]; National Science Foundation Office of Polar Programs [PLR-1313614, PLR-1203720]; Russian Science Foundation [19-17-00110] Funding Source: Russian Science Foundation; NERC [NE/R000085/2, NE/R012865/2, NE/R012865/1, NE/T000260/1, noc010010, NE/R000085/1, NE/N018044/1, NE/N018095/1] Funding Source: UKRI</t>
  </si>
  <si>
    <t>U.K. Natural Environment Research Council (NERC)(UK Research &amp; Innovation (UKRI)Natural Environment Research Council (NERC)); NERC(UK Research &amp; Innovation (UKRI)Natural Environment Research Council (NERC)); NERC-BMBF project Advective pathways of nutrients and key ecological substances in the Arctic: APEAR, under the UK-Germany Changing Arctic Ocean Programme; NERC project Preconditioning the trigger for rapid Arctic ice melt: PRE-MELT; NERC LTS-M Atlantic Climate System Integrated Study Programme (ACSIS); UK Arctic Office Bursary Contribution of eddies and dense water cascading to cross-shelf exchange; Russian Science Foundation(Russian Science Foundation (RSF)); National Science Foundation Office of Polar Programs(National Science Foundation (NSF)NSF - Directorate for Geosciences (GEO)); Russian Science Foundation(Russian Science Foundation (RSF)); NERC(UK Research &amp; Innovation (UKRI)Natural Environment Research Council (NERC))</t>
  </si>
  <si>
    <t>The research presented in this paper was conceived and led by Dr. Maria Luneva. Tragically, she passed away in March 2020. Maria has inspired many colleagues in different countries across the world with her enthusiasm for taking on scientific challenges and her devotion to science. All the Maria's colleagues and friends will greatly miss her open friendly personality and her scientific insights. The authors dedicate this paper to Maria's memory. The authors acknowledge the National Capability funding in the CLASS programme by the U.K. Natural Environment Research Council (NERC) (grant NE/R015953/1), NERC sponsored program ORCHESTRA (grant NE/N018095/1), the NERC-BMBF project Advective pathways of nutrients and key ecological substances in the Arctic: APEAR (grant NE/R012865/1), under the UK-Germany Changing Arctic Ocean Programme, the NERC project Preconditioning the trigger for rapid Arctic ice melt: PRE-MELT (grant NE/T000260/1) and the NERC LTS-M Atlantic Climate System Integrated Study Programme (ACSIS), (grant NE/N018044/1). The authors are grateful for the financial support from the UK Arctic Office Bursary Contribution of eddies and dense water cascading to cross-shelf exchange for making the international exchanges and research co-operation possible. Vladimir Ivanov and Fedor Tuzov acknowledge financial support from the Russian Science Foundation, Grant 19-17-00110. We also thank AOMIP and the Forum for Arctic Ocean Modeling and Observational Synthesis (FAMOS), funded by the National Science Foundation Office of Polar Programs (Awards PLR-1313614 and PLR-1203720), for providing travel support to attend the FAMOS workshops and for a great opportunity to develop and share ideas on Arctic research. We thank the anonymous reviewers for the thorough and kind comments which helped to make the manuscript better. We also acknowledge use of the U.K. National High Performance Computing resource (http://www.archer.ac.uk).</t>
  </si>
  <si>
    <t>e2020JC016044</t>
  </si>
  <si>
    <t>10.1029/2020JC016044</t>
  </si>
  <si>
    <t>WOS:000612077200015</t>
  </si>
  <si>
    <t>Menna, M; Cotroneo, Y; Falco, P; Zambianchi, E; Di Lemma, R; Poulain, P-M; Fusco, G; Budillon, G</t>
  </si>
  <si>
    <t>Menna, M.; Cotroneo, Y.; Falco, P.; Zambianchi, E.; Di Lemma, R.; Poulain, P. -M.; Fusco, G.; Budillon, G.</t>
  </si>
  <si>
    <t>Response of the Pacific Sector of the Southern Ocean to Wind Stress Variability From 1995 to 2017</t>
  </si>
  <si>
    <t>interannual variability; decadal variability; ACC transport; eddy heat fluxes</t>
  </si>
  <si>
    <t>ANTARCTIC CIRCUMPOLAR CURRENT; INTRINSIC VARIABILITY; ANNULAR MODE; CIRCULATION; TRANSPORT; FRONTS; TRENDS; FLUCTUATIONS; ALTIMETER; DRIFTERS</t>
  </si>
  <si>
    <t>Drifter, satellite, expendable bathythermograph (XBT), and Argo float data are used to study the response of the Pacific Sector of the Southern Ocean (PSSO) to the wind stress field in the period 1995-2017, in terms of eddy field, water mass transport, and heat fluxes at large and regional scales. Increasing wind stress over the PSSO in those two decades led to a growth of the Eddy Kinetic Energy (EKE) in the region of the Antarctic Circumpolar Current (ACC). Increases of the EKE occur with delays of 1-4 years with respect to peaks in the zonal component of the wind stress. The persistent ACC meander located south of New Zealand (between 150 degrees E and 180 degrees W and 50 degrees S to 66 degrees S) responds to the interannual wind variations earlier than the entire ACC branch in the PSSO. In the same area, an estimate of the ACC transport based on in situ data shows interannual variability but no significant decadal trend over the study period. The effects of the EKE variability on the meridional eddy heat fluxes are significant on interannual scales. The strengthening of the EKE field leads to a local increase in the poleward meridional eddy heat fluxes in the PSSO, especially in the ACC band. The weakening of the EKE field defines an area of equatorward meridional eddy heat fluxes in the middle of the PSSO (south of 40 degrees S, between 130 degrees W and 160 degrees W) and prevalent poleward fluxes in the further western and eastern regions. Key Points In situ data describe the interannual and decadal variability of the Antarctic Circumpolar Current in the Southern Pacific Ocean The interannual variability of the eddy field and of the eddy heat fluxes is related to the zonal wind stress field The meridional eddy heat fluxes show a larger variability on interannual than on decadal scales</t>
  </si>
  <si>
    <t>[Menna, M.; Poulain, P. -M.] Natl Inst Oceanog &amp; Appl Geophys, Sgonico, Italy; [Cotroneo, Y.; Falco, P.; Zambianchi, E.; Di Lemma, R.; Fusco, G.; Budillon, G.] Univ Naples Parthenope, Dept Sci &amp; Technol, Naples, Italy; [Cotroneo, Y.; Falco, P.; Zambianchi, E.; Fusco, G.; Budillon, G.] Consorzio Nazl Interuniv Sci Mare, CoNISMa, Rome, Italy; [Zambianchi, E.] CNR ISMAR, Rome, Italy</t>
  </si>
  <si>
    <t>Istituto Nazionale di Oceanografia e di Geofisica Sperimentale; Parthenope University Naples; CoNISMa; Consiglio Nazionale delle Ricerche (CNR); Istituto di Scienze Marine (ISMAR-CNR)</t>
  </si>
  <si>
    <t>Menna, M (corresponding author), Natl Inst Oceanog &amp; Appl Geophys, Sgonico, Italy.</t>
  </si>
  <si>
    <t>mmenna@inogs.it</t>
  </si>
  <si>
    <t>Cotroneo, Yuri/M-4010-2019; zambianchi, enrico/KGK-8209-2024; Budillon, Giorgio/O-5348-2014</t>
  </si>
  <si>
    <t>Cotroneo, Yuri/0000-0002-0099-0142; zambianchi, enrico/0000-0001-5474-7466; Budillon, Giorgio/0000-0003-1756-2221; FUSCO, Giannetta/0000-0003-1769-2456; Poulain, Pierre-Marie/0000-0003-1342-8463; Menna, Milena/0000-0002-0149-0502; Falco, Pierpaolo/0000-0002-5130-5440</t>
  </si>
  <si>
    <t>Italian National Program for Antarctic Research-PNRA; MIUR (Italian Ministry of University and Research); Parthenope University Individual and Group Research funds</t>
  </si>
  <si>
    <t>Italian National Program for Antarctic Research-PNRA; MIUR (Italian Ministry of University and Research)(Ministry of Education, Universities and Research (MIUR)); Parthenope University Individual and Group Research funds</t>
  </si>
  <si>
    <t>The XBT data were collected in the framework of the CLIMA, CLIMA IV, SoChIC, MORSea projects supported by the Italian National Program for Antarctic Research-PNRA, which provided financial and logistic support. We thank the officers, crew, and technical personnel on board the R/V Italica for their support during the seagoing operations. Part of drifters and floats data are collected in the framework of Argo Italy program, under the sponsorship of the MIUR (Italian Ministry of University and Research). In situ data analysis was performed in the framework of the MOMA, MORSea, and ACCUA projects of the PNRA. This work was partly funded by the Parthenope University Individual and Group Research funds.</t>
  </si>
  <si>
    <t>e2019JC015696</t>
  </si>
  <si>
    <t>10.1029/2019JC015696</t>
  </si>
  <si>
    <t>WOS:000612077200057</t>
  </si>
  <si>
    <t>Wang, TY; Gille, ST; Mazloff, MR; Zilberman, NV; Du, Y</t>
  </si>
  <si>
    <t>Wang, Tianyu; Gille, Sarah T.; Mazloff, Matthew R.; Zilberman, Nathalie V.; Du, Yan</t>
  </si>
  <si>
    <t>Eddy-Induced Acceleration of Argo Floats</t>
  </si>
  <si>
    <t>Lagrangian motion; eddy-mean flow interaction; circulation; acceleration; Argo floats; currents</t>
  </si>
  <si>
    <t>SOUTHERN-OCEAN; GENERAL-CIRCULATION; DEEP CURRENTS; MOMENTUM FLUX; VELOCITIES; FLOW</t>
  </si>
  <si>
    <t>Float trajectories are simulated using Lagrangian particle tracking software and eddy-permitting ocean model output from the Estimating the Circulation and Climate of the Ocean, Phase II (ECCO2) project. We find that Argo-like particles near strong mean flows tend to accelerate while at their parking depth. This effect is pronounced in western boundary current regions and in the Antarctic Circumpolar Current system. The acceleration is associated with eddy-mean flow interactions: Eddies converge particles toward regions with stronger mean currents. Particles do not accelerate when they are advected by the eddy or mean flow alone. During a 9-day parking period, speed increases induced by the eddy-mean flow interactions can be as large as 2 cm s(-1), representing roughly 10% of the mean velocity. If unaccounted for, this acceleration could bias velocities inferred from observed Argo float trajectories. Plain Language Summary Ocean instruments called floats are carried by ocean currents. Tests carried out using output from a numerical simulation of the ocean show that near strong currents, eddies tend to bump floats into the currents. As a result, on average, at the end of a 10-day sampling period, a float is likely to end up in water that is moving faster than the water where it started 10 days earlier. This effect should be considered when using particles to estimate mean velocities. Key Points Simulated quasi-Lagrangian particles provide information on the behavior of Argo float trajectories Near strong jets and away from the Equator, simulated Argo floats accelerate while at their parking depth The acceleration occurs because eddies converge Argo-like floats toward strong currents, even when no Eulerian acceleration occurs</t>
  </si>
  <si>
    <t>[Wang, Tianyu; Du, Yan] Chinese Acad Sci, South China Sea Inst Oceanol, State Key Lab Trop Oceanog, Guangzhou, Peoples R China; [Wang, Tianyu; Du, Yan] Univ Chinese Acad Sci, Beijing, Peoples R China; [Wang, Tianyu; Du, Yan] Southern Marine Sci &amp; Engn Guangdong Lab, Guangzhou, Peoples R China; [Gille, Sarah T.; Mazloff, Matthew R.; Zilberman, Nathalie V.] Univ Calif San Diego, Scripps Inst Oceanog, La Jolla, CA 92093 USA</t>
  </si>
  <si>
    <t>Chinese Academy of Sciences; South China Sea Institute of Oceanology, CAS; Chinese Academy of Sciences; University of Chinese Academy of Sciences, CAS; Southern Marine Science &amp; Engineering Guangdong Laboratory; Southern Marine Science &amp; Engineering Guangdong Laboratory (Guangzhou); University of California System; University of California San Diego; Scripps Institution of Oceanography</t>
  </si>
  <si>
    <t>Gille, ST (corresponding author), Univ Calif San Diego, Scripps Inst Oceanog, La Jolla, CA 92093 USA.</t>
  </si>
  <si>
    <t>sgille@ucsd.edu</t>
  </si>
  <si>
    <t>DU, YAN/HZI-1091-2023; DU, Yan/C-4496-2013</t>
  </si>
  <si>
    <t>DU, Yan/0000-0002-7842-0801; Zilberman, Nathalie/0000-0002-5855-1994; Gille, Sarah/0000-0001-9144-4368</t>
  </si>
  <si>
    <t>National Natural Science Foundation of China [41525019, 41830538]; Chinese Academy of Sciences [XDA15020901, 133244KYSB20190031]; Southern Marine Science and Engineering Guangdong Laboratory (Guangzhou) [GML2019ZD0303, 2019BT2H594]; National Science Foundation [OCE-1234473, PLR-1425989, OPP1936222]; National Oceanic and Atmospheric Administration [NA14OAR4310219]; CIMEC [NA15OAR4320071, 100007298]</t>
  </si>
  <si>
    <t>National Natural Science Foundation of China(National Natural Science Foundation of China (NSFC)); Chinese Academy of Sciences(Chinese Academy of Sciences); Southern Marine Science and Engineering Guangdong Laboratory (Guangzhou); National Science Foundation(National Science Foundation (NSF)); National Oceanic and Atmospheric Administration(National Oceanic Atmospheric Admin (NOAA) - USA); CIMEC</t>
  </si>
  <si>
    <t>We thank Jinbo Wang for helpful input. T. W. and Y. D. are partially supported by the National Natural Science Foundation of China (41525019, 41830538), the Chinese Academy of Sciences (XDA15020901, 133244KYSB20190031), and the Southern Marine Science and Engineering Guangdong Laboratory (Guangzhou) (GML2019ZD0303, 2019BT2H594). S. T. G. and M. R. M. received support from the National Science Foundation through Grants OCE-1234473, PLR-1425989, and OPP1936222. N. Z. was supported by the National Oceanic and Atmospheric Administration Grant NA14OAR4310219 and by CIMEC Grant NA15OAR4320071, which also supports the Scripps Institution of Oceanography's participation in U.S. Argo (NOAA Climate Program Office FundRef 100007298.)</t>
  </si>
  <si>
    <t>e2019JC016042</t>
  </si>
  <si>
    <t>10.1029/2019JC016042</t>
  </si>
  <si>
    <t>WOS:000612077200048</t>
  </si>
  <si>
    <t>Washam, P; Nicholls, KW; Münchow, A; Padman, L</t>
  </si>
  <si>
    <t>Washam, Peter; Nicholls, Keith W.; Munchow, Andreas; Padman, Laurie</t>
  </si>
  <si>
    <t>Tidal Modulation of Buoyant Flow and Basal Melt Beneath Petermann Gletscher Ice Shelf, Greenland</t>
  </si>
  <si>
    <t>ice-ocean interactions; ice shelves; boundary layer; basal melt; Greenland; glacier</t>
  </si>
  <si>
    <t>HOLOCENE RETREAT; GROUNDING LINES; NORTH GREENLAND; MASS-BALANCE; OCEAN; WEST; DYNAMICS; GLACIER; RATES; VARIABILITY</t>
  </si>
  <si>
    <t>A set of collocated, in situ oceanographic and glaciological measurements from Petermann Gletscher Ice Shelf, Greenland, provides insights into the dynamics of under-ice flow driving basal melting. At a site 16km seaward of the grounding line within a longitudinal basal channel, two conductivity-temperature (CT) sensors beneath the ice base and a phase-sensitive radar on the ice surface were used to monitor the coupled ice shelf-ocean system. A 6month time series spanning 23 August 2015 to 12 February 2016 exhibited two distinct periods of ice-ocean interactions. Between August and December, radar-derived basal melt rates featured fortnightly peaks of similar to 15myr(-1) which preceded the arrival of cold and fresh pulses in the ocean that had high concentrations of subglacial runoff and glacial meltwater. Estimated current speeds reached 0.20 - 0.40ms(-1) during these pulses, consistent with a strengthened meltwater plume from freshwater enrichment. Such signals did not occur between December and February, when ice-ocean interactions instead varied at principal diurnal and semidiurnal tidal frequencies, and lower melt rates and current speeds prevailed. A combination of estimated current speeds and meltwater concentrations from the two CT sensors yields estimates of subglacial runoff and glacial meltwater volume fluxes that vary between 10 and 80m(3)s(-1) during the ocean pulses. Area-average upstream ice shelf melt rates from these fluxes are up to 170myr(-1), revealing that these strengthened plumes had already driven their most intense melting before arriving at the study site. Plain Language Summary Petermann Gletscher is a large glacier in northern Greenland that transports 4% of the ice sheet by area into the ocean. At its marine terminus it extends into a 16km wide and 50km long floating ice shelf. The ice shelf has retreated by 30% over the last decade, likely due to increasing melting of its base. Regions of faster melting result in channels carved into the ice base, where ice thicknesses are half that of the surrounding ice. Here, we investigate the cause of this melting using 6months of oceanographic and glaciological measurements from August 2015 to February 2016 in the ice shelf's central basal channel. We find that under-ice ocean current speeds played the primary role in mixing ocean heat upward and controlling melting in the channel. During the first 3months of data, freshwater periodically flowed from land into the ocean beneath the ice shelf, causing currents to accelerate and melting to increase. This behavior changed in the second 3months, when freshwater discharge stopped and tides instead drove weaker currents and low melting. Hence, the timing of subglacial freshwater outflow into the ocean controlled when the ice shelf experienced the strongest melting in its central basal channel. Key Points Concurrent measurements of melt rate and hydrography under Petermann Gletscher Ice Shelf reveal dynamics of ice shelf melting Maximum melt rates occur during periods of elevated buoyant under-ice flow rather than when ocean temperatures are greatest Initiation of buoyant flow is modulated at the grounding line by the spring-neap tidal cycle and seasonality in subglacial runoff</t>
  </si>
  <si>
    <t>[Washam, Peter] Georgia Inst Technol, Sch Earth &amp; Atmospher Sci, Atlanta, GA 30332 USA; [Washam, Peter; Munchow, Andreas] Univ Delaware, Coll Earth Ocean &amp; Environm, Newark, DE 19716 USA; [Nicholls, Keith W.] NERC, British Antarctic Survey, Cambridge, England; [Padman, Laurie] Earth &amp; Space Res, Corvallis, OR USA</t>
  </si>
  <si>
    <t>University System of Georgia; Georgia Institute of Technology; University of Delaware; UK Research &amp; Innovation (UKRI); Natural Environment Research Council (NERC); NERC British Antarctic Survey</t>
  </si>
  <si>
    <t>Washam, P (corresponding author), Georgia Inst Technol, Sch Earth &amp; Atmospher Sci, Atlanta, GA 30332 USA.;Washam, P (corresponding author), Univ Delaware, Coll Earth Ocean &amp; Environm, Newark, DE 19716 USA.</t>
  </si>
  <si>
    <t>pwasham3@gatech.edu</t>
  </si>
  <si>
    <t>Muenchow, Andreas/J-8257-2012; Padman, Laurence/AAH-3808-2021</t>
  </si>
  <si>
    <t>Muenchow, Andreas/0000-0001-8360-5686; Padman, Laurence/0000-0003-2010-642X; Washam, Peter/0000-0001-8861-520X</t>
  </si>
  <si>
    <t>National Science Foundation (NSF); National Aeronautics and Space Administration (NASA); NASA [NNX15AL77G, NNX17AG63G]; NSF OPP grant [1604076]; NSF [1708424]; NASA [NNX15AL77G, 798587] Funding Source: Federal RePORTER; Office of Polar Programs (OPP); Directorate For Geosciences [1708424] Funding Source: National Science Foundation; NERC [bas0100033] Funding Source: UKRI</t>
  </si>
  <si>
    <t>National Science Foundation (NSF)(National Science Foundation (NSF)); National Aeronautics and Space Administration (NASA)(National Aeronautics &amp; Space Administration (NASA)); NASA(National Aeronautics &amp; Space Administration (NASA)); NSF OPP grant; NSF(National Science Foundation (NSF)); NASA(National Aeronautics &amp; Space Administration (NASA)); Office of Polar Programs (OPP); Directorate For Geosciences(National Science Foundation (NSF)NSF - Directorate for Geosciences (GEO)); NERC(UK Research &amp; Innovation (UKRI)Natural Environment Research Council (NERC))</t>
  </si>
  <si>
    <t>Both the National Science Foundation (NSF) and National Aeronautics and Space Administration (NASA) supported this work. We are grateful to the crew and staff aboard the Swedish Ice Breaker Oden in 2015 who made this work possible by providing helicopter support for field operations on the glacier. Alan Mix of Oregon State University generously shared time and resources in the field in 2015. Paul Anker and Mike Brian of the British Antarctic Survey provided critical support for hot water drilling and glacier traveling. The atmospheric and oceanographic components of the study site were designed and built by David Huntley at the University of Delaware and funded by NASA grant NNX15AL77G. A. M. and P. W. were supported by NSF OPP grant 1604076, while L. P. was supported by NSF grant 1708424 and NASA grant NNX17AG63G. P.W. is currently supported by startup funds allotted to Dr. Britney Schmidt in the School of Earth and Atmospheric Sciences at the Georgia Institute of Technology. We also thank Pierre Dutrieux for his insightful input regarding some of the details surrounding ice-ocean interactions.</t>
  </si>
  <si>
    <t>e2020JC016427</t>
  </si>
  <si>
    <t>10.1029/2020JC016427</t>
  </si>
  <si>
    <t>WOS:000612077200044</t>
  </si>
  <si>
    <t>Andreev, OM; Drabenko, DV</t>
  </si>
  <si>
    <t>Andreev, O. M.; Drabenko, D. V.</t>
  </si>
  <si>
    <t>Preparation of Initial Data for the Thermodynamic Modeling of Arctic Ice</t>
  </si>
  <si>
    <t>Arctic; Thermodynamic modeling of ice; Freezing degree-days; Ice thickness</t>
  </si>
  <si>
    <t>The problem of preparing initial climatic data with varying frequency of occurrence for thermodynamic modeling of Arctic ice is considered. It is revealed that air temperature is the most significant meteorological parameter for such calculations. Based on the estimation of the sum of freezing degree-days for the cold season, a method for preparing initial data for the thermodynamic calculation of parameters of growing ice of rare occurrence is presented. The test calculations performed for the areas with long-term series of field observations demonstrated a good agreement between the calculated and measured ice thickness both for the medium and extreme climatic conditions. It is stated that similar calculations of ice parameters can be carried out almost for any region of the Arctic.</t>
  </si>
  <si>
    <t>[Andreev, O. M.; Drabenko, D. V.] Arctic &amp; Antarctic Res Inst, Ul Beringa 38, St Petersburg 199397, Russia</t>
  </si>
  <si>
    <t>Arctic &amp; Antarctic Research Institute</t>
  </si>
  <si>
    <t>Andreev, OM (corresponding author), Arctic &amp; Antarctic Res Inst, Ul Beringa 38, St Petersburg 199397, Russia.</t>
  </si>
  <si>
    <t>andoleg@aari.ru</t>
  </si>
  <si>
    <t>Andreev, Oleg M./ABE-6472-2022; Драбенко, Дмитрий/JKJ-1304-2023</t>
  </si>
  <si>
    <t>Andreev, Oleg M./0009-0007-8558-7945;</t>
  </si>
  <si>
    <t>10.3103/S106837392010009X</t>
  </si>
  <si>
    <t>PT1SJ</t>
  </si>
  <si>
    <t>WOS:000608399600009</t>
  </si>
  <si>
    <t>Aitken, ARA; Ramos, LN; Roberts, JL; Greenbaum, JS; Jong, LM; Young, DA; Blankenship, DD</t>
  </si>
  <si>
    <t>Aitken, Alan R. A.; Ramos, Lara N.; Roberts, Jason L.; Greenbaum, Jamin S.; Jong, Lenneke M.; Young, Duncan A.; Blankenship, Donald D.</t>
  </si>
  <si>
    <t>A Magnetic Data Correction Workflow for Sparse, Four-Dimensional Data</t>
  </si>
  <si>
    <t>JOURNAL OF GEOPHYSICAL RESEARCH-SOLID EARTH</t>
  </si>
  <si>
    <t>aeromagnetic data; data processing; inversion; ICECAP</t>
  </si>
  <si>
    <t>RIFT SYSTEM; FIELD DATA; ANOMALIES</t>
  </si>
  <si>
    <t>High-quality aeromagnetic data are important in guiding new knowledge of the solid earth in frontier regions, such as Antarctica, where these data are often among the first data collected. The difficulties of data collection in remote regions often lead to less than ideal data collection, leading to data that are sparse and four-dimensional in nature. Standard aeromagnetic data collection procedures are optimized for the (nearly) 2-D data that are collected in industry standard surveys. In this work we define and apply a robust magnetic data correction approach that is optimized to these four-dimensional data. Data are corrected in three phases, with phase 1 operations on point data, correcting for spatiotemporal geomagnetic conditions, then phase 2 operations on line data, adjusting for elevation differences along and between lines and in phase 3, a line-based leveling approach to bring lines into agreement while preserving data integrity. For a large-scale East Antarctic survey, the overall median cross-tie error reduction error reduction is 93%, reaching a final median error of 5 nT. Error reduction is spread evenly between phases 1 and 3. Phase 2 does not reduce error directly but permits a stronger error reduction in phase 3. Residual errors are attributed to limitations in the ability to model 4-D geomagnetic conditions and also some limitations of the inversion process used in phase 2. Data have improved utility for geological interpretation and modeling, in particular quantitative approaches, which are enabled with less bias and more confidence.</t>
  </si>
  <si>
    <t>[Aitken, Alan R. A.; Ramos, Lara N.] Univ Western Australia, Sch Earth Sci, Crawley, WA, Australia; [Roberts, Jason L.; Jong, Lenneke M.] Australian Antarctic Div, Kingston, Tas, Australia; [Greenbaum, Jamin S.; Young, Duncan A.; Blankenship, Donald D.] Univ Texas Austin, Inst Geophys, Austin, TX USA</t>
  </si>
  <si>
    <t>University of Western Australia; Australian Antarctic Division; University of Texas System; University of Texas Austin</t>
  </si>
  <si>
    <t>Aitken, ARA (corresponding author), Univ Western Australia, Sch Earth Sci, Crawley, WA, Australia.</t>
  </si>
  <si>
    <t>alan.aitken@uwa.edu.au</t>
  </si>
  <si>
    <t>Jong, Lenneke M/AAT-3230-2020; Blankenship, Donald D./G-5935-2010; Young, Duncan/G-6256-2010</t>
  </si>
  <si>
    <t>Jong, Lenneke M/0000-0001-6707-570X; Young, Duncan/0000-0002-6866-8176; Aitken, Alan/0000-0002-6375-2504; Roberts, Jason/0000-0002-3477-4069; Greenbaum, Jamin Stevens/0000-0002-0745-7113; , Lara/0000-0002-4043-0844</t>
  </si>
  <si>
    <t>Australian Antarctic Science Program [4460, 3103, 4077, 4346]; Australian Government; Government of Western Australia</t>
  </si>
  <si>
    <t>Australian Antarctic Science Program; Australian Government(Australian Government); Government of Western Australia</t>
  </si>
  <si>
    <t>This research was supported through the Australian Antarctic Science Program project grant 4460. ICECAP and ICECAP-II data collection was supported through the Australian Antarctic Science Program project grants 3103, 4077, and 4346. This work was supported by resources provided by the Pawsey Supercomputing Centre with funding from the Australian Government and the Government of Western Australia. Reviewers Fausto Ferraccioli and Tom Jordan provided valuable comments.</t>
  </si>
  <si>
    <t>2169-9313</t>
  </si>
  <si>
    <t>2169-9356</t>
  </si>
  <si>
    <t>J GEOPHYS RES-SOL EA</t>
  </si>
  <si>
    <t>J. Geophys. Res.-Solid Earth</t>
  </si>
  <si>
    <t>e2020JB019825</t>
  </si>
  <si>
    <t>10.1029/2020JB019825</t>
  </si>
  <si>
    <t>PN4OA</t>
  </si>
  <si>
    <t>WOS:000604458900040</t>
  </si>
  <si>
    <t>Chen, J; Kufner, SK; Yuan, XH; Heit, B; Wu, H; Yang, DH; Schurr, B; Kay, S</t>
  </si>
  <si>
    <t>Chen, Jing; Kufner, Sofia-Katerina; Yuan, Xiaohui; Heit, Benjamin; Wu, Hao; Yang, Dinghui; Schurr, Bernd; Kay, Suzanne</t>
  </si>
  <si>
    <t>Lithospheric Delamination Beneath the Southern Puna Plateau Resolved by Local Earthquake Tomography</t>
  </si>
  <si>
    <t>southern Puna plateau; local earthquake tomography; lithospheric delamination; slab dehydration; crustal melt accumulation</t>
  </si>
  <si>
    <t>ALONG-STRIKE SEGMENTATION; CENTRAL ANDEAN PLATEAU; SUBDUCTION ZONE; CRUSTAL-THICKNESS; ALTIPLANO; EVOLUTION; FORELAND; MAGMA; TOPOGRAPHY; DETACHMENT</t>
  </si>
  <si>
    <t>We present a local earthquake tomography to illuminate the crustal and uppermost mantle structure beneath the southern Puna plateau and to test the delamination hypothesis. Vp and Vp/Vs ratios were obtained using travel time variations recorded by 75 temporary seismic stations between 2007 and 2009. In the upper crust, prominent low Vp anomalies are found beneath the main volcanic centers, indicating the presence of magma and melt beneath the southern Puna plateau. Beneath the Moho at around 90-km depth, a strong high Vp anomaly is detected just west of the giant backarc Cerro Galan ignimbrite caldera. This high Vp anomaly is only resolved if earthquakes with an azimuthal gap up to 300 degrees are included in the inversion. However, we show through data subset and synthetic tests that the anomaly is robust due to our specific station-event geometry and interpret it as a delaminated block of lower crust and uppermost mantle lithosphere under the southern Puna plateau. The low velocities in the crust are interpreted as a product of the delamination event that triggered the rise of fluids and melts into the crust and induced the high topography in this part of the plateau. The tomography also reveals the existence of low-velocity anomalies that link arc magmatism at the Ojos del Salado volcanic center with slab seismicity clusters at depths of about 100 and 150 km and support fluid transport in the mantle wedge due to dehydration reaction within the subducted slab.</t>
  </si>
  <si>
    <t>[Chen, Jing; Wu, Hao; Yang, Dinghui] Tsinghua Univ, Dept Math Sci, Beijing, Peoples R China; [Chen, Jing; Kufner, Sofia-Katerina; Yuan, Xiaohui; Heit, Benjamin; Schurr, Bernd] Deutsch GeoForschungsZentrum GFZ, Potsdam, Germany; [Kufner, Sofia-Katerina] British Antarctic Survey, Ice Dynam &amp; Palaeoclimate Team, Cambridge, England; [Kay, Suzanne] Cornell Univ, Dept Earth &amp; Atmospher Sci, Ithaca, NY USA</t>
  </si>
  <si>
    <t>Tsinghua University; Helmholtz Association; Helmholtz-Center Potsdam GFZ German Research Center for Geosciences; UK Research &amp; Innovation (UKRI); Natural Environment Research Council (NERC); NERC British Antarctic Survey; Cornell University</t>
  </si>
  <si>
    <t>Chen, J (corresponding author), Tsinghua Univ, Dept Math Sci, Beijing, Peoples R China.;Chen, J (corresponding author), Deutsch GeoForschungsZentrum GFZ, Potsdam, Germany.</t>
  </si>
  <si>
    <t>jing-che16@mails.tsinghua.edu.cn</t>
  </si>
  <si>
    <t>Kay, Suzanne/AAG-7493-2020; Yuan, Xiaohui/G-5149-2010; Wu, Hao/A-1195-2011; Heit, Ben/AAQ-2354-2021</t>
  </si>
  <si>
    <t>Yuan, Xiaohui/0000-0002-2891-1354; Heit, Ben/0000-0001-7728-5137; Schurr, Bernd/0000-0002-3746-9166; Kufner, Sofia-Katerina/0000-0002-9687-5455; Kay, Suzanne/0000-0003-1125-3209; Chen, Jing/0000-0002-9083-3940</t>
  </si>
  <si>
    <t>Deutsche Forschungsgemeinschaft; National Key R&amp;D Program on Monitoring, Early Warning and Prevention of Major Natural Disaster [2017YFC1500301]; National Natural Science Foundation of China [11871297, U1839206]; Tsinghua University Initiative Scientific Research Program; China Scholarship Council; Projekt DEAL; NERC [bas0100034] Funding Source: UKRI</t>
  </si>
  <si>
    <t>Deutsche Forschungsgemeinschaft(German Research Foundation (DFG)); National Key R&amp;D Program on Monitoring, Early Warning and Prevention of Major Natural Disaster; National Natural Science Foundation of China(National Natural Science Foundation of China (NSFC)); Tsinghua University Initiative Scientific Research Program; China Scholarship Council(China Scholarship Council); Projekt DEAL; NERC(UK Research &amp; Innovation (UKRI)Natural Environment Research Council (NERC))</t>
  </si>
  <si>
    <t>This work was supported by the Deutsche Forschungsgemeinschaft, the National Key R&amp;D Program on Monitoring, Early Warning and Prevention of Major Natural Disaster (grant 2017YFC1500301), the National Natural Science Foundation of China (grants 11871297 and U1839206), and the Tsinghua University Initiative Scientific Research Program and China Scholarship Council. The equipment for the experiment has been provided by the Geophysical Instrument Pool Potsdam (GIPP), IRIS PASSCAL, and the Universities of Missouri and St Louis. Constructive comments from two anonymous reviewers helped to improve the paper. Open access funding enabled and organized by Projekt DEAL.</t>
  </si>
  <si>
    <t>e2019JB019040</t>
  </si>
  <si>
    <t>10.1029/2019JB019040</t>
  </si>
  <si>
    <t>hybrid, Green Published, Green Submitted, Green Accepted</t>
  </si>
  <si>
    <t>WOS:000604458900018</t>
  </si>
  <si>
    <t>Gao, YS; Yang, LJ; Mei, YJ; Chu, ZD; Yang, WQ; Xu, QB; Chen, GJ; Xie, ZQ; Sun, LG</t>
  </si>
  <si>
    <t>Gao, Yuesong; Yang, Lianjiao; Mei, Yanjun; Chu, Zhuding; Yang, Wenqing; Xu, Qibin; Chen, Guangjie; Xie, Zhouqing; Sun, Liguang</t>
  </si>
  <si>
    <t>Ice Sheet Changes and GIA-Induced Surface Displacement of the Larsemann Hills During the Last 50 kyr</t>
  </si>
  <si>
    <t>QUATERNARY DIATOM ASSEMBLAGES; GLACIO-ISOSTATIC ADJUSTMENT; MCMURDO DRY VALLEYS; KING GEORGE ISLAND; DRONNING MAUD LAND; SEA-LEVEL CHANGE; LUTZOW-HOLM BAY; EAST ANTARCTICA; PRYDZ BAY; ORGANIC-MATTER</t>
  </si>
  <si>
    <t>The Antarctic Ice Sheet (AIS) is the largest potential source for future global sea level rise. However, there are widely diverging estimates of its contribution, which emphasizes the need to improve our understanding of the long-term behavior of the AIS and its impact on the solid Earth. This knowledge gap results from a shortage of records of glacial history, especially for the pre-Holocene. Marine transgression and recession in the coastal areas of Antarctica are influenced by the mass of the overlying ice, providing crucial information about regional ice sheet dynamics. In this study, we determined a marine transgression from 53 kyr BP onward by diatom assemblages and a delta C-13-C/N biplot for the organic component in a sediment core (MCM2), from the Larsemann Hills in East Antarctica. Relative sea level (RSL) reached a maximum of similar to 12 m a.p.s.l. (above present sea level) during 38-29 kyr BP. Concurrent with the transgression, the regional crust experienced glacial-isostatic-adjustment (GIA)-induced subsidence from similar to 75 to similar to 95 m beneath the present land level, suggesting an expansion trend of the East Antarctic ice sheet (EAIS), which may have outpaced global cooling. After the last deglaciation, the RSL rose to a highstand of similar to 8-10 m a.p.s.l. at similar to 8.5-7.1 kyr BP, when the bedrock uplifted to similar to 20 m below the present level. After 4.0 kyr BP, both regional and global deglaciation ceased, but an effect of ongoing relaxation caused the land to rebound continuously at a uniform rate of similar to 1.5 m/kyr, which can account for the sustained fall of RSL across Antarctica since mid-Holocene.</t>
  </si>
  <si>
    <t>[Gao, Yuesong; Yang, Lianjiao; Mei, Yanjun; Chu, Zhuding; Yang, Wenqing; Xu, Qibin; Xie, Zhouqing; Sun, Liguang] Univ Sci &amp; Technol China, Inst Polar Environm, Hefei, Peoples R China; [Gao, Yuesong; Yang, Lianjiao; Mei, Yanjun; Chu, Zhuding; Yang, Wenqing; Xu, Qibin; Xie, Zhouqing; Sun, Liguang] Univ Sci &amp; Technol China, Anhui Key Lab Polar Environm &amp; Global Change, Dept Environm Sci &amp; Engn, Hefei, Peoples R China; [Mei, Yanjun] East China Normal Univ, Sch Marine Sci, State Key Lab Estuarine &amp; Coastal Res, Shanghai, Peoples R China; [Chen, Guangjie] Yunnan Normal Univ, Sch Tourism &amp; Geog, Yunnan Key Lab Plateau Geog Proc &amp; Environm Chang, Kunming, Yunnan, Peoples R China</t>
  </si>
  <si>
    <t>Chinese Academy of Sciences; University of Science &amp; Technology of China, CAS; Chinese Academy of Sciences; University of Science &amp; Technology of China, CAS; East China Normal University; Yunnan Normal University</t>
  </si>
  <si>
    <t>Xie, ZQ; Sun, LG (corresponding author), Univ Sci &amp; Technol China, Inst Polar Environm, Hefei, Peoples R China.;Xie, ZQ; Sun, LG (corresponding author), Univ Sci &amp; Technol China, Anhui Key Lab Polar Environm &amp; Global Change, Dept Environm Sci &amp; Engn, Hefei, Peoples R China.;Chen, GJ (corresponding author), Yunnan Normal Univ, Sch Tourism &amp; Geog, Yunnan Key Lab Plateau Geog Proc &amp; Environm Chang, Kunming, Yunnan, Peoples R China.</t>
  </si>
  <si>
    <t>guangjiechen@gmail.com; zqxie@ustc.edu.cn; slg@ustc.edu.cn</t>
  </si>
  <si>
    <t>Yang, Wenqing/F-7026-2011; Chen, Guangjie/J-3826-2017; Gao, Yuesong/GRE-7726-2022; Chen, Guangjie/AEO-1991-2022</t>
  </si>
  <si>
    <t>Chen, Guangjie/0000-0001-8035-6565; Xu, Qibin/0009-0000-9936-8056</t>
  </si>
  <si>
    <t>National Natural Science Foundation of China [41930532]; National Key R&amp;D Program of the MOST of China [2018YFC1406905]; NSFC [42006185, 41906191]; China Postdoctoral Science Foundation [2020M671877]</t>
  </si>
  <si>
    <t>National Natural Science Foundation of China(National Natural Science Foundation of China (NSFC)); National Key R&amp;D Program of the MOST of China; NSFC(National Natural Science Foundation of China (NSFC)); China Postdoctoral Science Foundation(China Postdoctoral Science Foundation)</t>
  </si>
  <si>
    <t>We thank Dr. Jan Bloemendal for the language editing for this article. This study was funded by National Natural Science Foundation of China (No. 41930532), the National Key R&amp;D Program of the MOST of China (2018YFC1406905), NSFC (Nos 42006185 and 41906191), and the China Postdoctoral Science Foundation (2020M671877). The field work was supported by the Chinese Arctic and Antarctic Administration.</t>
  </si>
  <si>
    <t>e2020JB020167</t>
  </si>
  <si>
    <t>10.1029/2020JB020167</t>
  </si>
  <si>
    <t>WOS:000604458900052</t>
  </si>
  <si>
    <t>Lay, T; Ye, LL; Wu, ZB; Kanamori, H</t>
  </si>
  <si>
    <t>Lay, Thorne; Ye, Lingling; Wu, Zhenbo; Kanamori, Hiroo</t>
  </si>
  <si>
    <t>Macrofracturing of Oceanic Lithosphere in Complex Large Earthquake Sequences</t>
  </si>
  <si>
    <t>oceanic intraplate earthquakes; outer rise faulting; complex earthquakes; plate stresses; earthquake productivity</t>
  </si>
  <si>
    <t>M-W 8.6; GREAT EARTHQUAKE; MARCH 25; RUPTURE CHARACTERISTICS; ALASKA EARTHQUAKE; STRIKE-SLIP; OUTER-RISE; ANTARCTIC EARTHQUAKE; FAULT RUPTURE; MOMENT TENSOR</t>
  </si>
  <si>
    <t>Major earthquakes in oceanic lithosphere seaward of the subduction zone outer trench slope are relatively uncommon, but several recent occurrences have involved very complex sequences rupturing multiple nonaligned faults and/or having high aftershock productivity with diffuse distribution. This includes the 21 December 2010 M-W 7.4 Ogasawara (Bonin), 11 April 2012 M-W 8.6 Indo-Australia, 23 January 2018 M-W 7.9 Off-Kodiak Island, and 20 December 2018 M-W 7.3 Nikol'skoye (northwest Pacific) earthquakes. Major oceanic intraplate event sequences farther from plate boundaries do not tend to be as complex in faulting or aftershocks. Outer trench slope extensional faulting can involve complex distributed sequences, particularly when activated by great megathrust ruptures such as 11 March 2011 M-W 9.1 Tohoku and 15 November 2006 M-W 8.3 Kuril Islands. Intense faulting sequences also occur near subduction zone corners, with many fault geometries being activated, including some in nearby oceanic lithosphere, as for the 29 September 2009 M-W 8.1 Samoa, 6 February 2013 M-W 8.0 Santa Cruz Islands, and 16 November 2000 M-W 8.0 New Ireland earthquakes. The laterally varying plate boundary stresses from heterogeneous locking, recent earthquakes, or boundary geometry influence the specific faulting geometries activated in nearby major intraplate ruptures in oceanic lithosphere. Preexisting lithospheric structures and fabrics exert secondary influences on the faulting. Intraplate stress release in oceanic lithosphere near subduction zones favors distributed macrofracturing of near-critical fault systems rather than localized, single-fault failures, both under transient loading induced by plate boundary ruptures and under slow loading by tectonic motions and slab pull.</t>
  </si>
  <si>
    <t>[Lay, Thorne; Wu, Zhenbo] Univ Calif Santa Cruz, Earth &amp; Planetary Sci Dept, Santa Cruz, CA 95064 USA; [Ye, Lingling] Sun Yat Sen Univ, Sch Earth Sci &amp; Engn, Guangdong Prov Key Lab Geodynam &amp; Geohazards, Guangzhou, Peoples R China; [Wu, Zhenbo] Chengdu Univ Technol, Coll Geophys, Chengdu, Peoples R China; [Kanamori, Hiroo] CALTECH, Seismol Lab, Pasadena, CA 91125 USA</t>
  </si>
  <si>
    <t>University of California System; University of California Santa Cruz; Sun Yat Sen University; Chengdu University of Technology; California Institute of Technology</t>
  </si>
  <si>
    <t>Lay, T (corresponding author), Univ Calif Santa Cruz, Earth &amp; Planetary Sci Dept, Santa Cruz, CA 95064 USA.</t>
  </si>
  <si>
    <t>tlay@uscsc.edu</t>
  </si>
  <si>
    <t>Lay, Thorne/ABE-6272-2021</t>
  </si>
  <si>
    <t>Lay, Thorne/0000-0003-2360-4213</t>
  </si>
  <si>
    <t>U.S. National Science Foundation [EAR1802364]; National Natural Science Foundation of China [41874056, 41704042]; Fundamental Research Funds for the Central Universities, Sun Yat-sen University [19lgzd11]; Chengdu University of Technology</t>
  </si>
  <si>
    <t>U.S. National Science Foundation(National Science Foundation (NSF)); National Natural Science Foundation of China(National Natural Science Foundation of China (NSFC)); Fundamental Research Funds for the Central Universities, Sun Yat-sen University(Fundamental Research Funds for the Central Universities); Chengdu University of Technology</t>
  </si>
  <si>
    <t>We thank Emily Brodsky for her thoughtful comments on the influence of plate boundary stress gradients. We appreciate helpful reviews from the JGR Editor R. Abercrombie, an anonymous reviewer, and C. Rollins. T. L.'s research on earthquakes is supported by U.S. National Science Foundation grant EAR1802364. L. Y.'s earthquake studies are supported by National Natural Science Foundation of China (41874056) and Fundamental Research Funds for the Central Universities, Sun Yat-sen University (19lgzd11). Z. W. received support from Chengdu University of Technology and the National Natural Science Foundation of China (41704042).</t>
  </si>
  <si>
    <t>e2020JB020137</t>
  </si>
  <si>
    <t>10.1029/2020JB020137</t>
  </si>
  <si>
    <t>WOS:000604458900012</t>
  </si>
  <si>
    <t>Huber, BT; Petrizzo, MR; Macleod, KG</t>
  </si>
  <si>
    <t>Huber, Brian T.; Petrizzo, Maria Rose; Macleod, Kenneth G.</t>
  </si>
  <si>
    <t>PLANKTONIC FORAMINIFERAL ENDEMISM AT SOUTHERN HIGH LATITUDES FOLLOWING THE TERMINAL CRETACEOUS EXTINCTION</t>
  </si>
  <si>
    <t>JOURNAL OF FORAMINIFERAL RESEARCH</t>
  </si>
  <si>
    <t>SEA-DRILLING-PROJECT; MASS EXTINCTION; TERTIARY BOUNDARY; PALEOGENE; EVOLUTION; PALEOBIOGEOGRAPHY; STRATIGRAPHY; TRANSITION; PHYLOGENY; SEDIMENTS</t>
  </si>
  <si>
    <t>Austral planktonic foraminiferal assemblages from immediately above the Cretaceous/Paleogene (K/Pg) boundary at Ocean Drilling Program Hole 690C (Maud Rise, Weddell Sea) and International OceanDrilling Program Hole U1514C (southeast Indian Ocean) show a much different record of post-extinction recovery than anywhere outside the circum-Antarctic region. Species of Woodringina and Parvularu-goglobigerina, genera with well-documented evolutionary successions within the early Danian P0 and P alpha biozones at tropical/subtropical and mid-latitude localities, are absent from southern high latitude sequences. This study proposes new criteria for biostratigraphic correlation of the lowermost Danian Antarctic Paleocene AP0 and AP1 Zones using stratophenetic observations from Scanning Electron Microscope images of lower Danian planktonic foraminifera at deep-sea sites in the southern South Atlantic and southern Indian Ocean. The small but distinctive species Turborotalita nikolasi (Koutsoukos) is a highly reliable index species for the lowermost Danian as it consistently occurs immediately above the K/Pg boundary at multiple southern high latitude sites, which is consistent with its distribution at middle and low latitudes. Also useful for cross-latitude correlation is Parasubbotina neanika n. sp., which first appears within the lowermost Danian worldwide. The geographic distribution of the New Zealand species Antarcticella pauciloculata (Jenkins) and Zeauvigerina waiparaensis (Jenkins), as well as Eoglo-bigerina maudrisensis n. sp. from just above the K/Pg in the southern South Atlantic and southern Indian Ocean, helps define the extent of the Austral Biogeographic Province and provides evidence for marine communication via marine seaways across Antarctica. While An. pauciloculata was previously considered a benthic species, new stable isotope evidence demonstrates that it lived a planktonic mode of life. It is possible this species evolved from a benthic ancestor and that the benthic to planktonic transition occurred through an intermediate tychopelagic lifestyle at a time when calcareous plankton were less abundant as a result of the terminal Cretaceous mass extinction.</t>
  </si>
  <si>
    <t>[Huber, Brian T.] Natl Museum Nat Hist, Dept Paleobiol, Smithsonian Inst, MRC 121, Washington, DC 20013 USA; [Petrizzo, Maria Rose] Univ Milan, Dipartimento Sci Terra A Desio, Via Mangiagalli 34, I-20133 Milan, Italy; [Macleod, Kenneth G.] Univ Missouri, Dept Geol Sci, Columbia, MO 65211 USA</t>
  </si>
  <si>
    <t>Smithsonian Institution; Smithsonian National Museum of Natural History; University of Milan; University of Missouri System; University of Missouri Columbia</t>
  </si>
  <si>
    <t>Huber, BT (corresponding author), Natl Museum Nat Hist, Dept Paleobiol, Smithsonian Inst, MRC 121, Washington, DC 20013 USA.</t>
  </si>
  <si>
    <t>huberb@si.edu</t>
  </si>
  <si>
    <t>MacLeod, Kenneth Gillies/C-4042-2017; Petrizzo, Maria Rose/M-8672-2013; MacLeod, Kenneth/GWU-8940-2022</t>
  </si>
  <si>
    <t>MacLeod, Kenneth Gillies/0000-0002-6016-0837;</t>
  </si>
  <si>
    <t>U.S. National Science Foundation through the U.S. Science Support Program Office; International Ocean Discovery Program (USSSP-IODP)</t>
  </si>
  <si>
    <t>U.S. National Science Foundation through the U.S. Science Support Program Office(National Science Foundation (NSF)); International Ocean Discovery Program (USSSP-IODP)</t>
  </si>
  <si>
    <t>We are grateful for the editorial suggestions and comments from reviewers Paul Pearson and Eduardo Koutsoukos as their suggestions significantly improved the quality of our paper, and thanks to editors Ann Holbourn and Wolfgang Kuhnt for managing the manuscript reviews and final edits. We thank Lowell Stott and Ellen Thomas for loaning Danian samples from Site 690 for the present study and thanks to the scientists and crew that sailed during International Ocean Discovery Program Expedition 369 for their many contributions to the success of that cruise. This research used samples and data provided by the International Ocean Discovery Program. Funding for this research was provided by U.S. National Science Foundation through the U.S. Science Support Program Office associated with the International Ocean Discovery Program (USSSP-IODP).</t>
  </si>
  <si>
    <t>CUSHMAN FOUNDATION FORAMINIFERAL RESEARCH</t>
  </si>
  <si>
    <t>LAWRENCE</t>
  </si>
  <si>
    <t>PO BOX 7065, LAWRENCE, KS 66044-7065 USA</t>
  </si>
  <si>
    <t>0096-1191</t>
  </si>
  <si>
    <t>J FORAMIN RES</t>
  </si>
  <si>
    <t>J. Foraminifer. Res.</t>
  </si>
  <si>
    <t>10.2113/gsjfr.50.4.382</t>
  </si>
  <si>
    <t>PO9BP</t>
  </si>
  <si>
    <t>WOS:000605460200005</t>
  </si>
  <si>
    <t>Kakareka, S; Salivonchyk, S</t>
  </si>
  <si>
    <t>Kakareka, Sergey; Salivonchyk, Sviatlana</t>
  </si>
  <si>
    <t>Assessment of atmospheric pollutant dispersion from mobile sources in Antarctica: a case study of Vecherny Oasis</t>
  </si>
  <si>
    <t>POLAR GEOGRAPHY</t>
  </si>
  <si>
    <t>Antarctica; Enderby Land; Vecherny Oasis; dispersion modeling; AERMOD; nitrogen dioxide; PM10</t>
  </si>
  <si>
    <t>EMISSIONS; SULFUR</t>
  </si>
  <si>
    <t>The first results of high spatial resolution modeling of the dispersion of atmospheric pollutant emissions from mobile sources in Antarctica are presented. Options for assessing the impacts of vehicles on air quality in Antarctica are discussed using the Belarusian Antarctic Station at Vecherny Oasis, Enderby Land, as an example. Sources of input data and collection and processing of these data are described. Surface air concentrations of nitrogen dioxide (NO2), and concentrations and dry atmospheric deposition levels of respirable suspended particulate matter (PM10) are estimated for different averaging periods and scenarios of the volume and spatial allocation of emission. Nowadays, the number of vehicles in the oasis is small. However, by the estimates, the maximum hourly concentrations of PM10 and NO2 at certain locations and under certain conditions could reach perceptible share of the air quality guideline value. Some other Antarctic stations have significant vehicle population, and assessment of their air impacts will be especially important. Suggestions for improvements of the quantitative assessment of impacts of mobile emission sources in Antarctica are proposed.</t>
  </si>
  <si>
    <t>[Kakareka, Sergey; Salivonchyk, Sviatlana] Natl Acad Sci Belarus, Inst Nat Management, Lab Transboundary Pollut, Skoriny 10, Minsk 220114, BELARUS</t>
  </si>
  <si>
    <t>National Academy of Sciences of Belarus (NASB); Institute for Nature Management of the National Academy of Sciences of Belarus</t>
  </si>
  <si>
    <t>Kakareka, S (corresponding author), Natl Acad Sci Belarus, Inst Nat Management, Lab Transboundary Pollut, Skoriny 10, Minsk 220114, BELARUS.</t>
  </si>
  <si>
    <t>sk001@yandex.ru</t>
  </si>
  <si>
    <t>Kakareka, Sergey/0000-0002-4267-0948</t>
  </si>
  <si>
    <t>State Program 'Monitoring of the Earth Polar Regions, Creation of the Belarusian Antarctic Station and Support of the Polar Expeditions' [20163266]</t>
  </si>
  <si>
    <t>State Program 'Monitoring of the Earth Polar Regions, Creation of the Belarusian Antarctic Station and Support of the Polar Expeditions'</t>
  </si>
  <si>
    <t>The research presented in this article was conducted in the framework of a State Program `Monitoring of the Earth Polar Regions, Creation of the Belarusian Antarctic Station and Support of the Polar Expeditions for 2016-2020' (project registration number 20163266).</t>
  </si>
  <si>
    <t>1088-937X</t>
  </si>
  <si>
    <t>1939-0513</t>
  </si>
  <si>
    <t>POLAR GEOGR</t>
  </si>
  <si>
    <t>Polar Geogr.</t>
  </si>
  <si>
    <t>10.1080/1088937X.2020.1766591</t>
  </si>
  <si>
    <t>Geography, Physical</t>
  </si>
  <si>
    <t>Physical Geography</t>
  </si>
  <si>
    <t>PH0OR</t>
  </si>
  <si>
    <t>WOS:000600123900003</t>
  </si>
  <si>
    <t>Becker, E; Vadas, SL</t>
  </si>
  <si>
    <t>Becker, Erich; Vadas, Sharon L.</t>
  </si>
  <si>
    <t>Explicit Global Simulation of Gravity Waves in the Thermosphere</t>
  </si>
  <si>
    <t>MIDDLE-ATMOSPHERE; SATELLITE-OBSERVATIONS; LIDAR OBSERVATIONS; MOMENTUM FLUX; GENERATION; MESOSPHERE; CYCLE; DIFFUSION; MODEL; CLIMATOLOGY</t>
  </si>
  <si>
    <t>We present a new version of the high-resolution Kuhlungsborn Mechanistic general Circulation Model (KMCM) extended to z similar to 450 km. This model is called HIAMCM (HI Altitude Mechanistic general Circulation Model) and explicitly simulates gravity waves (GWs) down to horizontal wavelengths of lambda(h) similar to 165 km. We find predominant tertiary GWs in the winter thermosphere at middle/high latitudes. These GWs typically have horizontal wavelengths lambda(h) similar to 300-1,100 km, ground-based periods similar to 25-90 min, and intrinsic horizontal phase speeds c(Ih) similar to 250-350ms(-1). Above z similar to 200 km, the predominant GW horizontal propagation directions are roughly against the background winds from the diurnal tide; the GWs propagate mainly poleward at midnight, eastward at 6 local time (LT), equatorward at noon, and westward at 18 LT. Wintertime GWs at z similar to 300 km having 165 km &lt;= lambda(h) &lt;= 330 km create a large hot spot over the Southern Andes/Antarctic Peninsula that agrees well with quiet time satellite measurements. Due to cancelation effects, the time-averaged zonal mean Eliassen-Palm flux divergence from the resolved GWs in the thermosphere is negligible compared to that of the tides and compared to the zonal component of the time-averaged zonal mean ion drag. We also find that the thermospheric GWs dissipate mainly from macroturbulent diffusion and, above z similar to 200 km, from molecular diffusion, whereas the tides dissipate mainly from ion drag. The averaged dissipative heating in the thermosphere due to tides is much stronger than that due to GWs.</t>
  </si>
  <si>
    <t>[Becker, Erich] Leibniz Inst Atmospher Phys, Kuhlungsborn, Germany; [Becker, Erich; Vadas, Sharon L.] Northwest Res Associates, Boulder, CO 80301 USA</t>
  </si>
  <si>
    <t>Leibniz Institut fur Atmospharenphysik e.V. an der Universitat Rostock (IAP); NorthWest Research Associates</t>
  </si>
  <si>
    <t>Becker, E (corresponding author), Leibniz Inst Atmospher Phys, Kuhlungsborn, Germany.;Becker, E (corresponding author), Northwest Res Associates, Boulder, CO 80301 USA.</t>
  </si>
  <si>
    <t>erich.becker@nwra.com</t>
  </si>
  <si>
    <t>Becker, Erich/0000-0001-7883-3254</t>
  </si>
  <si>
    <t>Leibniz Institute of Atmospheric Physics at the University of Rostock (IAP); Department of Earth and Planetary Science at the University of Tokyo; NASA [80NSSC19K0834, 80NSSC19K0836]; NSF [AGS-1832988, AGS-1552315]</t>
  </si>
  <si>
    <t>Leibniz Institute of Atmospheric Physics at the University of Rostock (IAP); Department of Earth and Planetary Science at the University of Tokyo; NASA(National Aeronautics &amp; Space Administration (NASA)); NSF(National Science Foundation (NSF))</t>
  </si>
  <si>
    <t>Model simulations were performed by the authors. A comprehensive model description is given in section 22 and in the appendices of this paper. E. B. was supported by the Leibniz Institute of Atmospheric Physics at the University of Rostock (IAP), by the Department of Earth and Planetary Science at the University of Tokyo, and by NASA Grant 80NSSC19K0834. S. L. V. was supported by NSF Grants AGS-1832988 and AGS-1552315 and by NASA Grant 80NSSC19K0836. We thank Kai Budde for evaluating the HITRAN data. Discussions with Richard Walterscheid, Joe Huba, Douglas Drob, and Aaron Riddley are gratefully acknowledged. We thank two anonymous reviewers for numerous helpful comments on the manuscript.</t>
  </si>
  <si>
    <t>e2020JA028034</t>
  </si>
  <si>
    <t>10.1029/2020JA028034</t>
  </si>
  <si>
    <t>PI3JI</t>
  </si>
  <si>
    <t>WOS:000600990300007</t>
  </si>
  <si>
    <t>Kvammen, A; Wickstrom, K; McKay, D; Partamies, N</t>
  </si>
  <si>
    <t>Kvammen, Andreas; Wickstrom, Kristoffer; McKay, Derek; Partamies, Noora</t>
  </si>
  <si>
    <t>Auroral Image Classification With Deep Neural Networks</t>
  </si>
  <si>
    <t>aurora classification; deep neural networks; machine learning; automatic aurora labeling; convolutional neural networks; labeled aurora data</t>
  </si>
  <si>
    <t>Results from a study of automatic aurora classification using machine learning techniques are presented. The aurora is the manifestation of physical phenomena in the ionosphere-magnetosphere environment. Automatic classification of millions of auroral images from the Arctic and Antarctic is therefore an attractive tool for developing auroral statistics and for supporting scientists to study auroral images in an objective, organized, and repeatable manner. Although previous studies have presented tools for detecting aurora, there has been a lack of tools for classifying aurora into subclasses with a high precision (&gt;90%). This work considers seven auroral subclasses: breakup, colored, arcs, discrete, patchy, edge, and faint. Six different deep neural network architectures have been tested along with the well-known classification algorithms: k-nearest neighbor (KNN) and a support vector machine (SVM). A set of clean nighttime color auroral images, without clearly ambiguous auroral forms, moonlight, twilight, clouds, and so forth, were used for training and testing the classifiers. The deep neural networks generally outperformed the KNN and SVM methods, and the ResNet-50 architecture achieved the highest performance with an average classification precision of 92%.</t>
  </si>
  <si>
    <t>[Kvammen, Andreas; Wickstrom, Kristoffer] UiT Arctic Univ Norway, Dept Phys &amp; Technol, Tromso, Norway; [McKay, Derek] NORCE Norwegian Res Ctr AS, Tromso, Norway; [McKay, Derek] Univ Turku, Finnish Ctr Astron ESO, FINCA, Turku, Finland; [Partamies, Noora] Univ Ctr Svalbard, Dept Arctic Geophys, Longyearbyen, Norway; [Partamies, Noora] Birkeland Ctr Space Sci, Bergen, Norway</t>
  </si>
  <si>
    <t>UiT The Arctic University of Tromso; Norwegian Research Centre (NORCE); University of Turku; University Centre Svalbard (UNIS)</t>
  </si>
  <si>
    <t>Kvammen, A (corresponding author), UiT Arctic Univ Norway, Dept Phys &amp; Technol, Tromso, Norway.</t>
  </si>
  <si>
    <t>andreas.kvammen@uit.no</t>
  </si>
  <si>
    <t>Partamies, Noora/G-3408-2014; Wickstrøm, Kristoffer/AAR-5964-2020; Kvammen, Andreas/HNI-3675-2023</t>
  </si>
  <si>
    <t>Wickstrøm, Kristoffer/0000-0003-1395-7154; Kvammen, Andreas/0000-0002-5511-4473</t>
  </si>
  <si>
    <t>TromsO Research Foundation; Academy of Finland [322535]; Research Council of Norway [287427]; CoE [223252]</t>
  </si>
  <si>
    <t>TromsO Research Foundation; Academy of Finland(Research Council of Finland); Research Council of Norway(Research Council of Norway); CoE(Ministry of Education, Culture, Sports, Science and Technology, Japan (MEXT))</t>
  </si>
  <si>
    <t>The authors would like to thank Urban Brandstrom and the Swedish Institute of Space Physics for providing the original auroral image data. However, the users are obliged to contact the Kiruna Atmospheric and Geophysical Observatory before using the images. Andreas Kvammen is supported by the TromsO Research Foundation. The work by Derek McKay is partly supported by the Academy of Finland project number 322535. The work by Noora Partamies is partly supported by the Research Council of Norway under contract 287427 and a CoE contract 223252. The authors would also like to thank Bjorn Gustavsson for valuable suggestions and comments.</t>
  </si>
  <si>
    <t>e2020JA027808</t>
  </si>
  <si>
    <t>10.1029/2020JA027808</t>
  </si>
  <si>
    <t>WOS:000600990300050</t>
  </si>
  <si>
    <t>Ryabushko, LI</t>
  </si>
  <si>
    <t>Ryabushko, L. I.</t>
  </si>
  <si>
    <t>The First Finding of Radiolaria Arachnocorys circumtexta Haeckel, 1860 and the Bottom Microalgae in Brown Alga Cystoseira barbata (Stackhouse) C.A. Agardh Epiphyton (Crimea, Black Sea)</t>
  </si>
  <si>
    <t>RUSSIAN JOURNAL OF BIOLOGICAL INVASIONS</t>
  </si>
  <si>
    <t>Radiolaria of Arachnocorys circumtexta; microalgae; Cystoseira barbata; Black Sea</t>
  </si>
  <si>
    <t>The planktonic species Radiolaria of Arachnocorys circumtexta Haeckel, 1860 (Radiolaria, class Nasseillaria, family Lophophaenidae Haeckel, emend. Petrushevskaya, 1971) in the epiphyton of the brown alga Cystoseira barbata (Stackhouse) C.A. Agardh in August 2002 in Martynov Bay (Sevastopol, Crimea) at a depth of 2.5 m at a water temperature of 24.4 degrees C and a salinity of 18 parts per thousand was the first time in the Black Sea. Before, this species was indicated by E. Haeckel in the Mediterranean Sea plankton. For the Black Sea, this species is probably invasive. The sizes of Radiolaria blacksea specimens the correspond to the literature data. In addition to Radiolaria and microalgae have been found in the epiphyton of C. barbata, including 14 species of Bacillariophyta and one species of Dinophyta from the genus Prorocentrum Ehrenb. Marine species predominate (67%) and 53% of all species encountered are beta-mesosaprobionts - indicators of moderate organic water pollution. 33% of cosmopolites are found in all geographical zones from the Arctic to the Antarctic waters. The aim of this report is presentation of new information about a rare modern Radiolaria and the taxa of benthic microalgae Cystoseirabarbata epiphyton from the Black Sea.</t>
  </si>
  <si>
    <t>[Ryabushko, L. I.] Russian Acad Sci, Kovalevsky Inst Biol Southern Seas, Sevastopol 299011, Russia</t>
  </si>
  <si>
    <t>Russian Academy of Sciences; AO Kovalevsky Institute of Biology of the Southern Seas of RAS (IBSS)</t>
  </si>
  <si>
    <t>Ryabushko, LI (corresponding author), Russian Acad Sci, Kovalevsky Inst Biol Southern Seas, Sevastopol 299011, Russia.</t>
  </si>
  <si>
    <t>larisa.ryabushko@yandex.ru</t>
  </si>
  <si>
    <t>Larisa, Ryabushko/D-9519-2016</t>
  </si>
  <si>
    <t>[AAAA18-118021350003-6]</t>
  </si>
  <si>
    <t>The work was carried out within the framework of the state task FITZ InBYuM no. AAAA18-118021350003-6.</t>
  </si>
  <si>
    <t>2075-1117</t>
  </si>
  <si>
    <t>2075-1125</t>
  </si>
  <si>
    <t>RUSS J BIOL INVASION</t>
  </si>
  <si>
    <t>Russ. J. Biol. Invasion</t>
  </si>
  <si>
    <t>10.1134/S2075111720040141</t>
  </si>
  <si>
    <t>PH6WF</t>
  </si>
  <si>
    <t>WOS:000600549600011</t>
  </si>
  <si>
    <t>Glodowsky, AP; Ruberto, LA; Martorell, MM; Mac Cormack, WP; Levin, GJ</t>
  </si>
  <si>
    <t>Glodowsky, Alejandro P.; Ruberto, Lucas A.; Martha Martorell, Maria; Mac Cormack, Walter P.; Levin, Gustavo J.</t>
  </si>
  <si>
    <t>Cold active transglutaminase from antarctic Penicillium chrysogenum: Partial purification, characterization and potential application in food technology</t>
  </si>
  <si>
    <t>BIOCATALYSIS AND AGRICULTURAL BIOTECHNOLOGY</t>
  </si>
  <si>
    <t>Transglutaminase; Antarctic fungi; Food technology; Cold-active enzyme</t>
  </si>
  <si>
    <t>SOLID-STATE; CANDIDA-ALBICANS; MICROBIAL TRANSGLUTAMINASE; LIPASE PRODUCTION; GEL STRENGTH; RESTRICTUM; CHICKEN</t>
  </si>
  <si>
    <t>A novel transglutaminase (TGase, EC 2.3.2.13) from antarctic Penicillium chrysogenum was partially purified using ammonium sulfate precipitation and anionic exchange chromatography. The final extract had a specific activity of 7.81 mU/mg, purification fold of 7.16, and a yield of 5.02%. The molecular weight was estimated to be 67 kDa by bioinformatic analysis and SDS-PAGE. Maximum TGase activity was observed at pH 8.0 and 30 degrees C, mesophilic conditions (near 40 degrees C) resulted in total inactivation. A slight improvement in TGase activity was observed in the presence of Ca2+, it increased to 127.78 +/- 9.62% at 35 mM but return to normal values at higher concentrations. Additionally, the enzyme activity decreased progressively in the presence of EDTA and STPP suggesting that the enzyme is Ca2+ dependent but this cofactor is being supplied by the fermented substrate. The partially purified TGase was used as an additive to modify the rheology of a cold-set gelatin gel achieving an increase in the gel strength and gumminess of 32.25% and 30.50% respectively.</t>
  </si>
  <si>
    <t>[Glodowsky, Alejandro P.; Levin, Gustavo J.] Entre Rios Res &amp; Transfer Ctr CITER CONICET UNER, Peron 64 2820, Gualeguaychu, Entre Rios, Argentina; [Ruberto, Lucas A.; Martha Martorell, Maria; Mac Cormack, Walter P.] Argentinian Antarctic Inst IAA, 25 Mayo 1143, RA-1650 San Martin, Buenos Aires, Argentina; [Ruberto, Lucas A.; Martha Martorell, Maria; Mac Cormack, Walter P.] Univ Buenos Aires, CONICET, Nanobiotechnol Inst NANOBIOTEC, Junin 956, RA-1113 Buenos Aires, DF, Argentina</t>
  </si>
  <si>
    <t>University of Buenos Aires; Consejo Nacional de Investigaciones Cientificas y Tecnicas (CONICET)</t>
  </si>
  <si>
    <t>Levin, GJ (corresponding author), Entre Rios Res &amp; Transfer Ctr CITER CONICET UNER, Peron 64 2820, Gualeguaychu, Entre Rios, Argentina.</t>
  </si>
  <si>
    <t>aglodowsky@conicet.gov.ar; lruberto@ffyb.uba.ar; mmartorell@ffyb.uba.ar; wmac@ffyb.uba.ar; glevin@conicet.gov.ar</t>
  </si>
  <si>
    <t>Mac Cormack, Walter/0000-0002-5280-5463</t>
  </si>
  <si>
    <t>Universidad Nacional de Entre Rios (UNER), Republica Argentina; Consejo Nacional de Investigaciones Cientificas y Tecnicas (CONICET), Republica Argentina</t>
  </si>
  <si>
    <t>Universidad Nacional de Entre Rios (UNER), Republica Argentina; Consejo Nacional de Investigaciones Cientificas y Tecnicas (CONICET), Republica Argentina(Consejo Nacional de Investigaciones Cientificas y Tecnicas (CONICET))</t>
  </si>
  <si>
    <t>This work was supported by grants from Universidad Nacional de Entre Rios (UNER), Republica Argentina and Consejo Nacional de Investigaciones Cientificas y Tecnicas (CONICET), Republica Argentina.</t>
  </si>
  <si>
    <t>1878-8181</t>
  </si>
  <si>
    <t>BIOCATAL AGR BIOTECH</t>
  </si>
  <si>
    <t>Biocatal. Agric. Biotechnol.</t>
  </si>
  <si>
    <t>10.1016/j.bcab.2020.101807</t>
  </si>
  <si>
    <t>PG4KV</t>
  </si>
  <si>
    <t>WOS:000599706700012</t>
  </si>
  <si>
    <t>Bachman, SD; Klocker, A</t>
  </si>
  <si>
    <t>Bachman, Scott D.; Klocker, Andreas</t>
  </si>
  <si>
    <t>Interaction of Jets and Submesoscale Dynamics Leads to Rapid Ocean Ventilation</t>
  </si>
  <si>
    <t>JOURNAL OF PHYSICAL OCEANOGRAPHY</t>
  </si>
  <si>
    <t>Baroclinic flows; Barotropic flows; Instability; Turbulence; Vertical motion</t>
  </si>
  <si>
    <t>PART I; NORTHERN GULF; INSTABILITY; MESOSCALE; PARAMETERIZATION; CIRCULATION; SATURATION; TRANSPORT; IMPACT</t>
  </si>
  <si>
    <t>Ocean ventilation is the process by which climatically important tracers such as heat and carbon are exchanged between the atmosphere and ocean interior. In this paper a series of numerical simulations are used to study the interaction of submesoscales and a topographically steered jet in driving rapid ventilation. The ventilation is found to increase both as a function of wind stress and model resolution, with a submesoscale-resolving 1/1208 model exhibiting the largest ventilation rate. The jet in this simulation is found to be persistently unstable to submesoscale instabilities, which are known to feature intense vertical circulations. The vertical tracer transport is found to scale as a function of the eddy kinetic energy and mean isopycnal slope, whose behaviors change as a function of the wind stress and due to the emergence of a strong potential vorticity gradient due to the lateral shear of the jet. These results highlight the importance of jet-submesoscale interaction as a bridge between the atmosphere and the ocean interior.</t>
  </si>
  <si>
    <t>[Bachman, Scott D.] Natl Ctr Atmospher Res, Climate &amp; Global Dynam Lab, POB 3000, Boulder, CO 80307 USA; [Klocker, Andreas] Univ Tasmania, Inst Marine &amp; Antarctic Studies, Hobart, Tas, Australia; [Klocker, Andreas] Univ Tasmania, Australian Res Council, Ctr Excellence Climate Extremes, Hobart, Tas, Australia</t>
  </si>
  <si>
    <t>National Center Atmospheric Research (NCAR) - USA; University of Tasmania; University of Tasmania</t>
  </si>
  <si>
    <t>Bachman, SD (corresponding author), Natl Ctr Atmospher Res, Climate &amp; Global Dynam Lab, POB 3000, Boulder, CO 80307 USA.</t>
  </si>
  <si>
    <t>bachman@ucar.edu</t>
  </si>
  <si>
    <t>Klocker, Andreas/E-4632-2011</t>
  </si>
  <si>
    <t>Klocker, Andreas/0000-0002-2038-7922</t>
  </si>
  <si>
    <t>National Center for Atmospheric Research (NCAR) - National Science Foundation [1852977]; National Science Foundation; Australian Research Council's Special Research Initiative for Antarctic Gateway Partnership [SR140300001]; Australian Government</t>
  </si>
  <si>
    <t>National Center for Atmospheric Research (NCAR) - National Science Foundation; National Science Foundation(National Science Foundation (NSF)); Australian Research Council's Special Research Initiative for Antarctic Gateway Partnership(Australian Research Council); Australian Government(Australian Government)</t>
  </si>
  <si>
    <t>We thank Laure Zanna for useful discussions that helped to inspire this manuscript. This material is based upon work supported by the National Center for Atmospheric Research (NCAR), which is a major facility sponsored by the National Science Foundation under Cooperative Agreement 1852977. We would like to acknowledge high-performance computing support from Cheyenne (doi: 10.5065/D6RX99HX) provided by NCAR's Computational and Information Systems Laboratory, sponsored by the National Science Foundation. This research was supported under Australian Research Council's Special Research Initiative for Antarctic Gateway Partnership (Project ID SR140300001), and was undertaken with the assistance of resources from the National Computational Infrastructure, which is supported by the Australian Government.</t>
  </si>
  <si>
    <t>0022-3670</t>
  </si>
  <si>
    <t>1520-0485</t>
  </si>
  <si>
    <t>J PHYS OCEANOGR</t>
  </si>
  <si>
    <t>J. Phys. Oceanogr.</t>
  </si>
  <si>
    <t>10.1175/JPO-D-20-0117.1</t>
  </si>
  <si>
    <t>OS0AH</t>
  </si>
  <si>
    <t>WOS:000589826300005</t>
  </si>
  <si>
    <t>Cusack, JM; Brearley, JA; Garabato, ACN; Smeed, DA; Polzin, KL; Velzeboer, N; Shakespeare, CJ</t>
  </si>
  <si>
    <t>Cusack, Jesse M.; Brearley, J. Alexander; Garabato, Alberto C. Naveira; Smeed, David A.; Polzin, Kurt L.; Velzeboer, Nick; Shakespeare, Callum J.</t>
  </si>
  <si>
    <t>Observed Eddy-Internal Wave Interactions in the Southern Ocean</t>
  </si>
  <si>
    <t>ANTARCTIC CIRCUMPOLAR CURRENT; LOW-FREQUENCY FLOWS; ENERGY; GENERATION; MODEL; FIELD; TEMPERATURE; VARIABILITY; CIRCULATION; VELOCITY</t>
  </si>
  <si>
    <t>The physical mechanisms that remove energy from the Southern Ocean's vigorous mesoscale eddy field are not well understood. One proposed mechanism is direct energy transfer to the internal wave field in the ocean interior, via eddy-induced straining and shearing of preexisting internalwaves. The magnitude, vertical structure, and temporal variability of the rate of energy transfer between eddies and internal waves is quantified from a 14-month deployment of a mooring cluster in the Scotia Sea. Velocity and buoyancy observations are decomposed into wave and eddy components, and the energy transfer is estimated using the Reynolds-averaged energy equation. We find that eddies gain energy from the internal wave field at a rate of -22.2 +/- 0.6 mW m(-2), integrated from the bottom to 566 m below the surface. This result can be decomposed into a positive (eddy to wave) component, equal to 0.2 +/- 0.1 mW m(-2), driven by horizontal straining of internal waves, and a negative (wave to eddy) component, equal to 22.5 +/- 0.6 mW m(-2), driven by vertical shearing of the wave spectrum. Temporal variability of the transfer rate is much greater than the mean value. Close to topography, large energy transfers are associated with low-frequency buoyancy fluxes, the underpinning physics of which do not conform to linear wave dynamics and are thereby in need of further research. Our work suggests that eddy-internal wave interactionsmay play a significant role in the energy balance of the Southern Ocean mesoscale eddy and internal wave fields.</t>
  </si>
  <si>
    <t>[Cusack, Jesse M.] Univ Calif San Diego, Scripps Inst Oceanog, La Jolla, CA 92093 USA; [Brearley, J. Alexander] British Antarctic Survey, Cambridge, England; [Garabato, Alberto C. Naveira] Univ Southampton, Natl Oceanog Ctr, Southampton, Hants, England; [Smeed, David A.] Natl Oceanog Ctr, Southampton, Hants, England; [Polzin, Kurt L.] Woods Hole Oceanog Inst, Woods Hole, MA 02543 USA; [Velzeboer, Nick; Shakespeare, Callum J.] Australian Natl Univ, Res Sch Earth Sci, Canberra, ACT, Australia; [Velzeboer, Nick; Shakespeare, Callum J.] Australian Natl Univ, ARC Ctr Excellence Climate Extremes, Canberra, ACT, Australia</t>
  </si>
  <si>
    <t>University of California System; University of California San Diego; Scripps Institution of Oceanography; UK Research &amp; Innovation (UKRI); Natural Environment Research Council (NERC); NERC British Antarctic Survey; NERC National Oceanography Centre; University of Southampton; NERC National Oceanography Centre; Woods Hole Oceanographic Institution; Australian National University; Australian National University</t>
  </si>
  <si>
    <t>Cusack, JM (corresponding author), Univ Calif San Diego, Scripps Inst Oceanog, La Jolla, CA 92093 USA.</t>
  </si>
  <si>
    <t>jmcusack@ucsd.edu</t>
  </si>
  <si>
    <t>Garabato, Alberto Naveira/AAQ-1114-2020; Smeed, David/B-4726-2012; Shakespeare, Callum/L-1839-2015</t>
  </si>
  <si>
    <t>Garabato, Alberto Naveira/0000-0001-6071-605X; Smeed, David/0000-0003-1740-1778; Cusack, Jesse/0000-0003-2065-4397; Shakespeare, Callum/0000-0002-8109-0751</t>
  </si>
  <si>
    <t>U.K. Natural Environment Research Council (NERC) [NE/E007058/1, NE/E005667/1]; NERC PhD studentship; ACNG of the Royal Society; Wolfson Foundation; ARC Centre of Excellence for Climate Extremes (CLEX) Honours Scholarship; ANU PBSA Partnership Spotless Scholarship; ARC [DE180100087]; Australian National University Futures Scheme award; NERC [NE/E007058/1, bas0100033, NE/E005667/1, NE/L011166/1] Funding Source: UKRI; Australian Research Council [DE180100087] Funding Source: Australian Research Council</t>
  </si>
  <si>
    <t>U.K. Natural Environment Research Council (NERC)(UK Research &amp; Innovation (UKRI)Natural Environment Research Council (NERC)); NERC PhD studentship(UK Research &amp; Innovation (UKRI)Natural Environment Research Council (NERC)); ACNG of the Royal Society; Wolfson Foundation; ARC Centre of Excellence for Climate Extremes (CLEX) Honours Scholarship; ANU PBSA Partnership Spotless Scholarship; ARC(Australian Research Council); Australian National University Futures Scheme award; NERC(UK Research &amp; Innovation (UKRI)Natural Environment Research Council (NERC)); Australian Research Council(Australian Research Council)</t>
  </si>
  <si>
    <t>Funding for DIMES was provided by U.K. Natural Environment Research Council (NERC) Grants NE/E007058/1 and NE/E005667/1. JMC acknowledges the support of a NERC PhD studentship, and ACNG that of theRoyal Society and theWolfson Foundation. NV acknowledges support fromtheARC Centre of Excellence for Climate Extremes (CLEX) Honours Scholarship and the ANU PBSA Partnership Spotless Scholarship. CJS acknowledges support from an ARC Discovery Early Career Researcher Award DE180100087 and an Australian National University Futures Scheme award. Numerical simulations were conducted on the National Computational Infrastructure (NCI) facility, Canberra, Australia. This study has been conducted using E.U. Copernicus Marine Service Information. We thank two anonymous reviewers for their comments which helped to improve the manuscript significantly. Codes and output files are available online at the project repository (https://github.com/jessecusack/DIMES_eddy_wave_interactions).</t>
  </si>
  <si>
    <t>10.1175/JPO-D-20-0001.1</t>
  </si>
  <si>
    <t>WOS:000589826300015</t>
  </si>
  <si>
    <t>Bogorodskiy, PV; Demidov, NE; Filchuk, KV; Marchenko, AV; Morozov, EG; Nikulina, AL; Pnyushkov, AV; Ryzhov, IV</t>
  </si>
  <si>
    <t>Bogorodskiy, P., V; Demidov, N. E.; Filchuk, K., V; Marchenko, A., V; Morozov, E. G.; Nikulina, A. L.; Pnyushkov, A., V; Ryzhov, I., V</t>
  </si>
  <si>
    <t>Growth of landfast ice and its thermal interaction with bottom sediments in the Braganzavagen Gulf (West Spitsbergen)</t>
  </si>
  <si>
    <t>RUSSIAN JOURNAL OF EARTH SCIENCES</t>
  </si>
  <si>
    <t>West Spitsbergen; bottom sediments; energy and mass transport; ice formation; shallow-water; zone sub-ice water layer</t>
  </si>
  <si>
    <t>COASTAL ZONE; THICKNESS</t>
  </si>
  <si>
    <t>The results of ice and hydrological studies of the shallow Bay of Braganzavagen (Van Mayen Fjord Bay, West Spitsbergen Island) in March 2016 and 2018, supplemented with model calculations using a thermodynamic model, are presented. The model uses both known methods of localizing the phase transition region - the classical (frontal) for fast ice and in an extended area (two-phase zone) for bottom sediments. For real atmospheric conditions of winter 2015-2016, the new qualitative features of the process of ice formation in the adjacent layers of sea water and bottom soil are revealed. However, due to insufficient knowledge of the heat and mass transfer properties of bottom sediments, the question of quantitative estimates of the process remains open and can be clarified in special field experiments.</t>
  </si>
  <si>
    <t>[Bogorodskiy, P., V; Filchuk, K., V; Nikulina, A. L.; Pnyushkov, A., V; Ryzhov, I., V] Arctic &amp; Antarctic Res Inst, 38 Bering Str, St Petersburg 199397, Russia; [Demidov, N. E.] Vernadsky Inst Geochem &amp; Analyt Chem, Moscow, Russia; [Marchenko, A., V] Univ Ctr Svalbard, Longyearbyen, Norway; [Marchenko, A., V] Zubov Oceanog Inst, Moscow, Russia; [Morozov, E. G.] RAS, Shirshov Inst Oceanol, Moscow, Russia; [Pnyushkov, A., V] Univ Alaska, Int Arctic Res Ctr, Fairbanks, AK 99701 USA; [Pnyushkov, A., V] Global Inst Collaborat Res &amp; Educ, Sapporo, Hokkaido, Japan</t>
  </si>
  <si>
    <t>Arctic &amp; Antarctic Research Institute; Russian Academy of Sciences; Vernadsky Institute of Geochemistry &amp; Analytical Chemistry; University Centre Svalbard (UNIS); Russian Academy of Sciences; Shirshov Institute of Oceanology; University of Alaska System; University of Alaska Fairbanks</t>
  </si>
  <si>
    <t>Ryzhov, IV (corresponding author), Arctic &amp; Antarctic Res Inst, 38 Bering Str, St Petersburg 199397, Russia.</t>
  </si>
  <si>
    <t>ryzhov@aari.ru</t>
  </si>
  <si>
    <t>Morozov, Eugene G/L-3023-2018; Marchenko, Aleksey/GSD-3516-2022; Pnyushkov, Andrey/M-3156-2019</t>
  </si>
  <si>
    <t>Marchenko, Aleksey/0000-0003-4169-0063; Pnyushkov, Andrey/0000-0001-9112-6458</t>
  </si>
  <si>
    <t>Ministry of Science and Higher Education of the Russian Federation [RFMEFI61617X0076]</t>
  </si>
  <si>
    <t>This study was supported by the Ministry of Science and Higher Education of the Russian Federation (project RFMEFI61617X0076).</t>
  </si>
  <si>
    <t>GEOPHYSICAL CENTER RAS</t>
  </si>
  <si>
    <t>MOSCOW</t>
  </si>
  <si>
    <t>MOLODEZHNAYA ST 3, MOSCOW, 119296, RUSSIA</t>
  </si>
  <si>
    <t>1681-1208</t>
  </si>
  <si>
    <t>RUSS J EARTH SCI</t>
  </si>
  <si>
    <t>Russ. J. Earth Sci.</t>
  </si>
  <si>
    <t>OCT-DEC</t>
  </si>
  <si>
    <t>ES6005</t>
  </si>
  <si>
    <t>10.2205/2020ES000718</t>
  </si>
  <si>
    <t>PA3OR</t>
  </si>
  <si>
    <t>WOS:000595548100006</t>
  </si>
  <si>
    <t>Ramos, VA; Lovecchio, JP; Naipauer, M; Pángaro, F</t>
  </si>
  <si>
    <t>Ramos, Victor A.; Pablo Lovecchio, Juan; Naipauer, Maximiliano; Pangaro, Francisco</t>
  </si>
  <si>
    <t>THE COLLISION OF PATAGONIA: GEOLOGICAL FACTS AND SPECULATIVE INTERPRETATIONS</t>
  </si>
  <si>
    <t>AMEGHINIANA</t>
  </si>
  <si>
    <t>Gondwanide; Hesperides Basin; Late Paleozoic deformation; Synorogenic deposits; Delamination</t>
  </si>
  <si>
    <t>SOUTHERN SOUTH-AMERICA; BUENOS-AIRES-PROVINCE; SOUTHWESTERN GONDWANA; FOLD BELT; U-PB; TECTONIC SIGNIFICANCE; HF-ISOTOPE; RIO NEGRO; EVOLUTION; ARGENTINA</t>
  </si>
  <si>
    <t>The Paleozoic evolution of Patagonia was the focus of controversies between its allochthonous or autochthonous origin. The arrival of plate tectonics supported new allochthonous alternatives and from an initial fixist resistance, different mobilistic hypotheses have made their way. There is currently some consensus about its allochthony, but there is no agreement on collision times or in the configuration of the continental blocks involved. Based on the present data an alternative is developed that fits better with existing information. The northeast-vergent deformation in Ventania System, the Hesperides Basin, its wide longitudinal and transverse distribution, show that collision occurred in the northern sector of Northern Patagonian Massif, and extended through the southern African Gondwanides. Their similar metamorphic and tectonic patterns identified a previous southward subduction with a Permian climax, characteristic of a continent-continent collision. The associated magmatic arc has been partially obliterated by slab-breakoff and delamination in the Late Permian-Triassic. The western magmatic belt along the Pacific margin is older, spanning from Devonian to mid-Carboniferous. The Chaitenia island arc collision in Upper Devonian produced an episode of exhumation and uplift. This western belt extends into Tierra del Fuego island and its contour allows tentatively to recognize a Southern Patagonian terrane. It is speculated that this block may have included the Antarctic Peninsula, although more data is needed to characterize its composition and areal development. However, it is concluded that the dimensions of this southern terrane cannot justify the broad regional deformation of the Gondwanides.</t>
  </si>
  <si>
    <t>[Ramos, Victor A.] Univ Buenos Aires, Inst Estudios Andinos Don Pablo Groeber, IDEAN, Fac Ciencias Exactas &amp; Nat,CONICET, Intendente Guiraldes 2160,Ciudad Univ Pabellon 2, Caba, Argentina; [Pablo Lovecchio, Juan] YPF SA, Explorat Div, Macacha Guerres 515,C1106BKK, Caba, Argentina; [Naipauer, Maximiliano] Univ Buenos Aires, Inst Geocronol &amp; Geol Isotop, INGEIS, CONICET,Pabellon INGEIS, Ciudad Univ S-N,C1428EHA, Caba, Argentina; [Pangaro, Francisco] Repsol Explorac SA, Direct Geol Studies, Mendez Alvaro 44, Madrid 28045, Spain</t>
  </si>
  <si>
    <t>Consejo Nacional de Investigaciones Cientificas y Tecnicas (CONICET); University of Buenos Aires; Consejo Nacional de Investigaciones Cientificas y Tecnicas (CONICET); University of Buenos Aires; Repsol</t>
  </si>
  <si>
    <t>Ramos, VA (corresponding author), Univ Buenos Aires, Inst Estudios Andinos Don Pablo Groeber, IDEAN, Fac Ciencias Exactas &amp; Nat,CONICET, Intendente Guiraldes 2160,Ciudad Univ Pabellon 2, Caba, Argentina.</t>
  </si>
  <si>
    <t>andes@gl.fcen.uba.ar; juanlovecchio@yahoo.com.ar; maxinaipauer@hotmail.com; francisco.pangaro@repsol.com</t>
  </si>
  <si>
    <t>ASOCIACION PALEONTOLOGICA ARGENTINA</t>
  </si>
  <si>
    <t>BUENOS AIRES</t>
  </si>
  <si>
    <t>MAIPU 645, 1ER PISO, 1006 BUENOS AIRES, ARGENTINA</t>
  </si>
  <si>
    <t>0002-7014</t>
  </si>
  <si>
    <t>1851-8044</t>
  </si>
  <si>
    <t>Ameghiniana</t>
  </si>
  <si>
    <t>10.5710/AMGH.27.05.2020.3352</t>
  </si>
  <si>
    <t>OW3QN</t>
  </si>
  <si>
    <t>WOS:000592805800006</t>
  </si>
  <si>
    <t>Fernández-Alvarez, FA; Braid, HE; Nigmatullin, CM; Bolstad, KSR; Haimovici, M; Sánchez, P; Sajikumar, KK; Ragesh, N; Villanueva, R</t>
  </si>
  <si>
    <t>Fernandez-Alvarez, Fernando A.; Braid, Heather E.; Nigmatullin, Chingis M.; Bolstad, Kathrin S. R.; Haimovici, Manuel; Sanchez, Pilar; Sajikumar, Kurichithara K.; Ragesh, Nadakkal; Villanueva, Roger</t>
  </si>
  <si>
    <t>Global biodiversity of the genus Ommastrephes (Ommastrephidae: Cephalopoda): an allopatric cryptic species complex</t>
  </si>
  <si>
    <t>ZOOLOGICAL JOURNAL OF THE LINNEAN SOCIETY</t>
  </si>
  <si>
    <t>Cephalopoda; Ommastrephes brevimanus; Ommastrephes caroli; Ommastrephes cylindraceus; phylogeny; systematics; taxonomy</t>
  </si>
  <si>
    <t>NEON FLYING SQUID; WINTER-SPRING COHORT; NORTHWEST PACIFIC; JUMBO SQUID; DOSIDICUS-GIGAS; ARTIFICIAL FERTILIZATION; PHYLOGENETIC ANALYSIS; MOLLUSCA-CEPHALOPODA; MOLECULAR PHYLOGENY; LIFE-HISTORY</t>
  </si>
  <si>
    <t>Cryptic speciation among morphologically homogeneous species is a phenomenon increasingly reported in cosmopolitan marine invertebrates. This situation usually leads to the discovery of new species, each of which occupies a smaller fraction of the original distributional range. The resolution of the taxonomic status of species complexes is essential because species are used as the unit of action for conservation and natural resource management politics. Before the present study, Ommastrephes bartramii was considered a monotypic cosmopolitan species with a discontinuous distribution. Here, individuals from nearly its entire distributional range were evaluated with mitochondrial DNA (cytochrome c oxidase subunit I and 16S rRNA). Four distinct species were consistently identified using four molecular species delimitation methods. These results, in combination with morphological and metabolic information from the literature, were used to resurrect three formerly synonymized names (Ommastrephes brevimanus, Omnzastrephes caroli and Ommastrephes cylindraceus) and to propose revised distributional ranges for each species. In addition, diagnostic characters from the molecular sequences were incorporated in the species description. At present, only one of the four newly recognized species (Ommastrephes bartramii) is commercially exploited by fisheries in the North Pacific, but it now appears that the distributional range of this species is far smaller than previously believed, which is an essential consideration for effective fisheries management.</t>
  </si>
  <si>
    <t>[Fernandez-Alvarez, Fernando A.; Sanchez, Pilar; Villanueva, Roger] CSIC, Inst Ciencies Mar, Passeig Maritim 37-49, E-08003 Barcelona, Spain; [Fernandez-Alvarez, Fernando A.] Natl Univ Ireland Galway, Ryan Inst, Galway H91 TK33, Ireland; [Fernandez-Alvarez, Fernando A.] Natl Univ Ireland Galway, Sch Nat Sci, Galway H91 TK33, Ireland; [Braid, Heather E.; Bolstad, Kathrin S. R.] Auckland Univ Technol, Sch Sci, Inst Appl Ecol New Zealand, AUT Lab Cephalopod Ecol &amp; Systemat, Private Bag 92006, Auckland 1142, New Zealand; [Nigmatullin, Chingis M.] VNIRO AtlantNIRO, Atlantic Branch, Donskoj Str 5, Kaliningrad 236022, Russia; [Haimovici, Manuel] Univ Fed Rio Grande FURG, Inst Oceanog, CxP 474, BR-96203900 Rio Grande, RS, Brazil; [Sajikumar, Kurichithara K.; Ragesh, Nadakkal] Cent Marine Fisheries Res Inst CMFRI, Post Box 1608, Kochi 682018, Kerala, India</t>
  </si>
  <si>
    <t>Consejo Superior de Investigaciones Cientificas (CSIC); CSIC - Centro Mediterraneo de Investigaciones Marinas y Ambientales (CMIMA); CSIC - Instituto de Ciencias del Mar (ICM); Auckland University of Technology; Research lnstitute of Fisheries &amp; Oceanography; Universidade Federal do Rio Grande; Indian Council of Agricultural Research (ICAR); ICAR - Central Marine Fisheries Research Institute</t>
  </si>
  <si>
    <t>Fernández-Alvarez, FA (corresponding author), CSIC, Inst Ciencies Mar, Passeig Maritim 37-49, E-08003 Barcelona, Spain.;Fernández-Alvarez, FA (corresponding author), Natl Univ Ireland Galway, Ryan Inst, Galway H91 TK33, Ireland.;Fernández-Alvarez, FA (corresponding author), Natl Univ Ireland Galway, Sch Nat Sci, Galway H91 TK33, Ireland.</t>
  </si>
  <si>
    <t>f.a.fernandez.alvarez@gmail.com</t>
  </si>
  <si>
    <t>Fernández-Álvarez, Fernando Ángel/B-6196-2014; Villanueva, Roger/D-6911-2011</t>
  </si>
  <si>
    <t>Fernández-Álvarez, Fernando Ángel/0000-0002-8679-7377; Villanueva, Roger/0000-0001-8122-3449; Haimovici, Manuel/0000-0003-1741-8182</t>
  </si>
  <si>
    <t>Spanish Ministry of Economy and Competitiveness (MINECO/FEDER/EU) [CTM2012-39587-C04-03]; MINECO [BES-2013-063551, EEBB-C-16-00694]; Irish Research Council-Government of Ireland Postdoctoral Fellowship Award [GOIPD/2019/460]; MINECO/FEDER/EU [AGL2012-39077]</t>
  </si>
  <si>
    <t>Spanish Ministry of Economy and Competitiveness (MINECO/FEDER/EU)(Spanish Government); MINECO(Spanish Government); Irish Research Council-Government of Ireland Postdoctoral Fellowship Award; MINECO/FEDER/EU(Spanish Government)</t>
  </si>
  <si>
    <t>We are thankful to Jose Manuel Reyes-Gonzalez (University of Barcelona, Spain) and Angel Soria (RV Hesperides, Spain) for collecting and donating the individuals ICMC000070 and ICMC000059, respectively. Luis Laria (Coordinadora para el Estudio y Proteccion de las ESpecies MArinas [CEPESMA], Spain) kindly allowed the examination and sample collection of the specimens from El Parque de la Vida (Asturias). Francisco Olivas performed the curation of the morphological vouchers under the Biological Reference Collections (CBR-ICM). Our thanks also to Bruce Marshall (the National Museum of New Zealand Te Papa Tongarewa; NMNZ) and Peter Jackson for providing New Zealand specimens. Thanks for Dr Tsunemi Kubodera (National Museum of Nature and Science, Tsukuba Research Institute, Japan) for his help in the search for a suitable individual as neotype for O. bartramii.We thank Alex Lichtblau (Inside Under Dive &amp; Travel, Hawaii, HI, USA) for kindly sharing with us his Ommastrephes bartramii photograph for Figure 2. We are grateful to Annie Machordom and Ricardo Garcia-Jimenez (MNCN-CSIC, Spain) for their kind advice with phylogenetic methods. Some of the sequences were obtained through AllGenetics (A Coruna, Spain). The specimens DE.2.1.5.4.1DE.2.1.5.4.5 were collected by jigging during the 10th Indian Expedition to Southern Ocean/Antarctic waters during 2017-2018 conducted by the National Centre for Polar and Ocean Research (NCPOR), Goa, India. K.K. S. and N.R. are thankful to Dr K. S. Mohamed (Central Marine Fisheries Research Institute, India) for the encouragement. We are grateful to the two anonymous reviewers, whose thoughtful comments contributed to improving the initial manuscript. The specimen ICMC000059 was collected on board the RV Hesperides during the research project MAFIA (CTM2012-39587-C04-03), funded by the Spanish Ministry of Economy and Competitiveness (MINECO/FEDER/EU). F.A.F.-A. was supported by the MINECO grants BES-2013-063551 and EEBB-C-16-00694 and by an Irish Research Council-Government of Ireland Postdoctoral Fellowship Award (ref. GOIPD/2019/460). This study was funded by the research project AGL2012-39077 (MINECO/FEDER/EU).</t>
  </si>
  <si>
    <t>0024-4082</t>
  </si>
  <si>
    <t>1096-3642</t>
  </si>
  <si>
    <t>ZOOL J LINN SOC-LOND</t>
  </si>
  <si>
    <t>Zool. J. Linn. Soc.</t>
  </si>
  <si>
    <t>10.1093/zoolinnean/zlaa014</t>
  </si>
  <si>
    <t>OX2ZJ</t>
  </si>
  <si>
    <t>WOS:000593438900004</t>
  </si>
  <si>
    <t>Ashford, OS; Horton, T; Roterman, CN; Thurston, MH; Griffiths, HJ; Brandt, A</t>
  </si>
  <si>
    <t>Ashford, Oliver S.; Horton, Tammy; Roterman, Christopher N.; Thurston, Michael H.; Griffiths, Huw J.; Brandt, Angelika</t>
  </si>
  <si>
    <t>A new Southern Ocean species in the remarkable and rare amphipod family Podosiridae (Crustacea: Amphipoda) questions existing systematic hypotheses</t>
  </si>
  <si>
    <t>Acutocoxae ogilvieae; molecular phylogeny; South Orkney Islands</t>
  </si>
  <si>
    <t>SELECTION; PERFORMANCE; SOFTWARE; MODELS; TREE; TOOL</t>
  </si>
  <si>
    <t>The amphipod family Podosiridae is unusual in that it combines morphological elements of the disparate families Podoceridae and Eusiridae. Here, we describe a new species in the family from specimens collected from the Southern Ocean in the vicinity of the South Orkney Islands and South Shetland Islands. We present mitochondrial (COI and 16S) and nuclear (18S) nucleic acid sequences for this and a congeneric species and use these to investigate the phylogenetic placement of Podosiridae within the Amphipoda. Our results do not provide evidence for a close relationship between Podosiridae and Podoceridae or Eusiridae, suggesting that the superficial similarity between these families is the result of morphological convergence. Instead, it is likely that Podosiridae are more closely related to families within Amphilochidira, such as Stenothoidae. Definitive placement of Podosiridae in the Amphipoda awaits further specimen collection, additional nucleotide data (including sequences from the Hyperiopsidae and the Vitjazianidae) and a more directed analysis of relationships within this portion of the amphipod phylogeny.</t>
  </si>
  <si>
    <t>[Ashford, Oliver S.; Roterman, Christopher N.] Univ Oxford, Dept Zool, Oxford OX1 3PS, England; [Ashford, Oliver S.] Univ Calif San Diego, Scripps Inst Oceanog, La Jolla, CA 92037 USA; [Horton, Tammy; Thurston, Michael H.] Natl Oceanog Ctr, European Way, Southampton S014 3ZH, Hants, England; [Griffiths, Huw J.] British Antarctic Survey, Madingley Rd, Cambridge CB3 0ET, England; [Brandt, Angelika] Senckenberg Res Inst, Senckenberganlage 25, D-60325 Frankfurt, Germany; [Brandt, Angelika] Nat Hist Museum, Dept Marine Zool, Senckenberganlage 25, D-60325 Frankfurt, Germany; [Brandt, Angelika] Goethe Univ Frankfurt, Inst Ecol Divers &amp; Evolut, FB 15 Biol Sci,Campus Riedberg, D-60438 Frankfurt, Germany</t>
  </si>
  <si>
    <t>University of Oxford; University of California System; University of California San Diego; Scripps Institution of Oceanography; NERC National Oceanography Centre; UK Research &amp; Innovation (UKRI); Natural Environment Research Council (NERC); NERC British Antarctic Survey; Senckenberg Gesellschaft fur Naturforschung (SGN); Goethe University Frankfurt</t>
  </si>
  <si>
    <t>Ashford, OS (corresponding author), Univ Oxford, Dept Zool, Oxford OX1 3PS, England.;Ashford, OS (corresponding author), Univ Calif San Diego, Scripps Inst Oceanog, La Jolla, CA 92037 USA.</t>
  </si>
  <si>
    <t>oashford@ucsd.edu</t>
  </si>
  <si>
    <t>Roterman, Christopher Nicolai/AAX-4395-2021; Griffiths, Huw J/D-4234-2009; Horton, Tammy/G-3590-2010</t>
  </si>
  <si>
    <t>Roterman, Christopher Nicolai/0000-0002-6636-6078; Griffiths, Huw J/0000-0003-1764-223X; Horton, Tammy/0000-0003-4250-1068</t>
  </si>
  <si>
    <t>Natural Environment Research Council (NERC) [NE/R015953/1]; NERC [noc010009, NE/K013513/1, bas0100036] Funding Source: UKRI</t>
  </si>
  <si>
    <t>O.S.A. and T.H. contributed equally to the manuscript. We thank the crew and scientific party of the British Antarctic Survey cruise JR15005 for facilitating the collection of these specimens. We thank Martin Rauschert for facilitating the loan from the Natural History Museum, Berlin, of the holotype material of A. weddellensis for our examination. We are grateful to Claude De Broyer, Royal Belgian Institute of Natural Sciences, for providing specimens of A. weddellensis for DNA extraction. We thank two anonymous reviewers for their time and constructive comments. T. H. was supported by the Natural Environment Research Council (NERC) National Capability funding to the National Oceanography Centre, as part of the Climate Linked Atlantic Section Science (CLASS) programme (Grant Number NE/R015953/1).</t>
  </si>
  <si>
    <t>10.1093/zoolinnean/zlz145</t>
  </si>
  <si>
    <t>WOS:000593438900011</t>
  </si>
  <si>
    <t>Olsen, RE; Strand, E; Melle, W; Norstebo, JT; Lall, SP; Ringo, E; Tocher, DR; Sprague, M</t>
  </si>
  <si>
    <t>Olsen, R. E.; Strand, E.; Melle, W.; Norstebo, J. T.; Lall, S. P.; Ringo, E.; Tocher, D. R.; Sprague, M.</t>
  </si>
  <si>
    <t>Can mesopelagic mixed layers be used as feed sources for salmon aquaculture?</t>
  </si>
  <si>
    <t>DEEP-SEA RESEARCH PART II-TOPICAL STUDIES IN OCEANOGRAPHY</t>
  </si>
  <si>
    <t>Lipid composition; Protein composition; Mineral composition; Cadmium; Arsenic</t>
  </si>
  <si>
    <t>L. FED DIETS; ATLANTIC SALMON; FATTY-ACID; THEMISTO-LIBELLULA; EUPHAUSIA-SUPERBA; ANTARCTIC KRILL; FISH-MEAL; SALAR L.; GROWTH; COD</t>
  </si>
  <si>
    <t>Salmon aquaculture is in great need of good quality balanced protein and lipid sources, particularly marine omega-3 (n-3) long-chain polyunsaturated fatty acids (LC-PUFA), to sustain a further development of the in-dustry. One possibility is to harvest mesopelagic marine layers. Therefore, the current project analysed mesopelagic hauls from three cruises (November 2015 to October 2016) collected from the inner fjord systems around Bergen and in open-waters off TromsO and angstrom lesund, Norway. Jellyfish, krill, shrimps and small amounts of the mesopelagic fish, Maurolicus muelleri and Benthosema glaciale, dominated the mixed mesopelagic hauls. Lipid content ranged between 35-40% of dry matter with two samples from autumn being 21 and 13%, with the latter haul being almost exclusively krill. In contrast, M. muelleri and B. glaciale had lipid contents of around 54 and 47% respectively. Overall, lipid was a relatively good source of marine n-3 LC-PUFA, EPA and DHA, being in the range of 15-20% of fatty acids which increased in lean samples. However, many of the trawl hauls contained wax esters (7 out of 9 hauls), equivalent to 40% or more of the lipid, with B. glaciale containing almost 90% wax esters of lipid. This presents a challenge if used in salmon diets, as their utilisation is limited. Protein contents ranged between 45-50%, increasing in lean samples. The essential amino acid content was well above the requirements for Atlantic salmon (Salmo salar) with B. glaciale generally containing higher levels compared to M. muelleri. Leucine, lysine and valine levels were particularly high. Hauls from open-waters contained mixtures of amphipods resulting in cadmium levels exceeding the maximum allowable level in feedstuffs. Arsenic levels were high or borderline. Reducing crustacean mix in hauls appear to be the only option to reduce these levels, whereas mesopelagic fish contained low levels of all heavy metals. In summary, the mesopelagic layer contains protein and lipid sources that could supply raw materials to the salmon aquaculture industry. However, high levels of wax esters, cadmium and arsenic needs to be addressed.</t>
  </si>
  <si>
    <t>[Olsen, R. E.] Norwegian Univ Sci &amp; Technol, Dept Biol, Brattorkaia 17C, N-7010 Trondheim, Norway; [Strand, E.; Melle, W.] Inst Marine Res, POB 1870 Nordnes, NO-5817 Bergen, Norway; [Norstebo, J. T.] Cargill Aqua Nutr, Thormohlensgate 51B,Pb 4 Sentrum, N-5803 Bergen, Norway; [Lall, S. P.] Dalhousie Univ, Fac Agr, Dept Plant &amp; Anim Sci, Truro, NS, Canada; [Ringo, E.] Arctic Univ Norway, Coll Fishery Sci, Tromso, Norway; [Tocher, D. R.; Sprague, M.] Univ Stirling, Fac Nat Sci, Inst Aquaculture, Stirling FK9 4LA, Scotland</t>
  </si>
  <si>
    <t>Norwegian University of Science &amp; Technology (NTNU); Institute of Marine Research - Norway; Dalhousie University; UiT The Arctic University of Tromso; University of Stirling</t>
  </si>
  <si>
    <t>Olsen, RE (corresponding author), Norwegian Univ Sci &amp; Technol, Dept Biol, Brattorkaia 17C, N-7010 Trondheim, Norway.</t>
  </si>
  <si>
    <t>rolfeo@ntnu.no</t>
  </si>
  <si>
    <t>Tocher, Douglas R/C-5652-2011; Strand, Espen/A-4435-2013</t>
  </si>
  <si>
    <t>Olsen, Rolf Erik/0000-0002-6633-5837; Strand, Espen/0000-0003-0689-4781</t>
  </si>
  <si>
    <t>Norwegian Research Council [243886]</t>
  </si>
  <si>
    <t>Norwegian Research Council(Research Council of Norway)</t>
  </si>
  <si>
    <t>The project was in part funded by the Norwegian Research Council (Grant No. 243886), Lower trophic level mixed fisheries (LOTROMIX) implications for ecosystem and management led by Espen Strand at Institute of Marine Research, Bergen, Norway. The authors are indebted to the skilful assistance and analysis by the technical staff at NTNU and University of Stirling.</t>
  </si>
  <si>
    <t>0967-0645</t>
  </si>
  <si>
    <t>1879-0100</t>
  </si>
  <si>
    <t>DEEP-SEA RES PT II</t>
  </si>
  <si>
    <t>Deep-Sea Res. Part II-Top. Stud. Oceanogr.</t>
  </si>
  <si>
    <t>10.1016/j.dsr2.2019.104722</t>
  </si>
  <si>
    <t>OU0JD</t>
  </si>
  <si>
    <t>WOS:000591222000001</t>
  </si>
  <si>
    <t>Stone, P</t>
  </si>
  <si>
    <t>Stone, Philip</t>
  </si>
  <si>
    <t>Robert McCormick and the circumstances of his Arctic fossil collection, 1852-1853</t>
  </si>
  <si>
    <t>ARCHIVES OF NATURAL HISTORY</t>
  </si>
  <si>
    <t>Arctic exploration; palaeontology; Silurian fossils; brachiopoda; Beechey Island; Devon Island; Sir John Franklin; Svalbard</t>
  </si>
  <si>
    <t>ATRYPELLA-PHOCA SALTER</t>
  </si>
  <si>
    <t>The Royal Navy surgeon Robert McCormick (1800-1890) took part in three mid-nineteenth century British Polar expeditions, two to the Arctic and one to the Antarctic. Of the two Arctic voyages, the first was to Spitsbergen (in today's Svalbard) in 1827; the second from 1852 to 1853, was one of the expeditions dispatched to search for the missing ships commanded by Sir John Franklin that had set out in 1845 to navigate a Northwest Passage through the islands of the Canadian Arctic. The Svalbard expedition was formative in developing McCormick's interest in the Polar regions, with the likely highlight of his career being his subsequent participation in the Antarctic expedition of 1839-1843 led by James Clark Ross. Throughout these expeditions, McCormick collected natural history specimens, principally in the fields of ornithology and geology. Many of the geological specimens he retained in a personal collection which passed to what is now the Natural History Museum, London, on his death in 1890. This collection includes rock specimens from Svalbard and Baffin Bay, and a substantial number of Silurian fossils (mostly brachiopods) from Beechey Island and Devon Island in the Canadian Arctic. The fossil collection was the largest of several assembled during the successive expeditions sent out in search of Franklin, but is one of those that has received no subsequent attention. That omission was largely due to McCormick's own scientific shortcomings and persisted despite his determined efforts to promote himself as a serious scientific naturalist and Arctic authority.</t>
  </si>
  <si>
    <t>[Stone, Philip] British Geol Sun Ey, Lyell Ctr, Res Ave South, Edinburgh EH14 4AP, Midlothian, Scotland</t>
  </si>
  <si>
    <t>Stone, P (corresponding author), British Geol Sun Ey, Lyell Ctr, Res Ave South, Edinburgh EH14 4AP, Midlothian, Scotland.</t>
  </si>
  <si>
    <t>psto@bgs.ac.uk</t>
  </si>
  <si>
    <t>NERC [bgs06006] Funding Source: UKRI</t>
  </si>
  <si>
    <t>EDINBURGH UNIV PRESS</t>
  </si>
  <si>
    <t>EDINBURGH</t>
  </si>
  <si>
    <t>THE TUN-HOLYROOD RD, 12 2F JACKSONS ENTRY, EDINBURGH EH8 8PJ, SCOTLAND</t>
  </si>
  <si>
    <t>0260-9541</t>
  </si>
  <si>
    <t>1755-6260</t>
  </si>
  <si>
    <t>ARCH NAT HIST</t>
  </si>
  <si>
    <t>Arch. Nat. Hist.</t>
  </si>
  <si>
    <t>10.3366/anh.2020.0655</t>
  </si>
  <si>
    <t>History &amp; Philosophy Of Science; Multidisciplinary Sciences</t>
  </si>
  <si>
    <t>Science Citation Index Expanded (SCI-EXPANDED); Social Science Citation Index (SSCI); Arts &amp; Humanities Citation Index (A&amp;HCI)</t>
  </si>
  <si>
    <t>History &amp; Philosophy of Science; Science &amp; Technology - Other Topics</t>
  </si>
  <si>
    <t>OW0RG</t>
  </si>
  <si>
    <t>WOS:000592604800006</t>
  </si>
  <si>
    <t>Spector, P; Stone, J; Balco, G; Hillebrand, T; Thompson, M; Black, T</t>
  </si>
  <si>
    <t>Spector, Perry; Stone, John; Balco, Greg; Hillebrand, Trevor; Thompson, Mika; Black, Taryn</t>
  </si>
  <si>
    <t>MIOCENE TO PLEISTOCENE GLACIAL HISTORY OF WEST ANTARCTICA INFERRED FROM NUNATAK GEOMORPHOLOGY AND COSMOGENIC-NUCLIDE MEASUREMENTS ON BEDROCK SURFACES</t>
  </si>
  <si>
    <t>AMERICAN JOURNAL OF SCIENCE</t>
  </si>
  <si>
    <t>Antarctica; West Antarctic Ice Sheet; cosmogenic-nuclide geochemistry; exposure dating; glacial geology; Miocene; Pleistocene</t>
  </si>
  <si>
    <t>WEDDELL SEA EMBAYMENT; ICE-SHEET; TRANSANTARCTIC MOUNTAINS; EXPOSURE AGES; DRY VALLEYS; PENSACOLA MOUNTAINS; ELLSWORTH MOUNTAINS; DEGLACIAL HISTORY; VICTORIA LAND; NE-21</t>
  </si>
  <si>
    <t>We report geomorphic observations and cosmogenic-nuclide measurements on bedrock surfaces from three isolated nunatak groups in West Antarctica: the Pirrit Hills and Nash Hills, located in the Weddell Sea sector, and the Whitmore Mountains, located on the Ross-Weddell divide. The objectives of this paper are to (i) establish a chronology for landscape development at these sites and (ii) quantify the long-term history of ice-thickness variations in West Antarctica. These nunataks display relic alpine landscapes on which weathered bedrock surfaces are superimposed. In the Pirrit Hills, an erosional trimline is etched into alpine ridges and separates smooth-crested ridges below from serrated ridges above. Below the trimline, geomorphic evidence indicates repeated frozen-based ice cover, while above the trimline evidence for ice cover is entirely absent. There is also no geomorphic evidence for thicker-than-present ice at the Whitmore Mountains. Cosmogenic nuclide concentrations in the oldest bedrock surfaces from the Whitmore Mountains and from above the Pirrit Hills trimline indicate uninterrupted exposure for similar to 12 Myr at extraordinarily low erosion rates. This places a lower limit on the timing of the formation of alpine landscapes in West Antarctica, and we hypothesize that this occurred during the relatively warm climates prior to the midMiocene cooling. The absence of evidence for thicker ice at the Whitmore Mountains is consistent with the hypothesis that the divide was typically thinner than present during Pleistocene glacial periods due to reduced accumulation. Bedrock surfaces below the trimline have much lower nuclide concentrations and are most easily explained by a scenario of repeated frozen-based ice cover and occasional subglacial plucking, which is consistent with geomorphic observations. Bedrock surfaces near the modern ice level appear to have been covered more than half of the time, while higher elevation surfaces indicate progressively less cover. The trimline and associated geomorphic features are very similar to a prominent trimline in the Ellsworth Mountains, and we conclude that these are, in fact, part of the same feature. The Ellsworth trimline is hypothesized to have formed during the midMiocene cooling and the transition from alpine to continental glaciation, and our results are consistent with this hypothesis.</t>
  </si>
  <si>
    <t>[Spector, Perry; Balco, Greg] Berkeley Geochronol Ctr, Berkeley, CA 94709 USA; [Stone, John; Hillebrand, Trevor; Thompson, Mika; Black, Taryn] Univ Washington, Dept Earth &amp; Space Sci, Seattle, WA USA</t>
  </si>
  <si>
    <t>Berkeley Geochronolgy Center; University of Washington; University of Washington Seattle</t>
  </si>
  <si>
    <t>Spector, P (corresponding author), Berkeley Geochronol Ctr, Berkeley, CA 94709 USA.</t>
  </si>
  <si>
    <t>pspector@bgc.org</t>
  </si>
  <si>
    <t>Black, Taryn/0000-0002-7836-3309; Hillebrand, Trevor/0000-0003-3535-1540</t>
  </si>
  <si>
    <t>US National Science Foundation (NSF) [OPP-1142162, OPP-1341728]; Ann and Gordon Getty Foundation; NSF Graduate Research Fellowship Program; Polar Geospatial Center under NSF OPP awards [1043681, 1559691]</t>
  </si>
  <si>
    <t>US National Science Foundation (NSF)(National Science Foundation (NSF)); Ann and Gordon Getty Foundation; NSF Graduate Research Fellowship Program(National Science Foundation (NSF)); Polar Geospatial Center under NSF OPP awards</t>
  </si>
  <si>
    <t>Support for this work was provided by US National Science Foundation (NSF) grants OPP-1142162 and OPP-1341728, and the Ann and Gordon Getty Foundation. Spector received funding from the NSF Graduate Research Fellowship Program. We thank Maurice Conway and Tom Schaefer for assistance with field work. Danielle Lemmon and Jessica Badgeley assisted with lab work. Robert Finkel, Susan Zimmerman, and Tom Brown assisted with AMS measurements. Geospatial support for this work was provided by the Polar Geospatial Center under NSF OPP awards 1043681 and 1559691. We thank Robert Ackert and David Sugden for helpful and comprehensive reviews.</t>
  </si>
  <si>
    <t>AMER JOURNAL SCIENCE</t>
  </si>
  <si>
    <t>NEW HAVEN</t>
  </si>
  <si>
    <t>YALE UNIV, PO BOX 208109, NEW HAVEN, CT 06520-8109 USA</t>
  </si>
  <si>
    <t>0002-9599</t>
  </si>
  <si>
    <t>1945-452X</t>
  </si>
  <si>
    <t>AM J SCI</t>
  </si>
  <si>
    <t>Am. J. Sci.</t>
  </si>
  <si>
    <t>10.2475/10.2020.01</t>
  </si>
  <si>
    <t>PA4NT</t>
  </si>
  <si>
    <t>WOS:000595615300001</t>
  </si>
  <si>
    <t>Bromwich, DH; Werner, K; Casati, B; Powers, JG; Gorodetskaya, IV; Massonnet, F; Vitale, V; Heinrich, VJ; Liggett, D; Arndt, S; Barja, B; Bazile, E; Carpentier, S; Carrasco, JF; Choi, T; Choi, Y; Colwell, SR; Cordero, RR; Gervasi, M; Haiden, T; Hirasawa, N; Inoue, J; Jung, T; Kalesse, H; Kim, SJ; Lazzara, MA; Manning, KW; Norris, K; Park, SJ; Reid, P; Rigor, I; Rowe, PM; Schmithüsen, H; Seifert, P; Sun, QZ; Uttal, T; Zannoni, M; Zou, X</t>
  </si>
  <si>
    <t>Bromwich, David H.; Werner, Kirstin; Casati, Barbara; Powers, Jordan G.; Gorodetskaya, Irina, V; Massonnet, Francois; Vitale, Vito; Heinrich, Victoria J.; Liggett, Daniela; Arndt, Stefanie; Barja, Boris; Bazile, Eric; Carpentier, Scott; Carrasco, Jorge F.; Choi, Taejin; Choi, Yonghan; Colwell, Steven R.; Cordero, Raul R.; Gervasi, Massimo; Haiden, Thomas; Hirasawa, Naohiko; Inoue, Jun; Jung, Thomas; Kalesse, Heike; Kim, Seong-Joong; Lazzara, Matthew A.; Manning, Kevin W.; Norris, Kimberley; Park, Sang-Jong; Reid, Phillip; Rigor, Ignatius; Rowe, Penny M.; Schmithusen, Holger; Seifert, Patric; Sun, Qizhen; Uttal, Taneil; Zannoni, Mario; Zou, Xun</t>
  </si>
  <si>
    <t>The Year of Polar Prediction in the Southern Hemisphere (YOPP-SH)</t>
  </si>
  <si>
    <t>ANTARCTIC SEA-ICE; DATA ASSIMILATION; PREDICTABILITY; FORECASTS</t>
  </si>
  <si>
    <t>The Year of Polar Prediction in the Southern Hemisphere (YOPP-SH) had a special observing period (SOP) that ran from 16 November 2018 to 15 February 2019, a period chosen to span the austral warm season months of greatest operational activity in the Antarctic. Some 2,200 additional radiosondes were launched during the 3-month SOP, roughly doubling the routine program, and the network of drifting buoys in the Southern Ocean was enhanced. An evaluation of global model forecasts during the SOP and using its data has confirmed that extratropical Southern Hemisphere forecast skill lags behind that in the Northern Hemisphere with the contrast being greatest between the southern and northern polar regions. Reflecting the application of the SOP data, early results from observing system experiments show that the additional radiosondes yield the greatest forecast improvement for deep cyclones near the Antarctic coast. The SOP data have been applied to provide insights on an atmospheric river event during the YOPP-SH SOP that presented a challenging forecast and that impacted southern South America and the Antarctic Peninsula. YOPP-SH data have also been applied in determinations that seasonal predictions by coupled atmosphere-ocean-sea ice models struggle to capture the spatial and temporal characteristics of the Antarctic sea ice minimum. Education, outreach, and communication activities have supported the YOPP-SH SOP efforts. Based on the success of this Antarctic summer YOPP-SH SOP, a winter YOPP-SH SOP is being organized to support explorations of Antarctic atmospheric predictability in the austral cold season when the southern sea ice cover is rapidly expanding.</t>
  </si>
  <si>
    <t>[Bromwich, David H.; Zou, Xun] Ohio State Univ, Byrd Polar &amp; Climate Res Ctr, Columbus, OH 43210 USA; [Werner, Kirstin; Arndt, Stefanie; Jung, Thomas; Schmithusen, Holger] Helmholtz Ctr Polar &amp; Marine Res, Alfred Wegener Inst, Bremerhaven, Germany; [Casati, Barbara] Environm &amp; Climate Change Canada, Dorval, PQ, Canada; [Powers, Jordan G.; Manning, Kevin W.] Natl Ctr Atmospher Res, POB 3000, Boulder, CO 80307 USA; [Gorodetskaya, Irina, V] Univ Aveiro, Ctr Environm &amp; Marine Studies, Aveiro, Portugal; [Massonnet, Francois] Catholic Univ Louvain, Louvain La Neuve, Belgium; [Vitale, Vito] Inst Polar Sci CNR ISP, Bologna, Italy; [Heinrich, Victoria J.; Norris, Kimberley] Univ Tasmania, Hobart, Tas, Australia; [Liggett, Daniela] Univ Canterbury, Christchurch, New Zealand; [Barja, Boris; Carrasco, Jorge F.] Univ Magallanes, Punta Arenas, Chile; [Bazile, Eric] Meteo France, Natl Ctr Meteorol Res, Toulouse, France; [Carpentier, Scott; Reid, Phillip] Bur Meteorol, Hobart, Tas, Australia; [Choi, Taejin; Choi, Yonghan; Kim, Seong-Joong; Park, Sang-Jong] Korea Polar Res Inst, Incheon, South Korea; [Colwell, Steven R.] British Antarctic Survey, Cambridge, England; [Cordero, Raul R.] Univ Santiago, Santiago, Chile; [Gervasi, Massimo; Zannoni, Mario] Univ Milano Bicocca, Milan, Italy; [Haiden, Thomas] European Ctr Medium Range Weather Forecasts, Reading, Berks, England; [Hirasawa, Naohiko; Inoue, Jun] Natl Inst Polar Res, Tokyo, Japan; [Kalesse, Heike] Univ Leipzig, Inst Meteorol, Leipzig, Germany; [Lazzara, Matthew A.] Univ Wisconsin, Space Sci &amp; Engn Ctr, Madison, WI USA; [Rigor, Ignatius] Univ Washington, Polar Sci Ctr, Seattle, WA 98195 USA; [Rowe, Penny M.] NorthWest Res Associates, Redmond, WA USA; [Seifert, Patric] Leibniz Inst Tropospher Res, Leipzig, Germany; [Sun, Qizhen] Natl Ctr Marine Environm Forecasting, Beijing, Peoples R China; [Uttal, Taneil] NOAA, Earth Syst Res Lab, Boulder, CO USA</t>
  </si>
  <si>
    <t>University System of Ohio; Ohio State University; Helmholtz Association; Alfred Wegener Institute, Helmholtz Centre for Polar &amp; Marine Research; Environment &amp; Climate Change Canada; National Center Atmospheric Research (NCAR) - USA; Universidade de Aveiro; Universite Catholique Louvain; Consiglio Nazionale delle Ricerche (CNR); Istituto di Scienze Polari (ISP-CNR); University of Tasmania; University of Canterbury; Universidad de Magallanes; Meteo France; Bureau of Meteorology - Australia; Korea Polar Research Institute (KOPRI); UK Research &amp; Innovation (UKRI); Natural Environment Research Council (NERC); NERC British Antarctic Survey; Universidad de Santiago de Chile; University of Milano-Bicocca; European Centre for Medium-Range Weather Forecasts (ECMWF); Research Organization of Information &amp; Systems (ROIS); National Institute of Polar Research (NIPR) - Japan; Leipzig University; University of Wisconsin System; University of Wisconsin Madison; University of Washington; University of Washington Seattle; NorthWest Research Associates; Leibniz Institut fur Tropospharenforschung (TROPOS); National Oceanic Atmospheric Admin (NOAA) - USA</t>
  </si>
  <si>
    <t>Bromwich, DH (corresponding author), Ohio State Univ, Byrd Polar &amp; Climate Res Ctr, Columbus, OH 43210 USA.</t>
  </si>
  <si>
    <t>bromwich.1@osu.edu</t>
  </si>
  <si>
    <t>Barja, Boris/F-5354-2012; Kalesse-Los, Heike/N-7166-2019; Park, Sang-Jong/B-7049-2011; Heinrich, Victoria Jane/AAW-6041-2020; Werner, Kirstin/AAG-7386-2020; Carrasco, Jorge/ACG-6766-2022; Arndt, Stefanie/AAA-6178-2021; Sun, Qizhen/JCE-6070-2023; Seifert, Patric/D-2448-2014; Norris, Kimberley/J-7260-2014; Schmithüsen, Holger/ABD-4267-2021; Jung, Thomas/J-5239-2012; zou, xun/AAV-1306-2020; Carrasco, Jorge/AAC-4799-2021; Inoue, Jun/ABE-2305-2021; zou, xun/I-2438-2015; Gorodetskaya, Irina/K-1987-2015</t>
  </si>
  <si>
    <t>Barja, Boris/0000-0002-8600-0815; Kalesse-Los, Heike/0000-0001-6699-7040; Heinrich, Victoria Jane/0000-0003-3085-3787; Werner, Kirstin/0000-0001-5260-0348; Carrasco, Jorge/0000-0003-2154-5483; Arndt, Stefanie/0000-0001-9782-3844; Seifert, Patric/0000-0002-5626-3761; Schmithüsen, Holger/0000-0001-5776-6777; Jung, Thomas/0000-0002-2651-1293; Carrasco, Jorge/0000-0003-2154-5483; Inoue, Jun/0000-0001-7738-6480; Cordero, Raul R./0000-0001-7607-7993; Lazzara, Matthew/0000-0002-4343-498X; vitale, vito/0000-0003-0978-8976; zou, xun/0000-0003-1620-3198; Gorodetskaya, Irina/0000-0002-2294-7823; Rowe, Penny/0000-0002-7594-0553</t>
  </si>
  <si>
    <t>Scientific Committee on Antarctic Research (SCAR) via the standing Physical Sciences Group; NSF [PLR 1823135, PLR 1543305, PLR 1543236]; JSPS [18H05053]; Climate and Ocean Variability, Predictability and Change (CLIVAR); Climate and Cryosphere (CliC) core programs of the World Climate Research Programme; SCAR; French Polar Institute IPEV [CALVA 1013]; Fondecyt Regular [1161460]; NorthWest Research Associates; FCT/MCTES [UID/AMB/50017/2019]; Korea Polar Research Institute [PE19010]; European Research Infrastructure for the observation of Aerosol, Clouds and Trace Gases (ACTRIS) from the European Union's Horizon 2020 research and innovation program [654109, 739530]; German Science Foundation (DFG) [408008112]; Milano-Bicocca University; PNRA; Grants-in-Aid for Scientific Research [18H05053] Funding Source: KAKEN; NERC [bas0100032] Funding Source: UKRI</t>
  </si>
  <si>
    <t>Scientific Committee on Antarctic Research (SCAR) via the standing Physical Sciences Group; NSF(National Science Foundation (NSF)); JSPS(Ministry of Education, Culture, Sports, Science and Technology, Japan (MEXT)Japan Society for the Promotion of Science); Climate and Ocean Variability, Predictability and Change (CLIVAR); Climate and Cryosphere (CliC) core programs of the World Climate Research Programme; SCAR; French Polar Institute IPEV; Fondecyt Regular(Comision Nacional de Investigacion Cientifica y Tecnologica (CONICYT)CONICYT FONDECYT); NorthWest Research Associates; FCT/MCTES(Fundacao para a Ciencia e a Tecnologia (FCT)); Korea Polar Research Institute(Korea Polar Research Institute of Marine Research Placement (KOPRI)); European Research Infrastructure for the observation of Aerosol, Clouds and Trace Gases (ACTRIS) from the European Union's Horizon 2020 research and innovation program; German Science Foundation (DFG)(German Research Foundation (DFG)); Milano-Bicocca University; PNRA; Grants-in-Aid for Scientific Research(Ministry of Education, Culture, Sports, Science and Technology, Japan (MEXT)Japan Society for the Promotion of ScienceGrants-in-Aid for Scientific Research (KAKENHI)); NERC(UK Research &amp; Innovation (UKRI)Natural Environment Research Council (NERC))</t>
  </si>
  <si>
    <t>This is a contribution to the Year of Polar Prediction (YOPP), a flagship activity of the Polar Prediction Project (PPP), initiated by the World Weather Research Programme (WWRP) of the World Meteorological Organization (WMO). We acknowledge the WMO WWRP for its role in coordinating this international research activity. The Scientific Committee on Antarctic Research (SCAR) via the standing Physical Sciences Group has been an enthusiastic participant in YOPP-SH from the beginning and funded the publication of this manuscript that is contribution 1596 of Byrd Polar and Climate Research Center. DHB, JP, and KM are supported by NSF PLR 1823135. MAL is supported by NSF PLR 1543305. JI is supported by a JSPS Grants-in-Aid for Scientific Research (KAKENHI) 18H05053. FM is an F.R.S.-FNRS Research Fellow. Also FM was a member of the Southern Ocean Regional Panel (SORP) during the preparation of this manuscript, and SORP thanks its co-sponsors: Climate and Ocean Variability, Predictability and Change (CLIVAR) and Climate and Cryosphere (CliC) core programs of the World Climate Research Programme in conjunction with SCAR. Logistical support for YOPPSH activities at French Antarctic stations was provided by the French Polar Institute IPEV through project CALVA 1013. For AR measurements made at Escudero Station, the authors are grateful to the Chilean Antarctic Institute (INACH) for logistical support and to Edgardo Sepulveda, Jose Jorquerra, and Braulio Valdevenito for their efforts supporting and maintaining the research platform. Nicolas Dettling and Edgardo Sepulveda helped with AR data collection. RC and PMR acknowledge funding from Fondecyt Regular 1161460. PMR also acknowledges funding from NSF PLR 1543236 and from NorthWest Research Associates. IVG thanks FCT/MCTES for the financial support to CESAM (UID/AMB/50017/2019) through national funds. Special observations of KOPRI-SH at the King Sejong station were supported by PE19010 from the Korea Polar Research Institute. PS and HK were logistically supported by University of Magallanes, Punta Arenas, and received financial support through the European Research Infrastructure for the observation of Aerosol, Clouds and Trace Gases (ACTRIS) under Grant Agreement 654109 and 739530 from the European Union's Horizon 2020 research and innovation program as well through project 408008112 from the German Science Foundation (DFG). CAPIRE-YOPP was funded by contributions of Milano-Bicocca University and PNRA, and field activities in Antarctica were supported by ENEA scientific personnel operating the Meteo-Climatological Observatory. In Italy CAPIRE-YOPP was a success due to essential cooperation with the Meteo Service of the Italian Air Force. Finally, we appreciate the constructive comments from the two anonymous reviewers.</t>
  </si>
  <si>
    <t>E1653</t>
  </si>
  <si>
    <t>E1676</t>
  </si>
  <si>
    <t>10.1175/BAMS-D-19-0255.1</t>
  </si>
  <si>
    <t>OP9FJ</t>
  </si>
  <si>
    <t>WOS:000588395600006</t>
  </si>
  <si>
    <t>Dudkov, IY; Sivkov, V; Dorokhov, DV; Bashirova, LD</t>
  </si>
  <si>
    <t>Dudkov, Ivan Yu.; Sivkov, VadimV.; Dorokhov, Dmitry V.; Bashirova, Leyla D.</t>
  </si>
  <si>
    <t>Multibeam bathymetry data from the Kane Gap and south-eastern part of the Canary Basin (Eastern tropical Atlantic)</t>
  </si>
  <si>
    <t>DATA IN BRIEF</t>
  </si>
  <si>
    <t>Article; Data Paper</t>
  </si>
  <si>
    <t>Multibeam bathymetry; Digital elevation model; Deep ocean gateway; Geomorphology; Eastern tropical Atlantic; Kane Gap; Canary Basin; Gambia Basin</t>
  </si>
  <si>
    <t>We present a multibeam bathymetry dataset from eastern part of the Canary Basin and from the Kane Gap located north and south of the Cape Verde Islands, respectively. Special attention was paid to the deep-water Kane Gap between Sierra Leone Rise and Guinea Plateau. The Kane Gap is the only possible gateway that allows the exchange of Antarctic Bottom Water between the Sierra Leone and Gambia Basins. Bathymetry surveys were carried out during the 44th cruise of the Research Vessel (R/V) Akademik Nikolaj Strakhov in October 2019. The data were collected using the system RESON SeaBat 7150 (12.5 kHz) and processed using QINSy software. The multibeam bathymetry data are presented in tabular format (ASCII (*.txt)) and as digital elevation models in ESRI ASCII grid (*.asc) and GeoTIFF raster (*.tif) formats with a resolution of 100?m. The dataset is available with the article. (C) 2020 The Author(s). Published by Elsevier Inc.</t>
  </si>
  <si>
    <t>[Dudkov, Ivan Yu.; Sivkov, VadimV.; Dorokhov, Dmitry V.; Bashirova, Leyla D.] Russian Acad Sci, Shirshov Inst Oceanol, 36 Nahimovskiy Prospekt, Moscow, Russia; [Dudkov, Ivan Yu.; Sivkov, VadimV.; Bashirova, Leyla D.] Immanuel Kant Balt Fed Univ, Nevskogo St 14, Kaliningrad 236041, Kaliningrad Reg, Russia</t>
  </si>
  <si>
    <t>Russian Academy of Sciences; Shirshov Institute of Oceanology; Immanuel Kant Baltic Federal University</t>
  </si>
  <si>
    <t>Bashirova, LD (corresponding author), Russian Acad Sci, Shirshov Inst Oceanol, 36 Nahimovskiy Prospekt, Moscow, Russia.;Bashirova, LD (corresponding author), Immanuel Kant Balt Fed Univ, Nevskogo St 14, Kaliningrad 236041, Kaliningrad Reg, Russia.</t>
  </si>
  <si>
    <t>bas_leila@mail.ru</t>
  </si>
  <si>
    <t>Bashirova, Leyla D/L-1546-2016; Dorokhov, Dmitry/E-9060-2018</t>
  </si>
  <si>
    <t>Bashirova, Leyla D/0000-0003-3083-0649; Dorokhov, Dmitry/0000-0003-1226-8429; Dudkov, Ivan/0000-0002-1102-6973</t>
  </si>
  <si>
    <t>IO RAS [0149-2019-0013]; Russian Science Foundation [19-17-00246]; Russian Science Foundation [19-17-00246] Funding Source: Russian Science Foundation</t>
  </si>
  <si>
    <t>IO RAS; Russian Science Foundation(Russian Science Foundation (RSF)); Russian Science Foundation(Russian Science Foundation (RSF))</t>
  </si>
  <si>
    <t>The authors are grateful to the crew of the R/V Akademik Nikolaj Strakhov and scientific team of the 44th cruise for their cooperation. The expedition and the developing of the DEM of the Canary Basin were financially supported by the state assignment of IO RAS (Theme No. 0149-2019-0013), the DEM for the Kane Gap was developed with a support from the Russian Science Foundation (Project No. 19-17-00246).</t>
  </si>
  <si>
    <t>2352-3409</t>
  </si>
  <si>
    <t>DATA BRIEF</t>
  </si>
  <si>
    <t>Data Brief</t>
  </si>
  <si>
    <t>10.1016/j.dib.2020.106055</t>
  </si>
  <si>
    <t>OI4CP</t>
  </si>
  <si>
    <t>WOS:000583229100020</t>
  </si>
  <si>
    <t>Norazmi-Lokman, NH; Baderi, AA; Zabidi, ZM; Diana, AW</t>
  </si>
  <si>
    <t>Norazmi-Lokman, Nor Hakim; Baderi, Asshatul Ain; Zabidi, Zakirah Mohd; Diana, Abdul Wahid</t>
  </si>
  <si>
    <t>Effects of different feeding frequency on Siamese fighting fish (Betta splenden) and Guppy (Poecilia reticulata) Juveniles: Data on growth performance and survival rate</t>
  </si>
  <si>
    <t>Ornamental fish; Aquaculture; Husbandry; Betta fish; Livebearing Fish</t>
  </si>
  <si>
    <t>Optimal feeding frequency in aquaculture is vital for the sustainable and economical production of healthy, high-quality fish. This article described the growth performance and survival rate data in the juvenile phase of two commercially important ornamental fish species; Betta splendens (Siamese fighting fish) and Poecilia reticulata (Guppy) reared at different feeding frequency. Thirty days old juveniles of both species were randomly distributed into 12 3 L rectangular plastic tank (n =10 fish/tank; three replicates per feeding frequency) where they were subjected to four different feeding frequency treatments (1 meal/day (T1), 2 meal/day (Control), 3 meal/day (T2) and four meal/day (T3)) using commercial ornamental fish micropellets for 60 days. The juvenile's weight and length were measured once a week while the number of live fish were recorded daily. The amount of feed intake was also recorded by weighing in the weight of micropellet left after feeding. At the end of the experimental period, the specific growth rate (SGR), food conversion ratio (FCR) and condition factor (K) were calculated for growth performance using the weight, length and feed intake data while the survival rate was calculated using the number of live fish data. Normality test, One-way ANOVA analysis followed by Tukey pos-hoc test were then performed on the data obtained from the calculation of SGR, FCR, K an survival rate. The data presented in this article will aid the rearing process of both species' juveniles for commercial, experimental and personal usage purpose. (C) 2020 The Authors. Published by Elsevier Inc.</t>
  </si>
  <si>
    <t>[Norazmi-Lokman, Nor Hakim; Baderi, Asshatul Ain; Zabidi, Zakirah Mohd] Univ Malaysia Terengganu, Fac Fisheries &amp; Food Sci, Terengganu 21030, Malaysia; [Norazmi-Lokman, Nor Hakim] Inst Marine &amp; Antarctic Studies, Fisheries &amp; Aquaculture Ctr, Taroona, Tas 7053, Australia</t>
  </si>
  <si>
    <t>Universiti Malaysia Terengganu; University of Tasmania</t>
  </si>
  <si>
    <t>Norazmi-Lokman, NH (corresponding author), Univ Malaysia Terengganu, Fac Fisheries &amp; Food Sci, Terengganu 21030, Malaysia.;Norazmi-Lokman, NH (corresponding author), Inst Marine &amp; Antarctic Studies, Fisheries &amp; Aquaculture Ctr, Taroona, Tas 7053, Australia.</t>
  </si>
  <si>
    <t>lokhakim@umt.edu.my</t>
  </si>
  <si>
    <t>Norazmi, Lokman Nor Hakim/AAD-2229-2020</t>
  </si>
  <si>
    <t>Norazmi, Lokman Nor Hakim/0000-0002-1927-6846</t>
  </si>
  <si>
    <t>UMT's Talent and Publication Enhancement Research Grant (TAPE-RG) [VOT55125]</t>
  </si>
  <si>
    <t>UMT's Talent and Publication Enhancement Research Grant (TAPE-RG)</t>
  </si>
  <si>
    <t>This project is partially funded by UMT's Talent and Publication Enhancement Research Grant (TAPE-RG) VOT55125. The authors would like to thank the staff of Faculty of Fisheries and Food Science ornamental fish breeding unit for their valuable assistance throughout this study.</t>
  </si>
  <si>
    <t>10.1016/j.dib.2020.106046</t>
  </si>
  <si>
    <t>WOS:000583229100012</t>
  </si>
  <si>
    <t>van der Linden, SJA; van de Wiel, BJH; Petenko, I; van Heerwaarden, CC; Baas, P; Jonker, HJJ</t>
  </si>
  <si>
    <t>van der Linden, Steven J. A.; van de Wiel, Bas J. H.; Petenko, Igor; van Heerwaarden, Chiel C.; Baas, Peter; Jonker, Harmen J. J.</t>
  </si>
  <si>
    <t>A Businger Mechanism for Intermittent Bursting in the Stable Boundary Layer</t>
  </si>
  <si>
    <t>JOURNAL OF THE ATMOSPHERIC SCIENCES</t>
  </si>
  <si>
    <t>LARGE-EDDY SIMULATIONS; DOME C; NUMERICAL-SIMULATION; TURBULENCE; ANTARCTICA; ATMOSPHERE; REGIMES; WAVES; PART</t>
  </si>
  <si>
    <t>High-resolution large-eddy simulations of the Antarctic very stable boundary layer reveal a mechanism for systematic and periodic intermittent bursting. A nonbursting state with a boundary layer height of just 3m is alternated by a bursting state with a height of approximate to 5m. The bursts result from unstable wave growth triggered by a shear-generated Kelvin-Helmholtz instability, as confirmed by linear stability analysis. The shear at the top of the boundary layer is built up by two processes. The upper, quasi-laminar layer accelerates due to the combined effect of the pressure force and rotation by the Coriolis force, while the lower layer decelerates by turbulent friction. During the burst, this shear is eroded and the initial cause of the instability is removed. Subsequently, the interfacial shear builds up again, causing the entire sequence to repeat itself with a time scale of approximate to 10 min. Despite the clear intermittent bursting, the overall change of the mean wind profile is remarkably small during the cycle. This enables such a fast erosion and recovery of the shear. This mechanism for cyclic bursting is remarkably similar to the mechanism hypothesized by Businger in 1973, with one key difference. Whereas Businger proposes that the flow acceleration in the upper layer results from downward turbulent transfer of high-momentum flow, the current results indicate no turbulent activity in the upper layer, hence requiring another source of momentum. Finally, it would be interesting to construct a climatology of shear-generated intermittency in relation to large-scale conditions to assess the generality of this Businger mechanism.</t>
  </si>
  <si>
    <t>[van der Linden, Steven J. A.; van de Wiel, Bas J. H.; Baas, Peter; Jonker, Harmen J. J.] Delft Univ Technol, Geosci &amp; Remote Sensing, Delft, Netherlands; [Petenko, Igor] CNR, Inst Atmospher Sci &amp; Climate, Rome, Italy; [Petenko, Igor] Russian Acad Sci, AM Obukhov Inst Atmospher Phys, Moscow, Russia; [van Heerwaarden, Chiel C.] Wageningen Univ &amp; Res, Meteorol &amp; Air Qual Grp, Wageningen, Netherlands</t>
  </si>
  <si>
    <t>Delft University of Technology; Consiglio Nazionale delle Ricerche (CNR); Istituto di Scienze dell'Atmosfera e del Clima (ISAC-CNR); Russian Academy of Sciences; Obukhov Institute of Atmospheric Physics of Russian Academy of Sciences; Wageningen University &amp; Research</t>
  </si>
  <si>
    <t>van der Linden, SJA (corresponding author), Delft Univ Technol, Geosci &amp; Remote Sensing, Delft, Netherlands.</t>
  </si>
  <si>
    <t>s.j.a.vanderlinden@tudelft.nl</t>
  </si>
  <si>
    <t>van der Linden, Steven/HOC-7303-2023; van Heerwaarden, Chiel/AAN-3040-2020; van der Linden, Steven/ABB-9017-2021</t>
  </si>
  <si>
    <t>van der Linden, Steven/0000-0001-9150-0892; van Heerwaarden, Chiel/0000-0001-7202-3525; van der Linden, Steven/0000-0001-9150-0892</t>
  </si>
  <si>
    <t>NWO Exact and Natural Sciences; European Research Council [648666]; European Research Council (ERC) [648666] Funding Source: European Research Council (ERC)</t>
  </si>
  <si>
    <t>NWO Exact and Natural Sciences; European Research Council(European Research Council (ERC)); European Research Council (ERC)(European Research Council (ERC)Spanish Government)</t>
  </si>
  <si>
    <t>This work was sponsored by NWO Exact and Natural Sciences for the use of supercomputer facilities. We gratefully acknowledge funding by the European Research Council through an ERC-Consolidator grant (648666).</t>
  </si>
  <si>
    <t>0022-4928</t>
  </si>
  <si>
    <t>1520-0469</t>
  </si>
  <si>
    <t>J ATMOS SCI</t>
  </si>
  <si>
    <t>J. Atmos. Sci.</t>
  </si>
  <si>
    <t>10.1175/JAS-D-19-0309.1</t>
  </si>
  <si>
    <t>OR9YM</t>
  </si>
  <si>
    <t>WOS:000589821600004</t>
  </si>
  <si>
    <t>Dodds, K; Hemmings, AD</t>
  </si>
  <si>
    <t>Dodds, Klaus; Hemmings, Alan D.</t>
  </si>
  <si>
    <t>Antarctic Diplomacy in a Time of Pandemic</t>
  </si>
  <si>
    <t>HAGUE JOURNAL OF DIPLOMACY</t>
  </si>
  <si>
    <t>Antarctica; Antarctic Treaty; international relations; governance; diplomacy; COVID-19</t>
  </si>
  <si>
    <t>GEOPOLITICS</t>
  </si>
  <si>
    <t>In the reporting about COVID-19 diplomacy, Antarctica has functioned as the exceptional - the only continent, thus far, not to record a single case of COVID-19, although cases were reported on Antarctic tourism vessels in the northern Antarctic Peninsula. For six decades, Antarctic governance has been an experiment in global democracy and diplomacy. Under the auspices of the Antarctic Treaty (1959) and associated legal instruments, all Consultative Parties from Argentina to Ukraine have the same fundamental rights to be engaged with the business of managing Antarctica. This essay speculates on ramifications of the pandemic for Antarctic governance and diplomacy. What are the implications when geographical distancing is joined by new forms of social distancing? Does the model of Antarctic governance and diplomacy still work? One possible future scenario is that conservation enforcement suffers because relevant parties refuse to accept the presence of others and weaponise public health to prevent public scrutiny.</t>
  </si>
  <si>
    <t>[Dodds, Klaus] Royal Holloway Univ London, Dept Geog, Egham, Surrey, England; [Hemmings, Alan D.] Univ Canterbury, Gateway Antarctica Ctr Antarctic Studies &amp; Res, Christchurch, New Zealand</t>
  </si>
  <si>
    <t>University of London; Royal Holloway University London; University of Canterbury</t>
  </si>
  <si>
    <t>Dodds, K (corresponding author), Royal Holloway Univ London, Dept Geog, Egham, Surrey, England.</t>
  </si>
  <si>
    <t>K.Dodds@rhul.ac.uk; alandhemmings@xtra.co.nz</t>
  </si>
  <si>
    <t>BRILL</t>
  </si>
  <si>
    <t>LEIDEN</t>
  </si>
  <si>
    <t>PLANTIJNSTRAAT 2, P O BOX 9000, 2300 PA LEIDEN, NETHERLANDS</t>
  </si>
  <si>
    <t>1871-1901</t>
  </si>
  <si>
    <t>1871-191X</t>
  </si>
  <si>
    <t>HAGUE J DIPL</t>
  </si>
  <si>
    <t>Hague J. Dipl.</t>
  </si>
  <si>
    <t>10.1163/1871191X-BJA10042</t>
  </si>
  <si>
    <t>International Relations</t>
  </si>
  <si>
    <t>OJ2NZ</t>
  </si>
  <si>
    <t>WOS:000583804700005</t>
  </si>
  <si>
    <t>Wu, HY; Liu, N; Peng, JP; Ge, YZ; Kong, B</t>
  </si>
  <si>
    <t>Wu, Haoyu; Liu, Na; Peng, Jingping; Ge, Yunzheng; Kong, Bin</t>
  </si>
  <si>
    <t>Analysis and modelling on coring process of deep-sea gravity piston corer</t>
  </si>
  <si>
    <t>JOURNAL OF ENGINEERING-JOE</t>
  </si>
  <si>
    <t>oceanographic regions; sedimentation; pistons; sediments; friction; deep-sea gravity piston corer; deep-water gravity-piston corer; penetration depth; penetration velocity; corer weight; penetration process; deep-sea gravity-piston corer; coring process; corer penetrating</t>
  </si>
  <si>
    <t>GEOTECHNICAL PROPERTIES; SEDIMENTS</t>
  </si>
  <si>
    <t>Taken the deep-sea gravity-piston corer as the prototype, a model of the corer penetrating was built based on energy conservation and by analysing the coring process. The effects of influencing parameters of the deep-sea gravity-piston corer on the penetration process and coring length were analysed. In addition, a comparison between the calculated values and the real examples was performed. The results show that corer weight, sediment properties and penetration velocity affect the coring performance. The penetration depth significantly increases with an increase in corer weight, and the corer weight plays an important role in the process of the corer penetrating. Moreover, the penetration depth decreases with the friction coefficient of increasing sediment, while it gradually increases with an increase in penetration velocity. It is also revealed that the penetration depth decreases approximately linearly as the core barrel diameter. Consequently, these will provide the basic data for the design and optimisation of deep-water gravity-piston corer.</t>
  </si>
  <si>
    <t>[Wu, Haoyu; Liu, Na; Peng, Jingping; Ge, Yunzheng; Kong, Bin] Minist Nat Resources, Inst Oceanog 1, 6,Xianxialing Rd, Qingdao 266061, Peoples R China; [Wu, Haoyu; Liu, Na; Kong, Bin] Qingdao Natl Lab Marine Sci &amp; Technol, Lab Reg Oceanog &amp; Numer Modeling, Qingdao 266237, Peoples R China</t>
  </si>
  <si>
    <t>Ministry of Natural Resources of the People's Republic of China; First Institute of Oceanography, Ministry of Natural Resources; Laoshan Laboratory</t>
  </si>
  <si>
    <t>Liu, N (corresponding author), Minist Nat Resources, Inst Oceanog 1, 6,Xianxialing Rd, Qingdao 266061, Peoples R China.;Liu, N (corresponding author), Qingdao Natl Lab Marine Sci &amp; Technol, Lab Reg Oceanog &amp; Numer Modeling, Qingdao 266237, Peoples R China.</t>
  </si>
  <si>
    <t>liun@fio.org.cn</t>
  </si>
  <si>
    <t>Ministry of Science and Technology of China [2016YFC1402702, 2016YFC1400303, 2019YFC1408201, 2019YFC1509101]; National Natural Science Foundation of China [41606221]; National Key R&amp;D Program Projects [2017YFA0603104]; 'Monitoring on Basic Environment and Marine Biodiversity in Key Regions of Arctic Ocean-Hydrological Elements in 2020', 'Arctic Drifting Ice Camp Project (MOSAiC Project) in 2020', 'Arctic Sea-Ice-Air Interaction and Its Effect on Weather and Climate-Arcti</t>
  </si>
  <si>
    <t>Ministry of Science and Technology of China(Ministry of Science and Technology, China); National Natural Science Foundation of China(National Natural Science Foundation of China (NSFC)); National Key R&amp;D Program Projects; 'Monitoring on Basic Environment and Marine Biodiversity in Key Regions of Arctic Ocean-Hydrological Elements in 2020', 'Arctic Drifting Ice Camp Project (MOSAiC Project) in 2020', 'Arctic Sea-Ice-Air Interaction and Its Effect on Weather and Climate-Arcti</t>
  </si>
  <si>
    <t>This work was financially supported by the Ministry of Science and Technology of China under contact No. 2016YFC1402702 and 2016YFC1400303 and 2019YFC1408201 and 2019YFC1509101; National Natural Science Foundation of China under contact No. 41606221; National Key R&amp;D Program Projects under contact No. 2017YFA0603104; 'Monitoring on Basic Environment and Marine Biodiversity in Key Regions of Arctic Ocean-Hydrological Elements in 2020', 'Arctic Drifting Ice Camp Project (MOSAiC Project) in 2020', 'Arctic Sea-Ice-Air Interaction and Its Effect on Weather and Climate-Arctic Marine Environment Change and Its Climate Effect in 2020', under Arctic and Antarctic Practical Investigation and Scientific Research Programme, Ministry of Natural Resources.</t>
  </si>
  <si>
    <t>INST ENGINEERING TECHNOLOGY-IET</t>
  </si>
  <si>
    <t>HERTFORD</t>
  </si>
  <si>
    <t>MICHAEL FARADAY HOUSE SIX HILLS WAY STEVENAGE, HERTFORD SG1 2AY, ENGLAND</t>
  </si>
  <si>
    <t>2051-3305</t>
  </si>
  <si>
    <t>J ENG-JOE</t>
  </si>
  <si>
    <t>J. Eng.-JOE</t>
  </si>
  <si>
    <t>10.1049/joe.2020.0077</t>
  </si>
  <si>
    <t>Engineering, Multidisciplinary</t>
  </si>
  <si>
    <t>OU8PF</t>
  </si>
  <si>
    <t>WOS:000591784600011</t>
  </si>
  <si>
    <t>An, JC; Deng, P; Zhang, BJ; Liu, JB; Ai, ST; Wang, ZM; Yu, QZ</t>
  </si>
  <si>
    <t>An, Jiachun; Deng, Pan; Zhang, Baojun; Liu, Jingbin; Ai, Songtao; Wang, Zemin; Yu, Qiuze</t>
  </si>
  <si>
    <t>Snow Depth Variations in Svalbard Derived from GNSS Interferometric Reflectometry</t>
  </si>
  <si>
    <t>GNSS interferometric reflectometry; snow depth variations; snow surface characteristics; wavelet analysis; Svalbard</t>
  </si>
  <si>
    <t>GPS MULTIPATH; WATER EQUIVALENT; ACCUMULATION; VARIABILITY; SIGNAL; ERROR</t>
  </si>
  <si>
    <t>Snow plays a critical role in hydrological monitoring and global climate change, especially in the Arctic region. As a novel remote sensing technique, global navigation satellite system interferometric reflectometry (GNSS-IR) has shown great potential for detecting reflector characteristics. In this study, a field experiment of snow depth sensing with GNSS-IR was conducted in Ny-Alesund, Svalbard, and snow depth variations over the 2014-2018 period were retrieved. First, an improved approach was proposed to estimate snow depth with GNSS observations by introducing wavelet decomposition before spectral analysis, and this approach was validated by in situ snow depths obtained from a meteorological station. The proposed approach can effectively separate the noise power from the signal power without changing the frequency composition of the original signal, particularly when the snow depth changes sharply. Second, snow depth variations were analyzed at three stages including snow accumulation, snow ablation and snow stabilization, which correspond to different snow-surface-reflection characteristics. For these three stages of snow depth variations, the mean absolute errors (MAE) were 4.77, 5.11 and 3.51 cm, respectively, and the root mean square errors (RMSE) were 6.00, 6.34 and 3.78 cm, respectively, which means that GNSS-IR can be affected by different snow surface characteristics. Finally, the impact of rainfall on snow depth estimation was analyzed for the first time. The results show that the MAE and RMSE were 2.19 and 2.08 cm, respectively, when there was no rainfall but 5.63 and 5.46 cm, respectively, when it was rainy, which indicates that rainfall reduces the accuracy of snow depth estimation by GNSS-IR.</t>
  </si>
  <si>
    <t>[An, Jiachun; Deng, Pan; Zhang, Baojun; Ai, Songtao; Wang, Zemin] Wuhan Univ, Chinese Antarctic Ctr Surveying &amp; Mapping, 129 Luoyu Rd, Wuhan 430079, Peoples R China; [Zhang, Baojun; Liu, Jingbin] Wuhan Univ, State Key Lab Informat Engn Surveying Mapping &amp; R, Wuhan 430079, Peoples R China; [Yu, Qiuze] Wuhan Univ, Sch Elect Informat, Wuhan 430072, Peoples R China</t>
  </si>
  <si>
    <t>Zhang, BJ (corresponding author), Wuhan Univ, Chinese Antarctic Ctr Surveying &amp; Mapping, 129 Luoyu Rd, Wuhan 430079, Peoples R China.;Zhang, BJ (corresponding author), Wuhan Univ, State Key Lab Informat Engn Surveying Mapping &amp; R, Wuhan 430079, Peoples R China.</t>
  </si>
  <si>
    <t>jcan@whu.edu.cn; dengpan@whu.edu.cn; bjzhang@whu.edu.cn; jingbin.liu@whu.edu.cn; ast@whu.edu.cn; zmwang@whu.edu.cn; yuhenry007@whu.edu.cn</t>
  </si>
  <si>
    <t>Liu, Jingbin/AAE-8803-2020</t>
  </si>
  <si>
    <t>An, Jiachun/0000-0002-3106-0714; Liu, Jingbin/0000-0001-6216-0956; Ai, Songtao/0000-0001-6677-3899; Zhang, Baojun/0000-0001-5438-8723</t>
  </si>
  <si>
    <t>National Natural Science Foundation of China [41531069, 41941010, 41874031]; Fundamental Research Funds for the Central Universities of China [2042019kf0220]; Science and Technology Fund of Hubei Province [2018AAA070, 2018CFA007]</t>
  </si>
  <si>
    <t>National Natural Science Foundation of China(National Natural Science Foundation of China (NSFC)); Fundamental Research Funds for the Central Universities of China(Fundamental Research Funds for the Central Universities); Science and Technology Fund of Hubei Province</t>
  </si>
  <si>
    <t>This research was funded by the National Natural Science Foundation of China, grant number 41531069, 41941010 and 41874031, and the Fundamental Research Funds for the Central Universities of China, grant number 2042019kf0220, and supported in part by the Science and Technology Fund of Hubei Province grant number 2018AAA070 and 2018CFA007.</t>
  </si>
  <si>
    <t>10.3390/rs12203352</t>
  </si>
  <si>
    <t>OL7TB</t>
  </si>
  <si>
    <t>WOS:000585536200001</t>
  </si>
  <si>
    <t>Friedlander, AM; Goodell, W; Salinas-de-León, P; Ballesteros, E; Berkenpas, E; Capurro, AP; Cárdenas, CA; Hüne, M; Lagger, C; Landaeta, MF; Muñoz, A; Santos, M; Turchik, A; Werner, R; Sala, E</t>
  </si>
  <si>
    <t>Friedlander, Alan M.; Goodell, Whitney; Salinas-de-Leon, Pelayo; Ballesteros, Enric; Berkenpas, Eric; Capurro, Andrea P.; Cardenas, Cesar A.; Hune, Mathias; Lagger, Cristian; Landaeta, Mauricio F.; Munoz, Alex; Santos, Mercedes; Turchik, Alan; Werner, Rodolfo; Sala, Enric</t>
  </si>
  <si>
    <t>Spatial patterns of continental shelf faunal community structure along the Western Antarctic Peninsula</t>
  </si>
  <si>
    <t>CLIMATE-CHANGE; BENTHIC COMMUNITIES; MARINE; DIVERSITY; SEA; EVOLUTION; SLOPE</t>
  </si>
  <si>
    <t>Knowledge of continental shelf faunal biodiversity of Antarctica is patchy and as such, the ecology of this unique ecosystem is not fully understood. To this end, we deployed baited cameras at 20 locations along similar to 500 km of the Western Antarctic Peninsula (WAP) at depths from 90 to 797 m. We identified 111 unique taxa, with mud bottom accounting for 90% of the dominant (&gt;= 50% cover) habitat sampled. Amphipoda comprised 41% of the total maximum number of individuals per camera deployment (MaxN) and occurred on 75% of deployments. Excluding this taxon, the highest MaxN occurred around King George/25 de Mayo Island and was driven primarily by the abundance of krill (Euphausiidae), which accounted for 36% of total average MaxN among deployments around this island. In comparison, krill comprised 22% of total average MaxN at Deception Island and only 10% along the peninsula. Taxa richness, diversity, and evenness all increased with depth and depth explained 18.2% of the variation in community structure among locations, which may be explained by decreasing ice scour with depth. We identified a number of Vulnerable Marine Ecosystem taxa, including habitat-forming species of cold-water corals and sponge fields. Chan-nichthyidae was the most common fish family, occurring on 80% of all deployments. The Antarctic jonasfish (Notolepis coatsorum) was the most frequently encountered fish taxa, occurring on 70% of all deployments and comprising 25% of total MaxN among all deployments. Nototheniidae was the most numerically abundant fish family, accounting for 36% of total MaxN and was present on 70% of the deployments. The WAP is among the fastest warming regions on Earth and mitigating the impacts of warming, along with more direct impacts such as those from fishing, is critical in providing opportunities for species to adapt to environmental change and to preserve this unique ecosystem.</t>
  </si>
  <si>
    <t>[Friedlander, Alan M.; Goodell, Whitney; Salinas-de-Leon, Pelayo; Munoz, Alex; Sala, Enric] Natl Geog Soc, Pristine Seas, Washington, DC 20036 USA; [Friedlander, Alan M.; Goodell, Whitney] Univ Hawaii, Hawaii Inst Marine Biol, Kaneohe, HI 96744 USA; [Salinas-de-Leon, Pelayo] Charles Darwin Fdn, Charles Darwin Res Stn, Puerto Ayora, Galapagos, Ecuador; [Ballesteros, Enric] CSIC, Ctr Estudis Avancats Blanes, Blanes, Girona, Spain; [Ballesteros, Enric; Turchik, Alan] Natl Geog Soc, Explorat Technol, Washington, DC USA; [Capurro, Andrea P.; Santos, Mercedes] Inst Antartico Argentino Direcci Nacl Antartico C, Buenos Aires, DF, Argentina; [Cardenas, Cesar A.] Inst Antartico Chileno, Dept Cient, Punta Arenas, Chile; [Hune, Mathias] Fdn Ictiol, Santiago, Chile; [Lagger, Cristian] Univ Nacl Cordoba, CONICET, UNC, Inst Diversidad &amp; Ecol Anim IDEA, Cordoba, Argentina; [Lagger, Cristian] Univ Nacl Cordoba, Fac Ciencias Exactas Fis &amp; Nat, Cordoba, Argentina; [Landaeta, Mauricio F.] Univ Valparaiso, Escuela Biol Marina, Fac Ciencias Mar &amp; Recursos Nat, Lab Ictioplancton LABITI, Vina Del Mar, Chile; [Werner, Rodolfo] Pew Charitable Trusts &amp; Antarctic &amp; Southern Ocea, Washington, DC USA; [Berkenpas, Eric] Second Star Robot, Richmond, VA USA; [Hune, Mathias] Ctr Invest Conservacio Ecosistemas Australes ICEA, Punta Arenas, Chile</t>
  </si>
  <si>
    <t>National Geographic Society; University of Hawaii System; Consejo Superior de Investigaciones Cientificas (CSIC); CSIC - Centre d'Estudis Avancats de Blanes (CEAB); National Geographic Society; National University of Cordoba; Consejo Nacional de Investigaciones Cientificas y Tecnicas (CONICET); National University of Cordoba; Universidad de Valparaiso</t>
  </si>
  <si>
    <t>Friedlander, AM (corresponding author), Natl Geog Soc, Pristine Seas, Washington, DC 20036 USA.;Friedlander, AM (corresponding author), Univ Hawaii, Hawaii Inst Marine Biol, Kaneohe, HI 96744 USA.</t>
  </si>
  <si>
    <t>alan.friedlander@hawaii.edu</t>
  </si>
  <si>
    <t>Hüne, Mathias/ABE-6000-2020; Ballesteros, Enric/K-6497-2012; LANDAETA, MAURICIO/X-4293-2019; Capurro, Andrea/GSD-5830-2022; Cardenas, Cesar/ABF-1664-2020</t>
  </si>
  <si>
    <t>LANDAETA, MAURICIO/0000-0002-5199-5103; Cardenas, Cesar/0000-0001-6662-6899</t>
  </si>
  <si>
    <t>The Brooks Foundation; Keith Campbell Foundation for the Environment; The Case Foundation; Leonardo DiCaprio Foundation; Davidoff; Don Quixote Foundation; Roger and Rosemary Enrico Foundation; Helmsley Charitable Trust; Lindblad Expeditions -National Geographic Fund; Philip Stephenson Foundation; Waitt Foundation; National Geographic Society; Pew Charitable Trusts; Antarctic and Southern Ocean Coalition; INACH Marine Protected Area program</t>
  </si>
  <si>
    <t>The Brooks Foundation; Keith Campbell Foundation for the Environment; The Case Foundation; Leonardo DiCaprio Foundation; Davidoff; Don Quixote Foundation; Roger and Rosemary Enrico Foundation; Helmsley Charitable Trust; Lindblad Expeditions -National Geographic Fund; Philip Stephenson Foundation; Waitt Foundation; National Geographic Society(National Geographic Society); Pew Charitable Trusts; Antarctic and Southern Ocean Coalition; INACH Marine Protected Area program</t>
  </si>
  <si>
    <t>We received funding from The Brooks Foundation, The Keith Campbell Foundation for the Environment, The Case Foundation, Leonardo DiCaprio Foundation, Davidoff, The Don Quixote Foundation, Roger and Rosemary Enrico Foundation, Helmsley Charitable Trust, Lindblad Expeditions -National Geographic Fund, Philip Stephenson Foundation, Vicki and Roger Sant, The Waitt Foundation, and The National Geographic Society. Rodolfo Werner was supported by The Pew Charitable Trusts and the Antarctic and Southern Ocean Coalition. Cesar A. Cardenas was supported by the INACH Marine Protected Area program. The funders had no role in study design, data collection and analysis, decision to publish, or preparation of the manuscript.</t>
  </si>
  <si>
    <t>e0239895</t>
  </si>
  <si>
    <t>10.1371/journal.pone.0239895</t>
  </si>
  <si>
    <t>OS6KJ</t>
  </si>
  <si>
    <t>WOS:000590270000069</t>
  </si>
  <si>
    <t>Clilverd, MA; Rodger, CJ; Brundell, JB; Dalzell, M; Martin, I; Mac Manus, DH; Thomson, NR</t>
  </si>
  <si>
    <t>Clilverd, Mark A.; Rodger, Craig J.; Brundell, James B.; Dalzell, Michael; Martin, Ian; Mac Manus, Daniel H.; Thomson, Neil R.</t>
  </si>
  <si>
    <t>Geomagnetically Induced Currents and Harmonic Distortion: High Time Resolution Case Studies</t>
  </si>
  <si>
    <t>geomagnetically induced currents; harmonic distortion; geomagnetic field; VLF; Halfway Bush substation; substorm</t>
  </si>
  <si>
    <t>NEW-ZEALAND; SYSTEMS; FIELD</t>
  </si>
  <si>
    <t>High time resolution (1-5 s) magnetometer, geomagnetically induced current (GIC), and mains harmonic distortion data from the Halfway Bush substation in Dunedin, New Zealand, are analyzed. A recently developed technique using very low frequency (VLF) radio wave data provides high-resolution measurements of mains harmonic distortion levels. Three case studies are investigated, each involving high rates of change of local geomagnetic field, but with different timescales of magnetospheric driver mechanisms, and different substation transformer configurations. Two cases of enhanced GIC during substorm events are analyzed, and one case of a storm sudden commencement. Time delays between magnetic field fluctuations and induced transformer currents are found to be similar to 100 s for substorm events, but only similar to 20 s for the storm sudden commencement containing higher-frequency variations. Boxcar averaging of the magnetic field fluctuations using running windows of +/- 2 min leads to spectral power profiles similar to those of GIC profiles, with reduced power at frequencies &gt;0.003 Hz (periods &lt;5 min). Substantially lower mains harmonic distortion levels were observed after the removal of the single phase bank transformer, HWB T4, from the high-voltage configuration at Halfway Bush. No systematic time delay was found between GIC variations and mains harmonic distortion levels. The power spectra of magnetic field fluctuations and GIC variations during the sudden storm commencement with no harmonic distortion showed low levels of low-frequency power (&lt;0.003 Hz, periods &gt;5 min). This low-frequency component of the magnetic field power spectrum appears necessary for mains harmonic distortion to occur.</t>
  </si>
  <si>
    <t>[Clilverd, Mark A.] British Antarctic Survey UKRI NERC, Cambridge, England; [Rodger, Craig J.; Brundell, James B.; Mac Manus, Daniel H.; Thomson, Neil R.] Univ Otago, Dept Phys, Dunedin, New Zealand; [Dalzell, Michael; Martin, Ian] Transpower New Zealand Ltd, Wellington, New Zealand</t>
  </si>
  <si>
    <t>UK Research &amp; Innovation (UKRI); Natural Environment Research Council (NERC); NERC British Antarctic Survey; University of Otago</t>
  </si>
  <si>
    <t>Clilverd, MA (corresponding author), British Antarctic Survey UKRI NERC, Cambridge, England.</t>
  </si>
  <si>
    <t>macl@bas.ac.uk</t>
  </si>
  <si>
    <t>Rodger, Craig/A-1501-2011; Brundell, James/F-3196-2013</t>
  </si>
  <si>
    <t>Brundell, James/0000-0002-8753-4720; Mac Manus, Daniel/0000-0003-1175-2251; Rodger, Craig J./0000-0002-6770-2707</t>
  </si>
  <si>
    <t>New Zealand Ministry of Business, Innovation &amp; Employment Hazards and Infrastructure Research Fund [UOOX1502]; Transpower New Zealand; Natural Environment Research Council, NERC: Space Weather Impacts on Ground-based Systems (SWIGS) [NE/P017231/1]; NERC [NE/P017231/1, bas0100031] Funding Source: UKRI; New Zealand Ministry of Business, Innovation &amp; Employment (MBIE) [UOOX1502] Funding Source: New Zealand Ministry of Business, Innovation &amp; Employment (MBIE)</t>
  </si>
  <si>
    <t>New Zealand Ministry of Business, Innovation &amp; Employment Hazards and Infrastructure Research Fund; Transpower New Zealand; Natural Environment Research Council, NERC: Space Weather Impacts on Ground-based Systems (SWIGS)(UK Research &amp; Innovation (UKRI)Natural Environment Research Council (NERC)); NERC(UK Research &amp; Innovation (UKRI)Natural Environment Research Council (NERC)); New Zealand Ministry of Business, Innovation &amp; Employment (MBIE)(New Zealand Ministry of Business, Innovation and Employment (MBIE))</t>
  </si>
  <si>
    <t>This research was supported by the New Zealand Ministry of Business, Innovation &amp; Employment Hazards and Infrastructure Research Fund Contract UOOX1502. The authors would like to thank Transpower New Zealand for supporting this study. We would also like to thank Wayne Cleaver of Electrix Limited for their assistance in facilitating the VLF measurements at Halfway Bush. M. A. C. would like to acknowledge support for this work from the Natural Environment Research Council, NERC NE/P017231/1: Space Weather Impacts on Ground-based Systems (SWIGS).</t>
  </si>
  <si>
    <t>e2020SW002594</t>
  </si>
  <si>
    <t>10.1029/2020SW002594</t>
  </si>
  <si>
    <t>OR7AY</t>
  </si>
  <si>
    <t>WOS:000589621000001</t>
  </si>
  <si>
    <t>McCahey, D</t>
  </si>
  <si>
    <t>McCahey, Daniella</t>
  </si>
  <si>
    <t>Two Years Below the Horn: Operation Tabarin, Field Science, and Antarctic Sovereignty</t>
  </si>
  <si>
    <t>BRITISH JOURNAL OF CANADIAN STUDIES</t>
  </si>
  <si>
    <t>Book Review</t>
  </si>
  <si>
    <t>[McCahey, Daniella] Univ Idaho, Moscow, ID 83843 USA</t>
  </si>
  <si>
    <t>Idaho; University of Idaho</t>
  </si>
  <si>
    <t>McCahey, D (corresponding author), Univ Idaho, Moscow, ID 83843 USA.</t>
  </si>
  <si>
    <t>LIVERPOOL UNIV PRESS</t>
  </si>
  <si>
    <t>LIVERPOOL</t>
  </si>
  <si>
    <t>4 CAMBRIDGE ST, LIVERPOOL L69 7ZU, ENGLAND</t>
  </si>
  <si>
    <t>0269-9222</t>
  </si>
  <si>
    <t>1757-8078</t>
  </si>
  <si>
    <t>BRIT J CAN STUD</t>
  </si>
  <si>
    <t>Brit. J. Can. Stud.</t>
  </si>
  <si>
    <t>Humanities, Multidisciplinary</t>
  </si>
  <si>
    <t>Arts &amp; Humanities Citation Index (A&amp;HCI)</t>
  </si>
  <si>
    <t>Arts &amp; Humanities - Other Topics</t>
  </si>
  <si>
    <t>OQ0QH</t>
  </si>
  <si>
    <t>WOS:000588496600016</t>
  </si>
  <si>
    <t>Lamb, S; Moore, JDP; Perez-Gussinye, M; Stern, T</t>
  </si>
  <si>
    <t>Lamb, Simon; Moore, James D. P.; Perez-Gussinye, Marta; Stern, Tim</t>
  </si>
  <si>
    <t>Global Whole Lithosphere Isostasy: Implications for Surface Elevations, Structure, Strength, and Densities of the Continental Lithosphere</t>
  </si>
  <si>
    <t>Airy isostasy; whole lithosphere isostasy; surface elevations; lithospheric density contrasts; Antarctic crustal structure; elastic thickness</t>
  </si>
  <si>
    <t>EFFECTIVE ELASTIC THICKNESS; UPPER-MANTLE STRUCTURE; THERMAL STRUCTURE; ANOMALOUS TOPOGRAPHY; GRAVITY-ANOMALIES; CRUSTAL THICKNESS; SEISMIC VELOCITY; NORTH-ISLAND; NEW-ZEALAND; HEAT-FLOW</t>
  </si>
  <si>
    <t>The observed variations in the thickness of the conductive lithosphere, derived from surface wave studies, have a first-order control on the elevation of the continents, in addition to variations in the thickness of the crust-this defines whole lithosphere isostasy (WLI). Negative buoyancy of the mantle lithosphere counters the positive buoyancy of the crust, and together, their respective thicknesses and density contrasts determine elevation of the continents both in their interiors and at their edges. The average density contrasts for lithospheric mantle with crust and with asthenosphere are typically 300 to 550 and 20 to 40 kg m(-3), respectively, with a ratio 10 to 16, suggesting moderate average depletion of lithospheric mantle. We show that a crustal model for Antarctica, assuming WLI and using these density contrasts, provides a close fit to estimates of crustal thickness from surface wave tomography and gravity observations. We use a global model of WLI as a framework to assess factors controlling topography, showing that plausible regional variations in crustal and mantle densities, together with uncertainties in the crustal and conductive lithospheric thicknesses, are sufficient to account for global elevations without invoking dynamic topography greater than a few hundred meters. Estimates of elastic thickness T-e in the continents are typically 25-50% of the thickness of the conductive lithosphere, indicating that the mantle part supports some of the elastic strength of the lithosphere.</t>
  </si>
  <si>
    <t>[Lamb, Simon; Moore, James D. P.; Stern, Tim] Victoria Univ Wellington, SGEES, Inst Geophys, Wellington, New Zealand; [Moore, James D. P.] Nanyang Technol Univ Singapore, Earth Observ Singapore, Singapore, Singapore; [Perez-Gussinye, Marta] Univ Bremen, MARUM Ctr Marine Environm Sci, Bremen, Germany</t>
  </si>
  <si>
    <t>Victoria University Wellington; Nanyang Technological University; University of Bremen</t>
  </si>
  <si>
    <t>Lamb, S (corresponding author), Victoria Univ Wellington, SGEES, Inst Geophys, Wellington, New Zealand.</t>
  </si>
  <si>
    <t>simon.lamb@vuw.ac.nz</t>
  </si>
  <si>
    <t>Moore, James Daniel Paul/0000-0001-8912-2730</t>
  </si>
  <si>
    <t>e2020GC009150</t>
  </si>
  <si>
    <t>10.1029/2020GC009150</t>
  </si>
  <si>
    <t>OP8PB</t>
  </si>
  <si>
    <t>WOS:000588351500012</t>
  </si>
  <si>
    <t>Li, X; Zattin, M; Olivetti, V</t>
  </si>
  <si>
    <t>Li, X.; Zattin, M.; Olivetti, V.</t>
  </si>
  <si>
    <t>Apatite Fission Track Signatures of the Ross Sea Ice Flows During the Last Glacial Maximum</t>
  </si>
  <si>
    <t>detrital thermochronology; Ross Sea; Late Glacial Maximum</t>
  </si>
  <si>
    <t>MARIE-BYRD LAND; NORTHERN VICTORIA-LAND; CENTRAL TRANSANTARCTIC MOUNTAINS; PLEISTOCENE-HOLOCENE RETREAT; AND-2A DRILL CORE; DRY VALLEYS AREA; WEST ANTARCTICA; FOSDICK MOUNTAINS; MCMURDO SOUND; MANTLE-PLUME</t>
  </si>
  <si>
    <t>The catchment for the Ross Sea ice includes both the East and the West Antarctic ice sheets, but the mass balance is a direct response to climate change. Our work is aimed to reconstruct the ice flows after the Last Glacial Maximum and is based on apatite fission track data from samples collected from 18 piston cores across the Ross Sea embayment. Fission track ages have been divided into meaningful populations and then compared with bedrock ages from West and East Antarctica. Furthermore, fission track lengths have been measured on each population and then compared through forward modeling with thermal histories derived from literature. The widespread presence of apatites with cooling ages of about 30-40 Ma reveals a main exhumation phase of the Transantarctic Mountains during the Oligocene associated to the last phases of the West Antarctic Rift System. Furthermore, the presence of key marker apatites (e.g., younger than 21 Ma or older than 230 Ma) allows to identify the Central High as a major ice flow divide.</t>
  </si>
  <si>
    <t>[Li, X.; Zattin, M.; Olivetti, V.] Univ Padua, Dept Geosci, Padua, Italy</t>
  </si>
  <si>
    <t>University of Padua</t>
  </si>
  <si>
    <t>Zattin, M (corresponding author), Univ Padua, Dept Geosci, Padua, Italy.</t>
  </si>
  <si>
    <t>massimiliano.zattin@unipd.it</t>
  </si>
  <si>
    <t>Zattin, Massimiliano/A-8943-2012; olivetti, valerio/IAQ-1471-2023</t>
  </si>
  <si>
    <t>Zattin, Massimiliano/0000-0002-2265-3921; olivetti, valerio/0000-0001-8173-3860</t>
  </si>
  <si>
    <t>China Scholarship Council (CSC) [201606410071]; PNRA [PNRA16_00263]</t>
  </si>
  <si>
    <t>China Scholarship Council (CSC)(China Scholarship Council); PNRA</t>
  </si>
  <si>
    <t>This version of the paper greatly benefited from the accurate and thoughtful revisions of Frank Lisker, Gordon Bromley, and of the Associate Editor. We thank the Antarctica Research Facility at Florida State University for access to the core repository. We thank S. Boesso for assistance in sample processing. This work was supported by China Scholarship Council (CSC) (no. 201606410071) and PNRA (PNRA16_00263 coordinated by V. Olivetti).</t>
  </si>
  <si>
    <t>e2019GC008749</t>
  </si>
  <si>
    <t>10.1029/2019GC008749</t>
  </si>
  <si>
    <t>WOS:000588351500015</t>
  </si>
  <si>
    <t>Berg, S; Jivcov, S; Kusch, S; Kuhn, G; Wacker, L; Rethemeyer, J</t>
  </si>
  <si>
    <t>Berg, S.; Jivcov, S.; Kusch, S.; Kuhn, G.; Wacker, L.; Rethemeyer, J.</t>
  </si>
  <si>
    <t>Compound-Specific Radiocarbon Analysis of (Sub-)Antarctic Coastal Marine Sediments-Potential and Challenges for Chronologies</t>
  </si>
  <si>
    <t>SOUTH GEORGIA; ICE-SHELF; ORGANIC-MATTER; METHANE SEEPAGE; EAST ANTARCTICA; RESERVOIR AGES; CUMBERLAND BAY; FATTY-ACIDS; PRYDZ BAY; ROSS SEA</t>
  </si>
  <si>
    <t>In Antarctic and Subantarctic environments, C-14-based age determination is often challenging due to unknown reservoir effects, low organic carbon contents of sediments, and high contributions of petrogenic (C-14-free) carbon in ice marginal settings. In this study, we evaluate possible benefits and challenges of compound-specific radiocarbon analysis (CSRA) as a tool for age determination of marine Antarctic and Subantarctic sediment sequences. We present a comprehensive data set of C-14 ages obtained on bulk organic carbon, carbonates, and on fatty acids (FA) from three coastal marine sediment cores from Subantarctic South Georgia and East Antarctica. Low molecular weight (LMW) FA represent the least C-14-depleted fraction, indicating that the phytoplankton-derived compounds can be a means of dating sediments. In contrast, vascular plant-derived high molecular weight FA are systematically depleted in C-14 relative to the low molecular weight homologues, reflecting processes such as soil formation/erosion in the catchment. Comparative age-depth models show significant differences, depending on the material used for the respective models. While the land plant-derived FA may lead to an overestimation of the actual sediment age, LMW FA reveal complex aquatic reservoir effects. Bulk sedimentary organic carbon C-14 ages likely provide appropriate age estimates in settings with low petrogenic carbon input in the Antarctic, whereas CSRA has the potential to produce improved age control in settings with high contributions of petrogenic carbon.</t>
  </si>
  <si>
    <t>[Berg, S.; Jivcov, S.; Rethemeyer, J.] Univ Cologne, Inst Geol &amp; Mineral, Cologne, Germany; [Kusch, S.] Univ Cologne, Dept Prehistor Archaeol, Cologne, Germany; [Kuhn, G.] Helmholtz Ctr Polar &amp; Marine Res, Alfred Wegener Inst AWI, Bremerhaven, Germany; [Wacker, L.] Swiss Fed Inst Technol, Ion Beam Phys, Zurich, Switzerland</t>
  </si>
  <si>
    <t>University of Cologne; University of Cologne; Helmholtz Association; Alfred Wegener Institute, Helmholtz Centre for Polar &amp; Marine Research; Swiss Federal Institutes of Technology Domain; ETH Zurich</t>
  </si>
  <si>
    <t>Berg, S (corresponding author), Univ Cologne, Inst Geol &amp; Mineral, Cologne, Germany.</t>
  </si>
  <si>
    <t>sberg0@uni-koeln.de</t>
  </si>
  <si>
    <t>Berg, Sonja/AAW-3817-2021; Rethemeyer, Janet/G-4019-2013; Kusch, Stephanie/M-8218-2015</t>
  </si>
  <si>
    <t>Kuhn, Gerhard/0000-0001-6069-7485; Rethemeyer, Janet/0000-0001-6698-4186; Wacker, Lukas/0000-0002-8215-2678; Berg, Sonja/0000-0002-9629-6007; Jivcov, Sandra/0000-0003-1659-3341; Kusch, Stephanie/0000-0002-2708-4975</t>
  </si>
  <si>
    <t>Deutsche Forschungsgemeinschaft (DFG) [BE 4764/1-1, BE 4764/3-1]; Alfred-Wegener-Institute, Helmholtz Centre PACES II (Polar Regions and Coasts in the changing Earth System) program; University of Cologne (UoC) Postdoc grant; Projekt DEAL</t>
  </si>
  <si>
    <t>Deutsche Forschungsgemeinschaft (DFG)(German Research Foundation (DFG)); Alfred-Wegener-Institute, Helmholtz Centre PACES II (Polar Regions and Coasts in the changing Earth System) program; University of Cologne (UoC) Postdoc grant; Projekt DEAL</t>
  </si>
  <si>
    <t>This work was supported by the Deutsche Forschungsgemeinschaft (DFG) in the framework of the priority program SPP1158 Antarctic Research with comparative investigations in Arctic ice areas by Grants BE 4764/1-1 and BE 4764/3-1. RV Polarstern expedition PS81 and G. K. were supported by the Alfred-Wegener-Institute, Helmholtz Centre PACES II (Polar Regions and Coasts in the changing Earth System) program. Additional funding was provided to S. B. by a University of Cologne (UoC) Postdoc grant. Open access funding enabled and organized by Projekt DEAL.</t>
  </si>
  <si>
    <t>e2020PA003890</t>
  </si>
  <si>
    <t>10.1029/2020PA003890</t>
  </si>
  <si>
    <t>OP9YO</t>
  </si>
  <si>
    <t>WOS:000588449700003</t>
  </si>
  <si>
    <t>Dietze, H; Löptien, U; Hordoir, R; Heinemann, M; Huiskamp, W; Schneider, B</t>
  </si>
  <si>
    <t>Dietze, H.; Loeptien, U.; Hordoir, R.; Heinemann, M.; Huiskamp, W.; Schneider, B.</t>
  </si>
  <si>
    <t>Silicon Isotopes in an EMIC's Ocean: Sensitivity to Runoff, Iron Supply, and Climate</t>
  </si>
  <si>
    <t>Earth System Model; silicon isotopes; Last Glacial Maximum; biogeochemical modeling; ocean; sediment</t>
  </si>
  <si>
    <t>LAST GLACIAL MAXIMUM; WESTERLY WIND CHANGES; SOUTHERN-OCEAN; SI CYCLE; ACID CONCENTRATIONS; WORLD OCEAN; FRACTIONATION; SYSTEM; MODELS; PROJECTIONS</t>
  </si>
  <si>
    <t>The isotopic composition of Si in biogenic silica (BSi), such as opal buried in the oceans' sediments, has changed over time. Paleorecords suggest that the isotopic composition, described in terms of delta Si-30, was generally much lower during glacial times than today. There is consensus that this variability is attributable to differing environmental conditions at the respective time of BSi production and sedimentation. The detailed links between environmental conditions and the isotopic composition of BSi in the sediments remain, however, poorly constrained. In this study, we explore the effects of a suite of offset boundary conditions during the Last Glacial Maximum (LGM) on the isotopic composition of BSi archived in sediments in an Earth System Model of intermediate complexity (EMIC). Our model results suggest that a change in the isotopic composition of Si supply to the glacial ocean is sufficient to explain the observed overall low(er) glacial delta Si-30 in BSi. All other processes explored trigger model responses of either wrong sign or magnitude or are inconsistent with a recent estimate of bottom water oxygenation in the Atlantic Sector of the Southern Ocean. Caveats, mainly associated with generic uncertainties in today's pelagic biogeochemical modules, remain.</t>
  </si>
  <si>
    <t>[Dietze, H.; Loeptien, U.; Heinemann, M.; Schneider, B.] Christian Albrechts Univ Kiel, Inst Geosci, Kiel, Germany; [Dietze, H.; Loeptien, U.] GEOMAR Helmholtz Ctr Ocean Res, Kiel, Germany; [Huiskamp, W.] Potsdam Inst Climate Impact Res PIK, Potsdam, Germany; [Hordoir, R.] Inst Marine Res, Bergen, Norway; [Hordoir, R.] Bjerknes Ctr Climate Res, Bergen, Norway</t>
  </si>
  <si>
    <t>University of Kiel; Helmholtz Association; GEOMAR Helmholtz Center for Ocean Research Kiel; Potsdam Institut fur Klimafolgenforschung; Institute of Marine Research - Norway; Bjerknes Centre for Climate Research</t>
  </si>
  <si>
    <t>Dietze, H (corresponding author), Christian Albrechts Univ Kiel, Inst Geosci, Kiel, Germany.;Dietze, H (corresponding author), GEOMAR Helmholtz Ctr Ocean Res, Kiel, Germany.</t>
  </si>
  <si>
    <t>heiner.dietze@ifg.uni-kiel.de</t>
  </si>
  <si>
    <t>Dietze, Heiner/A-7466-2009; Loeptien, Ulrike/AAW-6325-2021; Hordoir, Robinson/AAZ-6174-2020; Schneider, Birgit/C-2215-2017</t>
  </si>
  <si>
    <t>Schneider, Birgit/0000-0001-9142-1457; Dietze, Heiner/0000-0002-0931-8707; Hordoir, Robinson/0000-0002-4461-5811; Loeptien, Ulrike/0000-0002-8765-4183; Huiskamp, Willem/0000-0001-6615-6348</t>
  </si>
  <si>
    <t>Deutsche Forschungsgemeinschaft (DFG) [SPP 1158, SCHN 762/5-1]; DFG [DI 1665/6-1, LO 1377/5-1]</t>
  </si>
  <si>
    <t>Deutsche Forschungsgemeinschaft (DFG)(German Research Foundation (DFG)); DFG(German Research Foundation (DFG))</t>
  </si>
  <si>
    <t>H. D. and U. L. acknowledge funding by Deutsche Forschungsgemeinschaft (DFG) in the framework of the priority program Antarctic Research with comparative investigations in Arctic ice areas SPP 1158 by Grant SCHN 762/5-1. We acknowledge discussions with Mark Holzer and Katrin Meissner. Katrin Meissner provided the model configuration (to which we added the Si cycle) by sharing code and forcing files. Fruitful discussion with Richard Matear and Andrew Lenton were made possible by DFG Grants DI 1665/6-1 and LO 1377/5-1. A number of very good review papers eased the entry of H. D. and U. L. into the field. We are grateful to each and everyone sharing observational data. We thank one anonymous reviewer, Christoph Voelker, and the editorial team for their constructive work and effort! Open access funding enabled and organized by Projekt DEAL.</t>
  </si>
  <si>
    <t>e2020PA003960</t>
  </si>
  <si>
    <t>10.1029/2020PA003960</t>
  </si>
  <si>
    <t>Green Accepted, hybrid, Green Published, Green Submitted</t>
  </si>
  <si>
    <t>WOS:000588449700007</t>
  </si>
  <si>
    <t>Herbert, TD; Rose, R; Dybkjaer, K; Rasmussen, ES; Sliwinska, KK</t>
  </si>
  <si>
    <t>Herbert, Timothy D.; Rose, Rebecca; Dybkjaer, Karen; Rasmussen, Erik S.; Sliwinska, Kasia K.</t>
  </si>
  <si>
    <t>Bihemispheric Warming in the Miocene Climatic Optimum as Seen From the Danish North Sea</t>
  </si>
  <si>
    <t>paleoclimatology; paleotemperatures; Miocene</t>
  </si>
  <si>
    <t>LONG-CHAIN ALKENONES; ANTARCTIC ICE-SHEET; EQUATORIAL PACIFIC; EVOLUTION; TEMPERATURE; VEGETATION; TERTIARY; ATLANTIC; EURASIA; SEDIMENTATION</t>
  </si>
  <si>
    <t>The Miocene epoch witnessed major changes in climate. The marine oxygen isotope record, our best single continuous representation of the time interval, contains large shifts indicating substantial changes in the glaciation of Antarctica and/or deep ocean temperatures, with the interval of the most depleted isotopic composition occurring between similar to 18 and 13.9 Ma (mid-Miocene Climatic Optimum [MCO]). We present here a record of alkenone unsaturation estimates from a borehole penetrating marine sediments spanning most of the Miocene at similar to 56 degrees N. Marine temperatures reconstructed for the Miocene are up to 20 degrees C warmer than present day. A maximum occurs at the time of the MCO. The record is strikingly similar to discontinuous alkenone results published from other North Atlantic sites. As in the southern hemisphere, ocean temperature gradients were extraordinarily low in the North Atlantic in comparison to today. Our findings suggest that the MCO was a global temperature maximum and link the partial deglaciation of the Antarctic and subsequent refrigeration to a global forcing process. However, the small magnitude of the ocean cooling from similar to 14 to 10 Ma suggests a highly nonlinear (threshold) relationship between East Antarctic ice volume and global temperature.</t>
  </si>
  <si>
    <t>[Herbert, Timothy D.; Rose, Rebecca] Brown Univ, Dept Earth Environm &amp; Planetary Sci, Providence, RI 02912 USA; [Dybkjaer, Karen; Rasmussen, Erik S.; Sliwinska, Kasia K.] Geol Survey Denmark &amp; Greenland, Copenhagen, Denmark</t>
  </si>
  <si>
    <t>Brown University; Geological Survey Of Denmark &amp; Greenland</t>
  </si>
  <si>
    <t>Herbert, TD (corresponding author), Brown Univ, Dept Earth Environm &amp; Planetary Sci, Providence, RI 02912 USA.</t>
  </si>
  <si>
    <t>timothy_herbert@brown.edu</t>
  </si>
  <si>
    <t>Śliwińska, Kasia Kamila/G-9097-2018; Dybkjær, Karen/G-5223-2018</t>
  </si>
  <si>
    <t>Śliwińska, Kasia Kamila/0000-0001-5488-8832; Herbert, Timothy/0000-0003-1556-4290</t>
  </si>
  <si>
    <t>National Science Foundation (NSF) [1635127]; Geocenter Denmark</t>
  </si>
  <si>
    <t>National Science Foundation (NSF)(National Science Foundation (NSF)); Geocenter Denmark</t>
  </si>
  <si>
    <t>We gratefully acknowledge support from National Science Foundation (NSF) grant 1635127 to T. D. H. and funding from Geocenter Denmark to K. S. We thank J. E. Tierney, D. M. Naafs, and M. Huber for constructive comments that improved the manuscript.</t>
  </si>
  <si>
    <t>e2020PA003935</t>
  </si>
  <si>
    <t>10.1029/2020PA003935</t>
  </si>
  <si>
    <t>WOS:000588449700006</t>
  </si>
  <si>
    <t>Anderson, FS; Crow, C; Levine, J; Whitaker, TJ</t>
  </si>
  <si>
    <t>Anderson, F. Scott; Crow, Carolyn; Levine, Jonathan; Whitaker, Tom J.</t>
  </si>
  <si>
    <t>Pb-Pb Dating of Terrestrial and Extraterrestrial Samples Using Resonance Ionization Mass Spectrometry</t>
  </si>
  <si>
    <t>U-TH-PB; MARTIAN METEORITE ZAGAMI; MILLER RANGE 05035; LUNAR METEORITE; K-AR; RB-SR; SM-ND; ISOTOPIC SYSTEMATICS; TRACE-ELEMENT; SNC METEORITES</t>
  </si>
  <si>
    <t>We are developing an in situ, rock-dating spectrometer for spaceflight called the Chemistry, Organics, and Dating EXperiment (CODEX). CODEX will measure Rb-Sr compositions and determine ages of samples on the Moon or Mars and can be augmented to obtain Pb-Pb ages. Coupling Rb-Sr and Pb-Pb measurements broadens the suite of samples that can be dated and could provide tests of concordance. Here we assess whether geochronologically meaningful Pb-Pb data could be measured in situ by tuning the prototype CODEX to acquire Pb-Pb data from a suite of well-characterized specimens from the Earth, Moon, and Mars. For Keuhl Lake Zircon 91500 our Pb-207/Pb-206 age of 1,090 +/- 40 Ma is indistinguishable from the accepted age. In each of the Martian meteorites we studied, we could not resolve more than a single component of Pb and could not uniquely determine ages; nevertheless, our isotopic measurements were consistent with most previous analyses. On the other hand, we uniquely determined ages for three lunar meteorites. Our age for MIL 05035 is 3,550 +/- 170 Ma, within 2 sigma of published ages for this specimen, in spite of it having &lt;1 ppm Pb. LAP 02205 was contaminated by terrestrial Pb, but by filtering our data to exclude the most contaminated spots, we obtained an age of 3,010 +/- 70 Ma, coincident with published values. Finally, our age for NWA 032 is nearly 1,000 Ma older than its age determined from other isotopic systems and is supported by additional Pb measurements made after chemical leaching. Plain Language Summary To better understand outstanding questions of solar system chronology, such as the duration of heavy meteoroid bombardment or how long Mars was potentially habitable, we are testing a prototype spaceflight instrument for dating rocks on planetary surfaces. In our earlier work, we used our prototype to measure samples' isotopic abundances of rubidium and strontium, from which we calculate their ages from the known rate of radioactive decay of rubidium-87 (Anderson et al., 2015a, 2015b, https://doi.org/10.1002/rcm.7095; https://doi.org/10.1002/rcm.7253; Anderson, Levine, et al., 2020, https://doi.org/10.1016/j.pss.2020.105007). In this experiment, we tuned the instrument to analyze isotopes of lead, which are produced at known rates by the radioactive decay of uranium. We examined samples from the Earth, Moon, and Mars. Our measurements on these samples successfully reproduced previous results made by laboratory instruments and yielded a new age for a lunar meteorite that had not before been dated by the lead-lead method. This experiment raises the prospect of equipping a future lander mission to the Moon or Mars with a single dating instrument capable of exploiting two complementary isotopic systems, the data from which would permit consistency checks and afford us a more nuanced understanding of planetary history.</t>
  </si>
  <si>
    <t>[Anderson, F. Scott; Whitaker, Tom J.] Southwest Res Inst, Boulder, CO 80302 USA; [Crow, Carolyn] Univ Colorado, Dept Geol Sci, Boulder, CO 80309 USA; [Levine, Jonathan] Colgate Univ, Dept Phys &amp; Astron, Hamilton, NY 13346 USA</t>
  </si>
  <si>
    <t>Southwest Research Institute; University of Colorado System; University of Colorado Boulder; Colgate University</t>
  </si>
  <si>
    <t>Anderson, FS (corresponding author), Southwest Res Inst, Boulder, CO 80302 USA.</t>
  </si>
  <si>
    <t>anderson@boulder.swri.edu</t>
  </si>
  <si>
    <t>NASA [NNX10AJ87G, NNX08AT61G, NNX15AF41G]; SwRI internal research and development funds; Colgate University Faculty Research Council; NSF; NASA [NNX08AT61G, 94619, NNX15AF41G, 804612, 131013, NNX10AJ87G] Funding Source: Federal RePORTER</t>
  </si>
  <si>
    <t>NASA(National Aeronautics &amp; Space Administration (NASA)); SwRI internal research and development funds; Colgate University Faculty Research Council; NSF(National Science Foundation (NSF)); NASA(National Aeronautics &amp; Space Administration (NASA))</t>
  </si>
  <si>
    <t>The authors are grateful for support from NASA Grants NNX10AJ87G, NNX08AT61G, and NNX15AF41G, SwRI internal research and development funds, and support from the Colgate University Faculty Research Council (to J. L.). We also send thanks to Dustin Trail and Carl Agee for sharing samples of Zircon 91500 and NWA 7034 and CAPTEM for loaning us MIL 05035 and LAP 02205.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We are indebted to Michelle Tebolt and Nolan Smyth for their aid in the early interpretation of these data. We thank Joshua Snape and an anonymous reviewer for their suggestions and insight.</t>
  </si>
  <si>
    <t>e2020EA001177</t>
  </si>
  <si>
    <t>10.1029/2020EA001177</t>
  </si>
  <si>
    <t>OM9JZ</t>
  </si>
  <si>
    <t>WOS:000586332600006</t>
  </si>
  <si>
    <t>Armstrong, MS; Kiem, AS; Vance, TR</t>
  </si>
  <si>
    <t>Armstrong, Matthew S.; Kiem, Anthony S.; Vance, Tessa R.</t>
  </si>
  <si>
    <t>Comparing instrumental, palaeoclimate, and projected rainfall data: Implications for water resources management and hydrological modelling</t>
  </si>
  <si>
    <t>JOURNAL OF HYDROLOGY-REGIONAL STUDIES</t>
  </si>
  <si>
    <t>Paleoclimate; Climate change; Modelling; Water management</t>
  </si>
  <si>
    <t>CLIMATE-CHANGE IMPACT; NON-STATIONARITY; MULTIYEAR DROUGHT; AUSTRALIA; RUNOFF; RISK; VARIABILITY; SIMULATIONS; UNCERTAINTY; BASIN</t>
  </si>
  <si>
    <t>Study Region: The Lockyer Catchment, Queensland, Australia. Study Focus: Future rainfall projections are usually presented as a percentage change from current climate, where current climate is defined using relatively short instrumental records. However, palaeoclimate reconstructions demonstrate that instrumental data does not capture the full range of climate variability that has occurred. Understanding natural climate variability, and how it compares to climate model projections for the future, requires the use of (a) instrumental and palaeoclimate data to quantify the range of historical variability and (b) climate model data to quantify if/how things could change in the future. Considering this, we compare instrumental, palaeoclimate, and projected rainfall statistics for the Lockyer Catchment. New hydrologic insights for the region: We found that, in the Lockyer Catchment, instrumental data insufficiently captures past variability and plausible projections of rainfall decreases in the future. We also found that at mid-21st and late 21st century time periods decreases in annual average rainfall, rainfall variability, and ninetieth percentile rainfall outside the confines of instrumental and palaeoclimate variability are plausible. Also, when considering variability in the palaeoclimate record compounded with projected rainfall trends, much larger decreases in rainfall are plausible than when only considering instrumental and projected rainfall. The implications of these results are discussed in terms of (a) calculating the sustainable yield of water supply catchments and (b) estimating catchment runoff using hydrological models.</t>
  </si>
  <si>
    <t>[Armstrong, Matthew S.; Kiem, Anthony S.] Univ Newcastle, Ctr Water Climate &amp; Land CWCL, Callaghan, NSW 2308, Australia; [Vance, Tessa R.] Univ Tasmania, Inst Marine &amp; Antarctic Studies, Previously Antarctic Climate &amp; Ecosyst Cooperat R, Hobart, Tas 7004, Australia</t>
  </si>
  <si>
    <t>University of Newcastle; University of Tasmania</t>
  </si>
  <si>
    <t>Armstrong, MS (corresponding author), Univ Newcastle, Ctr Water Climate &amp; Land CWCL, Callaghan, NSW 2308, Australia.</t>
  </si>
  <si>
    <t>Matthew.Armstrong@uon.edu.au</t>
  </si>
  <si>
    <t>Vance, Tessa/0000-0001-6970-8646; Armstrong, Matthew/0000-0002-2120-2045</t>
  </si>
  <si>
    <t>University of Newcastle Research Scholarship Central (UNRSC); Australian Research Council [DP180102522]</t>
  </si>
  <si>
    <t>University of Newcastle Research Scholarship Central (UNRSC); Australian Research Council(Australian Research Council)</t>
  </si>
  <si>
    <t>Matthew Armstrong is funded by a University of Newcastle Research Scholarship Central (UNRSC). Funding for this research was also provided by the Australian Research Council Discovery Project on Flooding in Australia - are we properly prepared for how bad it can get? (Project number: DP180102522).</t>
  </si>
  <si>
    <t>2214-5818</t>
  </si>
  <si>
    <t>J HYDROL-REG STUD</t>
  </si>
  <si>
    <t>J. Hydrol.-Reg. Stud.</t>
  </si>
  <si>
    <t>10.1016/j.ejrh.2020.100728</t>
  </si>
  <si>
    <t>Water Resources</t>
  </si>
  <si>
    <t>OF1AM</t>
  </si>
  <si>
    <t>WOS:000580949900015</t>
  </si>
  <si>
    <t>Wittmeier, HE; Schaefer, JM; Bakke, J; Rupper, S; Paasche, O; Schwartz, R; Finkel, RC</t>
  </si>
  <si>
    <t>Wittmeier, Hella E.; Schaefer, Joerg M.; Bakke, Jostein; Rupper, Summer; Paasche, Oyvind; Schwartz, Roseanne; Finkel, Robert C.</t>
  </si>
  <si>
    <t>Late Glacial mountain glacier culmination in Arctic Norway prior to the Younger Dryas</t>
  </si>
  <si>
    <t>Glaciation; Paleoclimatology; Pleistocene; North Atlantic; Cosmogenic isotopes</t>
  </si>
  <si>
    <t>BE-10 PRODUCTION-RATE; PRODUCTION-RATE CALIBRATION; EQUILIBRIUM-LINE ALTITUDES; MASS-BALANCE; SOUTHERN ALPS; NEW-ZEALAND; PRODUCTION-RATES; OUTLET GLACIERS; EAST GREENLAND; ICE-SHEET</t>
  </si>
  <si>
    <t>Climate changes during the Late Glacial period (LG; 15-11 ka) as recorded in Greenland and Antarctic ice cores show a bipolar pattern. Between 14.5 ka and 13 ka ago, the northern latitudes experienced the Bolling/Allerod (BA) warm period, while southern records feature the Antarctic Cold Reversal (ACR). Between 12.9 ka and 11.7 ka ago, the north was under the Younger Dryas (YD) cold spell while southern latitude temperature rose in parallel to atmospheric CO2 concentrations. While the southern hemisphere pattern is well documented in mountain glacier moraine records from New Zealand and Patagonia, in northern mid-latitudes and the Arctic, the LG glacier culmination has been connected to the YD stadial, apparently confirming the bipolar pattern. We present a geomorphic map of mountain glaciers in Arctic Norway, a cosmogenic nuclide chronology from 71 moraine boulders from the LG and the Holocene, and first-order glacier modeling experiments. The model and dating results show that the studied mountain glaciers are most sensitive to summer-temperature change, that their response to those changes is highly correlated to a wider region and that these mountain glaciers in Arctic Norway reached their maximum LG extent about 14 ka ago, prior to the YD. Following considerable retreat through the first part of the YD, glaciers re-stabilized in the mid-YD and showed slower oscillatory retreat through the latter part of the YD. We compare this glacier pattern to updated earlier glacier records in the wider Arctic and North Atlantic region and propose a pattern of coherent glacier response to climate changes during this interval. The LG results from Arctic glaciers show consistency to the glacier record from New Zealand and Patagonia. This first-order interhemispheric coherency of LG mountain glacier fluctuations driven mainly by summer temperature would support the view that the bipolar seesaw was primarily a northern winter phenomenon during the LG period, and the YD in particular. More similar experiments need to be performed to further test this scenario. (C) 2020 The Author(s). Published by Elsevier Ltd.</t>
  </si>
  <si>
    <t>[Wittmeier, Hella E.; Bakke, Jostein] Univ Bergen, Dept Earth Sci, Allegaten 41, N-5007 Bergen, Norway; [Wittmeier, Hella E.; Bakke, Jostein; Paasche, Oyvind] Bjerknes Ctr Climate Res, Allegaten 41, N-5007 Bergen, Norway; [Schaefer, Joerg M.; Schwartz, Roseanne] Lamont Doherty Earth Observ, Geochem, Palisades, NY 10964 USA; [Schaefer, Joerg M.] Columbia Univ, Dept Earth &amp; Environm Sci, New York, NY 10027 USA; [Rupper, Summer] Univ Utah, Dept Geog, 260 S Cent Campus Dr, Salt Lake City, UT 84112 USA; [Finkel, Robert C.] Univ Calif Berkeley, Dept Earth &amp; Planetary Sci, Berkeley, CA 95064 USA</t>
  </si>
  <si>
    <t>University of Bergen; Bjerknes Centre for Climate Research; Columbia University; Columbia University; Utah System of Higher Education; University of Utah; University of California System; University of California Berkeley</t>
  </si>
  <si>
    <t>Schaefer, JM (corresponding author), Lamont Doherty Earth Observ, Geochem, Palisades, NY 10964 USA.</t>
  </si>
  <si>
    <t>schaefer@ldeo.columbia.edu</t>
  </si>
  <si>
    <t>Rupper, Summer/KHD-4492-2024</t>
  </si>
  <si>
    <t>Bakke, Jostein/0000-0001-6114-0400; Paasche, Oyvind/0000-0003-0329-9063</t>
  </si>
  <si>
    <t>Norwegian Research Council, Norway (University of Bergen); Columbia Climate Center; G. Unger Vetlesen Foundation; Lamont-Doherty Earth Observatory</t>
  </si>
  <si>
    <t>We thank J. Hanley and K. Needleman for help with sample preparation, H. and A. Wittmeier and S. Ludwig for field assistance, and E. and J. Johannessen at Lauksletta Overnatting for accommodation. This study was funded by the Norwegian Research Council, Norway (Project SHIFTS, University of Bergen), the Columbia Climate Center, the G. Unger Vetlesen Foundation and the Lamont-Doherty Earth Observatory. This is LDEO publication #8428.</t>
  </si>
  <si>
    <t>10.1016/j.quascirev.2020.106461</t>
  </si>
  <si>
    <t>NX5HO</t>
  </si>
  <si>
    <t>WOS:000575742100005</t>
  </si>
  <si>
    <t>Bolinesi, F; Saggiomo, M; Aceto, S; Cordone, A; Serino, E; Valoroso, MC; Mangoni, O</t>
  </si>
  <si>
    <t>Bolinesi, Francesco; Saggiomo, Maria; Aceto, Serena; Cordone, Angelina; Serino, Emanuela; Valoroso, Maria Carmen; Mangoni, Olga</t>
  </si>
  <si>
    <t>On the Relationship between a Novel Prorocentrum sp. and Colonial Phaeocystis antarctica under Iron and Vitamin B12 Limitation: Ecological Implications for Antarctic Waters</t>
  </si>
  <si>
    <t>APPLIED SCIENCES-BASEL</t>
  </si>
  <si>
    <t>Ross Sea; phytoplankton diversity; photosynthetic efficiency; climate change</t>
  </si>
  <si>
    <t>ROSS SEA; COMMUNITY STRUCTURE; PHYTOPLANKTON BIOMASS; PIGMENT COMPOSITION; SOUTHERN-OCEAN; DINOFLAGELLATE; NUTRIENTS; DINOPHYCEAE; PHYLOGENY; ABUNDANCE</t>
  </si>
  <si>
    <t>Featured Application Since preliminary data revealed that Prorocentrum sp. (Dinophyceae) was able to produce bioactive compounds, further investigation will be focused on the isolation and identification of molecules potentially usable for biotechnological and pharmaceutical applications. We collected live mixed natural samples from the northeastern Ross Sea during the austral summer of 2017 and isolated a novel Prorocentrum sp. (Dinophyceae) associated with mucilaginous Phaeocystis antarctica (Coccolithophyceae) colonies. The haptophyte P. antarctica is a key species of the phytoplankton community in the Ross Sea, where blooms are subjected to iron limitation and/or co-limitation with other micronutrients (e.g., vitamin B-12) during the summer. We first performed preliminary genetic analyses to determine the specific identity of the novel Prorocentrum sp., which indicated that it represented a previously undescribed species. The formal description of this new species is in process. To further assess its relationship with P. antarctica, we obtained their monospecific and mixed cultures and evaluated their responses to different irradiance levels and iron and vitamin B-12 limitation. Our results indicated differential susceptibility of the two species to iron limitation and differential photosynthetic plasticity under high irradiance. Iron limitation reduced colony formation in P. antarctica and decreased the chlorophyll-a content in Prorocentrum sp., whereas B-12 limitation did not affect growth or photosynthetic efficiency in either species. In addition, P. antarctica could photosynthesize efficiently under different irradiance levels, due to its ability to modulate the light adsorption cross-section of PSII, whereas Prorocentrum sp. exhibited lower photosynthetic plasticity and an inability to modulate both the maximum photochemical efficiency and effective adsorption cross-section of PSII under high irradiance. The trophic interaction between Prorocentrum sp. and P. antarctica could present ecological implications for the food webs and biogeochemical cycles of the Antarctic ecosystem. Considering the predicted climate-driven shifts in global ocean surface light regimes and changes in iron or vitamin B-12 transfer, which are most likely to impact changes in the phytoplankton community structure, our results present implications for carbon export to deeper waters, ecological functioning, and associated biogeochemical changes in the future.</t>
  </si>
  <si>
    <t>[Bolinesi, Francesco; Aceto, Serena; Cordone, Angelina; Valoroso, Maria Carmen; Mangoni, Olga] Univ Napoli Federico II, Dipartimento Biol, Via Cinthia 21, I-80126 Naples, Italy; [Saggiomo, Maria] Stn Zool Anton Dohrn, I-80121 Naples, Italy; [Serino, Emanuela; Mangoni, Olga] CoNISMa, Piazzale Flaminio 9, I-00196 Rome, Italy</t>
  </si>
  <si>
    <t>University of Naples Federico II; Stazione Zoologica Anton Dohrn di Napoli; CoNISMa</t>
  </si>
  <si>
    <t>Mangoni, O (corresponding author), Univ Napoli Federico II, Dipartimento Biol, Via Cinthia 21, I-80126 Naples, Italy.;Mangoni, O (corresponding author), CoNISMa, Piazzale Flaminio 9, I-00196 Rome, Italy.</t>
  </si>
  <si>
    <t>francesco.bolinesi@unina.it; m.saggio@szn.it; serena.aceto@unina.it; angelina.cordone@unina.it; elamanu88@gmail.com; mariacarmen.valoroso@unina.it; olga.mangoni@unina.it</t>
  </si>
  <si>
    <t>Cordone, Angelina/GLV-6283-2022; Cordone, Angelina/ACF-5367-2022; Valoroso, Maria Carmen/AAC-4135-2021</t>
  </si>
  <si>
    <t>Cordone, Angelina/0000-0002-6131-3145; MANGONI, Olga/0000-0001-7789-0820; Saggiomo, Maria/0000-0001-5794-0050; Aceto, Serena/0000-0003-3906-4872; Valoroso, Maria Carmen/0000-0002-4210-7098</t>
  </si>
  <si>
    <t>Italian National Program for Antarctic Research, under the Project P-ROSE [PNRA16_00239]; Italian National Program for Antarctic Research, under the Project CELEBeR [PNRA16_00207]</t>
  </si>
  <si>
    <t>Italian National Program for Antarctic Research, under the Project P-ROSE; Italian National Program for Antarctic Research, under the Project CELEBeR</t>
  </si>
  <si>
    <t>This study was funded by the Italian National Program for Antarctic Research, under the Projects P-ROSE (PNRA16_00239) and CELEBeR (PNRA16_00207).</t>
  </si>
  <si>
    <t>2076-3417</t>
  </si>
  <si>
    <t>APPL SCI-BASEL</t>
  </si>
  <si>
    <t>Appl. Sci.-Basel</t>
  </si>
  <si>
    <t>10.3390/app10196965</t>
  </si>
  <si>
    <t>Chemistry, Multidisciplinary; Engineering, Multidisciplinary; Materials Science, Multidisciplinary; Physics, Applied</t>
  </si>
  <si>
    <t>Chemistry; Engineering; Materials Science; Physics</t>
  </si>
  <si>
    <t>OO2UU</t>
  </si>
  <si>
    <t>WOS:000587240000001</t>
  </si>
  <si>
    <t>Styczynski, M; Rogowska, A; Gieczewska, K; Garstka, M; Szakiel, A; Dziewit, L</t>
  </si>
  <si>
    <t>Styczynski, Michal; Rogowska, Agata; Gieczewska, Katarzyna; Garstka, Maciej; Szakiel, Anna; Dziewit, Lukasz</t>
  </si>
  <si>
    <t>Genome-Based Insights into the Production of Carotenoids by Antarctic Bacteria, Planococcus sp. ANT_H30 and Rhodococcus sp. ANT_H53B</t>
  </si>
  <si>
    <t>MOLECULES</t>
  </si>
  <si>
    <t>antarctica; carotenoid; Planococcus; Rhodococcus; secondary metabolite</t>
  </si>
  <si>
    <t>SEQUENCE; ANNOTATION; VIRULENCE; DATABASE; ENZYMES; PROTEIN</t>
  </si>
  <si>
    <t>Antarctic regions are characterized by low temperatures and strong UV radiation. This harsh environment is inhabited by psychrophilic and psychrotolerant organisms, which have developed several adaptive features. In this study, we analyzed two Antarctic bacterial strains, Planococcus sp. ANT_H30 and Rhodococcus sp. ANT_H53B. The physiological analysis of these strains revealed their potential to produce various biotechnologically valuable secondary metabolites, including surfactants, siderophores, and orange pigments. The genomic characterization of ANT_H30 and ANT_H53B allowed the identification of genes responsible for the production of carotenoids and the in silico reconstruction of the pigment biosynthesis pathways. The complex manual annotation of the bacterial genomes revealed the metabolic potential to degrade a wide variety of compounds, including xenobiotics and waste materials. Carotenoids produced by these bacteria were analyzed chromatographically, and we proved their activity as scavengers of free radicals. The quantity of crude carotenoid extracts produced at two temperatures using various media was also determined. This was a step toward the optimization of carotenoid production by Antarctic bacteria on a larger scale.</t>
  </si>
  <si>
    <t>[Styczynski, Michal; Dziewit, Lukasz] Univ Warsaw, Dept Environm Microbiol &amp; Biotechnol, Inst Microbiol, Fac Biol, Miecznikowa 1, PL-02096 Warsaw, Poland; [Rogowska, Agata; Szakiel, Anna] Univ Warsaw, Inst Biochem, Dept Plant Biochem, Fac Biol, Miecznikowa 1, PL-02096 Warsaw, Poland; [Gieczewska, Katarzyna] Univ Warsaw, Inst Expt Plant Biol &amp; Biotechnol, Dept Plant Anat &amp; Cytol, Fac Biol, Miecznikowa 1, PL-02096 Warsaw, Poland; [Garstka, Maciej] Univ Warsaw, Inst Biochem, Dept Metab Regulat, Fac Biol, Miecznikowa 1, PL-02096 Warsaw, Poland</t>
  </si>
  <si>
    <t>University of Warsaw; University of Warsaw; University of Warsaw; University of Warsaw</t>
  </si>
  <si>
    <t>Dziewit, L (corresponding author), Univ Warsaw, Dept Environm Microbiol &amp; Biotechnol, Inst Microbiol, Fac Biol, Miecznikowa 1, PL-02096 Warsaw, Poland.</t>
  </si>
  <si>
    <t>mstyczynski@biol.uw.edu.pl; a.rogowska@biol.uw.edu.pl; kat.gieczewska@biol.uw.edu.pl; garstka@biol.uw.edu.pl; szakal@biol.uw.edu.pl; ldziewit@biol.uw.edu.pl</t>
  </si>
  <si>
    <t>Garstka, Maciej Z/T-4962-2018; a.rogowska@biol.uw.edu.pl, a.rogowska@biol.uw.edu.pl/AAM-5213-2021; Gieczewska, Katarzyna B./ABI-6264-2020; Szakiel, Anna/L-7025-2019; Dziewit, Lukasz/L-1131-2016</t>
  </si>
  <si>
    <t>a.rogowska@biol.uw.edu.pl, a.rogowska@biol.uw.edu.pl/0000-0002-7177-827X; Dziewit, Lukasz/0000-0002-5057-2811; Styczynski, Michal/0000-0003-0643-4582; Garstka, Maciej/0000-0001-7141-505X; Szakiel, Anna/0000-0001-6963-0666; Gieczewska, Katarzyna/0000-0001-5400-868X</t>
  </si>
  <si>
    <t>National Science Centre (Poland) [2016/23/B/NZ9/02909]</t>
  </si>
  <si>
    <t>National Science Centre (Poland)(National Science Centre, Poland)</t>
  </si>
  <si>
    <t>This research was funded by the National Science Centre (Poland), grant number 2016/23/B/NZ9/02909.</t>
  </si>
  <si>
    <t>1420-3049</t>
  </si>
  <si>
    <t>Molecules</t>
  </si>
  <si>
    <t>10.3390/molecules25194357</t>
  </si>
  <si>
    <t>Biochemistry &amp; Molecular Biology; Chemistry, Multidisciplinary</t>
  </si>
  <si>
    <t>OO2LE</t>
  </si>
  <si>
    <t>WOS:000587214900001</t>
  </si>
  <si>
    <t>Hoshino, S; Tateyama, K; Izumiyama, K</t>
  </si>
  <si>
    <t>Hoshino, Seita; Tateyama, Kazutaka; Izumiyama, Koh</t>
  </si>
  <si>
    <t>Classification of Ice in Lutzow-Holm Bay, East Antarctica, Using Data from ASCAT and AMSR2</t>
  </si>
  <si>
    <t>sea ice; ice sheet; ice classification; satellite-based remote-sensing; Antarctic</t>
  </si>
  <si>
    <t>SEA-ICE; THICKNESS; RECORD; GROWTH</t>
  </si>
  <si>
    <t>This paper presents an ice classification algorithm based on combined active and passive microwave radiometer data in Lutzow-Holm Bay (LHB), East Antarctica. The ice classification algorithm is developed based on the threshold values of an advanced scatterometer (ASCAT) and advanced microwave scanning radiometer 2 (here, AMSR2). These values are calculated via the features of various ice types, including open ice, first-year (FY) ice, multi-year (MY) ice, MY ice including icebergs (MY IB), ice shelves, coastal ice sheets, and inland ice sheets. To verify the validity of the ice classification algorithm, the algorithm results are compared with visual observation data and satellite imagery. Except for the flaw polynya and area with surface melting, the FY ice, MY ice, and the ice shelf areas estimated here using the proposed ice classification algorithm match those discernible from the verification data. Inter-annual changes in the areal extents of FY ice, MY ice, and the ice shelves are investigated here using the proposed ice classification algorithm. Investigation of MY ice and ice shelf areas revealed that the breakup of MY ice induced a breakup of an ice shelf. A comparison of the FY ice and MY ice areas showed the replacement of these ice types. The proposed ice classification algorithm can detect ice breakup events as quantitative changes in the distribution and ice type. In future work, we plan to classify sea ice in other sea ice areas, applying the proposed algorithm throughout the Antarctic region.</t>
  </si>
  <si>
    <t>[Hoshino, Seita] Japan Aero Explorat Agcy, Aeronaut Technol Directorate, 6-13-1 Osawa Mitaka, Tokyo 1830002, Japan; [Tateyama, Kazutaka] Kitami Inst Technol, Environm Protect &amp; Disaster Prevent Course Progra, 165 Koen Cho, Kitami, Hokkaido 0908507, Japan; [Izumiyama, Koh] Hokkaido Univ, Arctic Res Ctr, Kita Ku, Kita 21, Sapporo, Hokkaido 0010021, Japan</t>
  </si>
  <si>
    <t>Kitami Institute of Technology; Hokkaido University</t>
  </si>
  <si>
    <t>Hoshino, S (corresponding author), Japan Aero Explorat Agcy, Aeronaut Technol Directorate, 6-13-1 Osawa Mitaka, Tokyo 1830002, Japan.</t>
  </si>
  <si>
    <t>hoshino.seita@jaxa.jp; tateyaka@mail.kitami-it.ac.jp; kohmac@celery.ocn.ne.jp</t>
  </si>
  <si>
    <t>NASA; JAXA Second Research Announcement on the Earth Observations</t>
  </si>
  <si>
    <t>NASA(National Aeronautics &amp; Space Administration (NASA)); JAXA Second Research Announcement on the Earth Observations</t>
  </si>
  <si>
    <t>The AMSR2 brightness temperature and sea-ice concentration product was provided by Japan Aerospace Exploration Agency. Normalized radar cross-section data were obtained from the NASA sponsored Scatterometer Climate Record Pathfinder at Brigham Young University courtesy of David G. Long. We acknowledge the use of imagery from the NASAWorldview application https://worldview.earthdata.nasa.gov), which is part of the NASA Earth Observing System Data and Information System (EOSDIS). This study was supported by the JAXA Second Research Announcement on the Earth Observations. We thank Benjamin Knight, MSc., from Edanz Group (https://en-author-services.edanzgroup.com/ac) for editing a draft of this manuscript.</t>
  </si>
  <si>
    <t>10.3390/rs12193179</t>
  </si>
  <si>
    <t>ON1TB</t>
  </si>
  <si>
    <t>WOS:000586491400001</t>
  </si>
  <si>
    <t>Mun, CL; Ling, CMWV</t>
  </si>
  <si>
    <t>Mun, Chin Lai; Ling, Clemente Michael Wong Vui</t>
  </si>
  <si>
    <t>Effects of Elevated Temperature on the Tropical Soil Bacterial Diversity</t>
  </si>
  <si>
    <t>SAINS MALAYSIANA</t>
  </si>
  <si>
    <t>16S metagenomic sequencing; growth chamber; soil bacteria; temperature</t>
  </si>
  <si>
    <t>CLIMATE-CHANGE; COMMUNITIES; MICROORGANISMS; GROWTH; RESPONSES; DYNAMICS; LIFE</t>
  </si>
  <si>
    <t>Bacteria are important biological components of soil that play pivotal roles in improving soil quality and maintaining a balanced ecosystem. However, global climate change may have severe impacts on biodiversity and ecosystems including species loss and extinction of plants and animals, including microbes. Thus, it is crucial to determine how elevated temperature may alter soil bacterial diversity and composition. In this study, an in vitro simulated temperature rise experiment was carried out on soils from three sampling sites, referring to S1, S2, and S3 around Sabah, Malaysia. Soils were incubated at 25 degrees C (control) and 27 degrees C (simulated warming) with constant parameters in a growth chamber up to 16 months. Total DNA was extracted from microbes in the soil and used for PCR amplcation targeting the V3-V4 region of the 16S rRNA gene. These amplicons were sequenced using the MiSeq platform (Illumina, USA). Raw DNA sequences were trimmed, merged, and aligned against the 16S rRNA sequences in the NCBI 16S database. The results showed that the analyzed soils were mainly dominated by Proteobacteria, Actinobacteria. Acidobacteria, and Verrucomicrobia. After 16 months of simulated warming, a net decrease of Proteobacteria, Acidobacteria, and Planctomycetes, and an increase of Actinobacteria and Chloroflexi were observed for all three soil samples, indicating that these phyla were highly affected by a temperature rise. At the genus level, Gaiella and Nocardioides exhibited a net increase while Bradyrhizobium, Mycobacterium. Tepidisphaera, and Paludibaculum demonstrated net decrease after 16 months of simulated warming. Knowledge on the changes of soil bacterial diversity patterns as a result of temperature elevation will contribute to select the best intervention strategy to overcome global warming issue in the future.</t>
  </si>
  <si>
    <t>[Mun, Chin Lai; Ling, Clemente Michael Wong Vui] Univ Malaysia Sabah, Biotechnol Res Inst, Jalan UMS, Kota Kinabalu 88400, Sabah, Malaysia; [Ling, Clemente Michael Wong Vui] Univ Malaya, Natl Antarctic Res Ctr, Kuala Lumpur 50603, Malaysia</t>
  </si>
  <si>
    <t>Universiti Malaysia Sabah; Universiti Malaya</t>
  </si>
  <si>
    <t>Ling, CMWV (corresponding author), Univ Malaysia Sabah, Biotechnol Res Inst, Jalan UMS, Kota Kinabalu 88400, Sabah, Malaysia.;Ling, CMWV (corresponding author), Univ Malaya, Natl Antarctic Res Ctr, Kuala Lumpur 50603, Malaysia.</t>
  </si>
  <si>
    <t>michaelw@ums.edu.my</t>
  </si>
  <si>
    <t>Wong, Clemente Michael Vui Ling/M-8372-2013</t>
  </si>
  <si>
    <t>Wong, Clemente Michael Vui Ling/0000-0003-3431-8896</t>
  </si>
  <si>
    <t>Ministry of Science, Technology, and Innovation (MOSTI), Malaysia [1: FP0712E012]</t>
  </si>
  <si>
    <t>Ministry of Science, Technology, and Innovation (MOSTI), Malaysia(Ministry of Energy, Science, Technology, Environment and Climate Change (MESTECC), Malaysia)</t>
  </si>
  <si>
    <t>The funding support from the Ministry of Science, Technology, and Innovation (MOSTI), Malaysia, under the Antarctica Flagship Programme (Sub-Project 1: FP0712E012) is gratefully acknowledged.</t>
  </si>
  <si>
    <t>UNIV KEBANGSAAN MALAYSIA</t>
  </si>
  <si>
    <t>SELANGOR</t>
  </si>
  <si>
    <t>FACULTY SCIENCE &amp; TECHNOLOGY, BANGI, SELANGOR, 43600, MALAYSIA</t>
  </si>
  <si>
    <t>0126-6039</t>
  </si>
  <si>
    <t>SAINS MALAYS</t>
  </si>
  <si>
    <t>Sains Malays.</t>
  </si>
  <si>
    <t>10.17576/jsm-2020-4910-01</t>
  </si>
  <si>
    <t>OO2YP</t>
  </si>
  <si>
    <t>gold, Green Accepted</t>
  </si>
  <si>
    <t>WOS:000587250100001</t>
  </si>
  <si>
    <t>Hayashida, H; Carnat, G; Galí, M; Monahan, AH; Mortenson, E; Sou, T; Steiner, NS</t>
  </si>
  <si>
    <t>Hayashida, Hakase; Carnat, Gauthier; Gali, Marti; Monahan, Adam H.; Mortenson, Eric; Sou, Tessa; Steiner, Nadja S.</t>
  </si>
  <si>
    <t>Spatiotemporal Variability in Modeled Bottom Ice and Sea Surface Dimethylsulfide Concentrations and Fluxes in the Arctic During 1979-2015</t>
  </si>
  <si>
    <t>sea ice biogeochemistry; Arctic Ocean; dimethylsulfide emission; ice algae; numerical model simulation</t>
  </si>
  <si>
    <t>CHLOROPHYLL-A; BIOGEOCHEMICAL MODEL; SNOW DEPTH; OCEAN; DMS; PHYTOPLANKTON; AEROSOLS; SULFIDE; CARBON; LIGHT</t>
  </si>
  <si>
    <t>Field observations suggest that oceanic emissions of dimethylsulfide (DMS) may play a dominant role in the production of Arctic aerosols and clouds and therefore modulate the surface irradiance, during spring and summer. DMS is produced not only in the water column but also in various sea ice habitats. The ongoing recession of Arctic sea ice is expected to enhance DMS emissions, but the magnitude of this increase is highly uncertain. Here we investigate the spatiotemporal variability in bottom ice and sea surface DMS concentrations and fluxes using a regional sea ice-ocean physical-biogeochemical model. Model results indicate that the observed accelerated decline of Arctic sea ice extent since the beginning of the 21st century is associated with upward trends in May-August pan-Arctic-averaged sea surface DMS concentration and sea-to-air DMS flux. On the other hand, strong interannual variability and statistically insignificant trends are found for bottom ice DMS concentration and ice-to-sea DMS flux, owing to the counteracting effects of the shrinking horizontal extent and the vertical thinning of sea ice on ice algal production. The pan-Arctic DMS climatology products based on model simulation and satellite algorithms provide dynamically based spatial details that are absent in the in situ measurement-based climatology due to limited spatiotemporal data coverage and inevitable extrapolation bias. Lastly, model results indicate that the bottom ice DMS and its precursor dimethylsulfoniopropionate production can be the only local source of oceanic DMS emissions into the atmosphere during May prior to pelagic blooms, suggesting that it may be a key component of the biological control on Arctic climate at that time.</t>
  </si>
  <si>
    <t>[Hayashida, Hakase; Monahan, Adam H.; Mortenson, Eric] Univ Victoria, Sch Earth &amp; Ocean Sci, Victoria, BC, Canada; [Hayashida, Hakase] Univ Tasmania, Inst Marine &amp; Antarctic Studies, Hobart, Tas, Australia; [Carnat, Gauthier] Univ Libre Bruxelles, Lab Glaciol, Brussels, Belgium; [Gali, Marti] Barcelona Supercomp Ctr, Dept Earth Sci, Barcelona, Spain; [Mortenson, Eric] CSIRO Marine &amp; Atmospher Res, Hobart, Spain; [Sou, Tessa; Steiner, Nadja S.] Inst Ocean Sci Fisheries &amp; Oceans Canada, Sidney, BC, Canada</t>
  </si>
  <si>
    <t>University of Victoria; University of Tasmania; Universite Libre de Bruxelles; Universitat Politecnica de Catalunya; Barcelona Supercomputer Center (BSC-CNS); Commonwealth Scientific &amp; Industrial Research Organisation (CSIRO); Fisheries &amp; Oceans Canada</t>
  </si>
  <si>
    <t>Hayashida, H (corresponding author), Univ Victoria, Sch Earth &amp; Ocean Sci, Victoria, BC, Canada.;Hayashida, H (corresponding author), Univ Tasmania, Inst Marine &amp; Antarctic Studies, Hobart, Tas, Australia.</t>
  </si>
  <si>
    <t>hakase.hayashida@utas.edu.au</t>
  </si>
  <si>
    <t>Hayashida, Hakase/AAY-4151-2020; Galí, Martí/L-1541-2013</t>
  </si>
  <si>
    <t>Hayashida, Hakase/0000-0002-6349-4947; Galí, Martí/0000-0002-5587-1271; Steiner, Nadja/0000-0001-7456-3437</t>
  </si>
  <si>
    <t>NETCARE; ArcticNet; Fisheries and Oceans; Environment and Climate Change Canada; Fisheries and Oceans' Aquatic Climate Change Adaptation Services Program (ACCASP); WestGrid; Compute Canada</t>
  </si>
  <si>
    <t>We thank James R. Christian for his helpful comments on an earlier version of this manuscript. The present study contributes to the SCOR Working group on Biogeochemical Exchange Processes at Sea Ice Interfaces (BEPSII), the Network on Climate and Aerosols: Addressing Key Uncertainties in Remote Canadian Environments (NETCARE), and ArcticNet. We acknowledge funding from NETCARE and ArcticNet. N. S. acknowledges support from Fisheries and Oceans and Environment and Climate Change Canada. T. S. acknowledges support through Fisheries and Oceans' Aquatic Climate Change Adaptation Services Program (ACCASP). This research was enabled in part by support provided by WestGrid and Compute Canada. We are grateful to Belaid Moa for computational support.</t>
  </si>
  <si>
    <t>e2019GB006456</t>
  </si>
  <si>
    <t>10.1029/2019GB006456</t>
  </si>
  <si>
    <t>ON2YC</t>
  </si>
  <si>
    <t>WOS:000586572100007</t>
  </si>
  <si>
    <t>Cochran, JR; Tinto, KJ; Bell, RE</t>
  </si>
  <si>
    <t>Cochran, James R.; Tinto, Kirsty J.; Bell, Robin E.</t>
  </si>
  <si>
    <t>Detailed Bathymetry of the Continental Shelf Beneath the Getz Ice Shelf, West Antarctica</t>
  </si>
  <si>
    <t>PINE ISLAND GLACIER; AMUNDSEN SEA EMBAYMENT; SUBGLACIAL BATHYMETRY; BED TOPOGRAPHY; SHEET; GRAVITY; GREENLAND; RETREAT; BAY; AEROGRAVITY</t>
  </si>
  <si>
    <t>The Getz Ice Shelf (GIS) produces major amounts of basal meltwater due to intrusions of warm modified Circumpolar Deep Water (mCDW) beneath the ice shelf. However, multiple cavity openings and complex geography mean that knowledge of bathymetry beneath the GIS is required to understand ice/ocean interactions. We invert NASA airborne gravity data to obtain bathymetry beneath the ice shelf. Our gravity/geology-constrained bathymetry is a significant advance on Bedmap2 bathymetry. The sub-ice shelf bathymetry consists of three cavities separated by topographic ridges extending from the ice shelf front to the grounding line. Passages allowing limited circulation of shallow (less than or similar to 400 meters below sea level [mbsl]) water between cavities are present, but deeper water is confined to individual cavities. Within each cavity, bathymetric troughs (&gt;900 mbsl) extend from the ice shelf front to subglacial valleys beneath the ice sheet. Our analysis of the gravity data also allows us to infer the presence of thick (&gt;500 m) sediments near the grounding line through much of the GIS, as well as variations in the density and/or thickness of the crust underlying the ice shelf. Plain Language Summary Floating ice shelves surrounding Antarctica slow the flow of the Antarctic Ice Sheet toward the ocean. West Antarctic ice shelves, including the large Getz Ice Shelf, have thinned significantly over the past 20 years, due in part to increased flow of warming ocean water into the ocean cavities beneath them. This thinning results in acceleration of ice flowing into the ocean, so that more ice goes afloat, raising sea level. We mapped the shape of the ocean floor beneath the Getz Ice Shelf, which controls water circulation under the ice shelf. We found the ice shelf has three separate portions each with deep troughs that provide pathways for warm water to the edge of the ice sheet.</t>
  </si>
  <si>
    <t>[Cochran, James R.; Tinto, Kirsty J.; Bell, Robin E.] Columbia Univ, Lamont Doherty Earth Observ, Palisades, NY 10964 USA</t>
  </si>
  <si>
    <t>Columbia University</t>
  </si>
  <si>
    <t>Cochran, JR (corresponding author), Columbia Univ, Lamont Doherty Earth Observ, Palisades, NY 10964 USA.</t>
  </si>
  <si>
    <t>jrc@ldeo.columbia.edu</t>
  </si>
  <si>
    <t>NASA [NNX09AR49G, NNX10AT69G, NNX13AD25A, NNX16J65G]; NASA [122477, NNX13AD25A, 105907, NNX09AR49G, NNX10AT69G, 475108] Funding Source: Federal RePORTER</t>
  </si>
  <si>
    <t>NASA(National Aeronautics &amp; Space Administration (NASA)); NASA(National Aeronautics &amp; Space Administration (NASA))</t>
  </si>
  <si>
    <t>We thank the aircrews and instrument teams on the OIB deployments during which these data were collected and, in particular, the LDEO and SGL gravity crews. We thank Jonny Kingslake and Stan Jacobs for valuable comments and suggestions that greatly improved the manuscript and David Porter for helpful discussions. We also thank Michael Wood and two anonymous reviewers for useful comments. The GMT software package (Wessel &amp; Smith, 1998) was used extensively in data analysis and preparation of figures. This work was supported by NASA grants NNX09AR49G, NNX10AT69G, NNX13AD25A, and NNX16J65G.</t>
  </si>
  <si>
    <t>e2019JF005493</t>
  </si>
  <si>
    <t>10.1029/2019JF005493</t>
  </si>
  <si>
    <t>ON1DO</t>
  </si>
  <si>
    <t>WOS:000586451100005</t>
  </si>
  <si>
    <t>Gilford, DM; Ashe, EL; DeConto, RM; Kopp, RE; Pollard, D; Rovere, A</t>
  </si>
  <si>
    <t>Gilford, Daniel M.; Ashe, Erica L.; DeConto, Robert M.; Kopp, Robert E.; Pollard, David; Rovere, Alessio</t>
  </si>
  <si>
    <t>Could the Last Interglacial Constrain Projections of Future Antarctic Ice Mass Loss and Sea-Level Rise?</t>
  </si>
  <si>
    <t>emulation; ice‐ sheet modeling; Last Interglacial; sea‐ level rise; Antarctic ice sheet; Bayesian statistics</t>
  </si>
  <si>
    <t>PROBABILISTIC ASSESSMENT; SHEET COLLAPSE; MODEL; CLIMATE; RETREAT; GREENLAND; SENSITIVITY; DIAGNOSTICS; RATES</t>
  </si>
  <si>
    <t>Previous studies have interpreted Last Interglacial (LIG; similar to 129-116 ka) sea-level estimates in multiple different ways to calibrate projections of future Antarctic ice-sheet (AIS) mass loss and associated sea-level rise. This study systematically explores the extent to which LIG constraints could inform future Antarctic contributions to sea-level rise. We develop a Gaussian process emulator of an ice-sheet model to produce continuous probabilistic projections of Antarctic sea-level contributions over the LIG and a future high-emissions scenario. We use a Bayesian approach conditioning emulator projections on a set of LIG constraints to find associated likelihoods of model parameterizations. LIG estimates inform both the probability of past and future ice-sheet instabilities and projections of future sea-level rise through 2150. Although best-available LIG estimates do not meaningfully constrain Antarctic mass loss projections or physical processes until 2060, they become increasingly informative over the next 130 years. Uncertainties of up to 50 cm remain in future projections even if LIG Antarctic mass loss is precisely known (+/- 5 cm), indicating that there is a limit to how informative the LIG could be for ice-sheet model future projections. The efficacy of LIG constraints on Antarctic mass loss also depends on assumptions about the Greenland ice sheet and LIG sea-level chronology. However, improved field measurements and understanding of LIG sea levels still have potential to improve future sea-level projections, highlighting the importance of continued observational efforts.</t>
  </si>
  <si>
    <t>[Gilford, Daniel M.; Kopp, Robert E.] Rutgers State Univ, Inst Earth Ocean &amp; Atmospher Sci, New Brunswick, NJ 08854 USA; [Gilford, Daniel M.; Ashe, Erica L.; Kopp, Robert E.] Rutgers State Univ, Dept Earth &amp; Planetary Sci, Piscataway, NJ 08854 USA; [DeConto, Robert M.] Univ Massachusetts, Dept Geosci, Amherst, MA USA; [Pollard, David] Penn State Univ, Earth &amp; Environm Syst Inst, University Pk, PA 16802 USA; [Rovere, Alessio] Univ Bremen, MARUM, Ctr Marine Environm Sci, Bremen, Germany</t>
  </si>
  <si>
    <t>Rutgers University System; Rutgers University New Brunswick; Rutgers University System; Rutgers University New Brunswick; University of Massachusetts System; University of Massachusetts Amherst; Pennsylvania Commonwealth System of Higher Education (PCSHE); Pennsylvania State University; Pennsylvania State University - University Park; University of Bremen</t>
  </si>
  <si>
    <t>Gilford, DM (corresponding author), Rutgers State Univ, Inst Earth Ocean &amp; Atmospher Sci, New Brunswick, NJ 08854 USA.;Gilford, DM (corresponding author), Rutgers State Univ, Dept Earth &amp; Planetary Sci, Piscataway, NJ 08854 USA.</t>
  </si>
  <si>
    <t>daniel.gilford@rutgers.edu</t>
  </si>
  <si>
    <t>IPO, PAGES/JXY-7546-2024; Kopp, Robert E/B-8822-2008; Rovere, Alessio/C-4262-2011</t>
  </si>
  <si>
    <t>Kopp, Robert/0000-0003-4016-9428; eric, azhe/0009-0002-4135-7236; Ashe, Erica/0000-0002-7445-6321; Rovere, Alessio/0000-0001-5575-1168</t>
  </si>
  <si>
    <t>NSF [ICER-1663807, OCE-1702587]; NASA [80NSSC17K0698]; European Research Council, under the European Union [802414]; Swiss Academy of Sciences; Chinese Academy of Sciences; European Research Council (ERC) [802414] Funding Source: European Research Council (ERC)</t>
  </si>
  <si>
    <t>NSF(National Science Foundation (NSF)); NASA(National Aeronautics &amp; Space Administration (NASA)); European Research Council, under the European Union(European Research Council (ERC)); Swiss Academy of Sciences; Chinese Academy of Sciences(Chinese Academy of Sciences); European Research Council (ERC)(European Research Council (ERC)Spanish Government)</t>
  </si>
  <si>
    <t>We thank Andrea Dutton, Anna Ruth Halberstadt, Jacky Austermann, three anonymous reviewers, and the editors for helpful comments which improved this manuscript. D. G., R. K., R. D., and D. P. were supported by NSF Grant ICER-1663807 and NASA Grant 80NSSC17K0698. E. A. and R. K. were supported by NSF Grant OCE-1702587. A. R. is supported by the European Research Council, under the European Union's Horizon 2020 research and innovation programme (grant agreement no. 802414). This paper grew, in part, out of discussions at the 2018 PALeo constraints on SEA level rise (PALSEA) annual meeting (see Capron et al., 2019). PALSEA is a working group of the International Union for Quaternary Sciences (INQUA) and Past Global Changes (PAGES), which in turn received support from the Swiss Academy of Sciences and the Chinese Academy of Sciences.</t>
  </si>
  <si>
    <t>e2019JF005418</t>
  </si>
  <si>
    <t>10.1029/2019JF005418</t>
  </si>
  <si>
    <t>WOS:000586451100011</t>
  </si>
  <si>
    <t>Kodama, Y; Tomioka, N; Ito, M; Imae, N</t>
  </si>
  <si>
    <t>Kodama, Yu; Tomioka, Naotaka; Ito, Motoo; Imae, Naoya</t>
  </si>
  <si>
    <t>Developments in microfabrication of mineral samples for simultaneous EBSD-EDS analysis utilizing an FIB-SEM instrument: study on an S-type cosmic spherule from Antarctica</t>
  </si>
  <si>
    <t>JOURNAL OF MINERALOGICAL AND PETROLOGICAL SCIENCES</t>
  </si>
  <si>
    <t>Focused ion beam; Broad ion beam; Electron backscattered diffraction; Cosmic spherule</t>
  </si>
  <si>
    <t>ELECTRON-MICROSCOPY; CRYSTAL-STRUCTURE; ION</t>
  </si>
  <si>
    <t>A focused ion beam (FIB) scanning electron microscope (SEM) equipped with a low-energy Ar-ion gun, an electron back-scattered diffraction (EBSD) detector, and an energy dispersive spectrometer (EDS) was newly developed for microfabrication, followed by submicroscopic chemical and crystallographic analyses in an identical sample chamber. The surface condition of mineral samples requires extreme care during FIB milling process, especially for EBSD measurement, as the EBSD pattern is greatly affected by a damaged amorphous surface caused by a high-energy Ga-ion beam (30 keV), even when this damaged layer is only tens of nanometers in thickness. Low-energy broad Ar-ion beam milling (1 keV) overcomes this problem and allows us to obtain sharp EBSD patterns. We applied the microfabrication-analysis protocol to a cosmic spherule. Comprehensive mineralogical datasets from SEM images, X-ray elemental maps, and EBSD patterns were successfully obtained from a minute mineral sample, where conventional cutting and polishing processes are not possible.</t>
  </si>
  <si>
    <t>[Kodama, Yu] Marine Works Japan Ltd, Dept Marine &amp; Earth Sci, Yokosuka, Kanagawa 2370063, Japan; [Tomioka, Naotaka; Ito, Motoo] Japan Agcy Marine Earth Sci &amp; Technol JAMSTEC, Kochi Inst Core Sample Res, Kochi 7838502, Japan; [Imae, Naoya] Natl Inst Polar Res, Antarctic Meteorite Res Ctr, Tokyo 1908518, Japan</t>
  </si>
  <si>
    <t>Japan Agency for Marine-Earth Science &amp; Technology (JAMSTEC); Research Organization of Information &amp; Systems (ROIS); National Institute of Polar Research (NIPR) - Japan</t>
  </si>
  <si>
    <t>Kodama, Y (corresponding author), Marine Works Japan Ltd, Dept Marine &amp; Earth Sci, Yokosuka, Kanagawa 2370063, Japan.</t>
  </si>
  <si>
    <t>kodamay334@gmail.com</t>
  </si>
  <si>
    <t>Tomioka, Naotaka/B-1888-2011</t>
  </si>
  <si>
    <t>Tomioka, Naotaka/0000-0001-5725-9513</t>
  </si>
  <si>
    <t>JSPS KAKENHI [15H03750, 26287142, 18K18795, 18H04468]; Grants-in-Aid for Scientific Research [18H04468, 26287142, 15H03750, 18K18795, 20H01965] Funding Source: KAKEN</t>
  </si>
  <si>
    <t>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</si>
  <si>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This work was partially supported by the JSPS KAKENHI Grants No. 15H03750 to N. T. and No. 26287142, 18K18795, and 18H04468 to M. I. We thank J. Ando for providing natural quartz samples. The Antarctic cosmic spherules were provided by the Antarctic Meteorite Research Center of the National Institute of Polar Research. Constructive comments from T. Mikouchi and two anonymous reviewers are helpful to improve the manuscript.</t>
  </si>
  <si>
    <t>JAPAN ASSOC MINERALOGICAL SCIENCES</t>
  </si>
  <si>
    <t>SENDAI</t>
  </si>
  <si>
    <t>C/O GRAD SCH SCIENCES, TOHOKU UNIV, AOBA, SENDAI, 980-8578, JAPAN</t>
  </si>
  <si>
    <t>1345-6296</t>
  </si>
  <si>
    <t>1349-3825</t>
  </si>
  <si>
    <t>J MINER PETROL SCI</t>
  </si>
  <si>
    <t>J. Mineral. Petrol. Sci.</t>
  </si>
  <si>
    <t>10.2465/jmps.181227</t>
  </si>
  <si>
    <t>Mineralogy</t>
  </si>
  <si>
    <t>ON0UK</t>
  </si>
  <si>
    <t>WOS:000586427300004</t>
  </si>
  <si>
    <t>Gómez-Espinoza, O; González-Ramírez, D; Bresta, P; Karabourniotis, G; Bravo, LA</t>
  </si>
  <si>
    <t>Gomez-Espinoza, Olman; Gonzalez-Ramirez, Daniel; Bresta, Panagiota; Karabourniotis, George; Bravo, Leon A.</t>
  </si>
  <si>
    <t>Decomposition of Calcium Oxalate Crystals in Colobanthus quitensis under CO2 Limiting Conditions</t>
  </si>
  <si>
    <t>PLANTS-BASEL</t>
  </si>
  <si>
    <t>alarm photosynthesis; Antarctic; oxalate oxidase</t>
  </si>
  <si>
    <t>ANTARCTIC VASCULAR PLANTS; PHOTOSYNTHESIS; RESPONSES; TRAITS</t>
  </si>
  <si>
    <t>Calcium oxalate (CaOx) crystals are widespread among plant species. Their functions are not yet completely understood; however, they can provide tolerance against multiple environmental stress factors. Recent evidence suggested that CaOx crystals function as carbon reservoirs since its decomposition provides CO2 that may be used as carbon source for photosynthesis. This might be advantageous in plants with reduced mesophyll conductance, such as the Antarctic plant Colobanthus quitensis, which have shown CO2 diffusion limitations. In this study, we evaluate the effect of two CO2 concentrations in the CaOx crystals decomposition and chlorophyll fluorescence of C. quitensis. Plants were exposed to airflows with 400 ppm and 11.5 ppm CO2 and the number and relative size of crystals, electron transport rate (ETR), and oxalate oxidase (OxO) activity were monitored along time (10 h). Here we showed that leaf crystal area decreases over time in plants with 11.5 ppm CO2, which was accompanied by increased OxO activity and only a slight decrease in the ETR. These results suggested a relation between CO2 limiting conditions and the CaOx crystals decomposition in C. quitensis. Hence, crystal decomposition could be a complementary endogenous mechanism for CO2 supply in plants facing the Antarctic stressful habitat.</t>
  </si>
  <si>
    <t>[Gomez-Espinoza, Olman; Bravo, Leon A.] Univ La Frontera, Lab Fisiol &amp; Biol Mol Vegetal, Fac Ciencias Agr &amp; Forestales, Inst Agroind,Dept Ciencias Agron &amp; Recursos Nat, Temuco 1145, Chile; [Gomez-Espinoza, Olman; Bravo, Leon A.] Univ La Frontera, Ctr Plant Soil Interact &amp; Nat Resources Biotechno, Sci &amp; Technol Bioresource Nucleus, Temuco 1145, Chile; [Gomez-Espinoza, Olman; Gonzalez-Ramirez, Daniel] Inst Tecnol Costa Rica, Ctr Invest Biotecnol, Escuela Biol, Cartago 30101, Costa Rica; [Bresta, Panagiota; Karabourniotis, George] Agr Univ Athens, Fac Crop Sci, Lab Plant Physiol &amp; Morphol, Athens 11855, Greece</t>
  </si>
  <si>
    <t>Universidad de La Frontera; Universidad de La Frontera; Instituto Tecnologico de Costa Rica; Agricultural University of Athens</t>
  </si>
  <si>
    <t>Bravo, LA (corresponding author), Univ La Frontera, Lab Fisiol &amp; Biol Mol Vegetal, Fac Ciencias Agr &amp; Forestales, Inst Agroind,Dept Ciencias Agron &amp; Recursos Nat, Temuco 1145, Chile.;Bravo, LA (corresponding author), Univ La Frontera, Ctr Plant Soil Interact &amp; Nat Resources Biotechno, Sci &amp; Technol Bioresource Nucleus, Temuco 1145, Chile.</t>
  </si>
  <si>
    <t>o.gomez01@ufromail.cl; daniel.agr13@estudiantec.cr; brestapan@aua.gr; karab@aua.gr; leon.bravo@ufrontera.cl</t>
  </si>
  <si>
    <t>BRESTA, PANAGIOTA/AAC-2620-2021; Bravo, León/AAO-8437-2020; Karabourniotis, George/ABI-3014-2020; Gómez-Espinoza, Olman/AAM-6780-2021</t>
  </si>
  <si>
    <t>BRESTA, PANAGIOTA/0000-0001-5313-0472; Bravo, León/0000-0003-4705-4842; Gómez-Espinoza, Olman/0000-0002-8878-078X</t>
  </si>
  <si>
    <t>Instituto Antartico Chileno (INACH) [DG_10_18]; Chilean National Commission for Scientific and Technological Research [CONICYT-PFCHA/Doctorado Nacional/2017-21170265]; Network for Extreme Environments Research, (NEXER) Grant [NXR 17-0002]</t>
  </si>
  <si>
    <t>Instituto Antartico Chileno (INACH); Chilean National Commission for Scientific and Technological Research; Network for Extreme Environments Research, (NEXER) Grant</t>
  </si>
  <si>
    <t>This research was funded by the Instituto Antartico Chileno (INACH), Grant DG_10_18; the Chilean National Commission for Scientific and Technological Research (CONICYT-PFCHA/Doctorado Nacional/2017-21170265 to O.G-E) and the Network for Extreme Environments Research, (NEXER) Grant NXR 17-0002.</t>
  </si>
  <si>
    <t>2223-7747</t>
  </si>
  <si>
    <t>Plants-Basel</t>
  </si>
  <si>
    <t>10.3390/plants9101307</t>
  </si>
  <si>
    <t>ON8HP</t>
  </si>
  <si>
    <t>WOS:000586935000001</t>
  </si>
  <si>
    <t>Sin, E; Ahn, IY; Park, S; Kim, T</t>
  </si>
  <si>
    <t>Sin, Eunchong; Ahn, In-Young; Park, Seojeong; Kim, Taewon</t>
  </si>
  <si>
    <t>Effects of Low pH and Low Salinity Induced by Meltwater Inflow on the Behavior and Physical Condition of the Antarctic Limpet, Nacella concinna</t>
  </si>
  <si>
    <t>ocean acidification; glacial retreat; meltwater; Nacella concinna; Marian Cove; shell dissolution</t>
  </si>
  <si>
    <t>KING GEORGE ISLAND; OCEAN ACIDIFICATION; BENTHIC ASSEMBLAGES; SHELL MORPHOLOGY; ICE DISTURBANCE; GLACIAL RUNOFF; CLIMATE-CHANGE; MARIAN COVE; WEST; RESPONSES</t>
  </si>
  <si>
    <t>Seawater acidification and freshening in the intertidal zone of Marian Cove, Antarctica, which occurs by the freshwater inflow from snow fields and glaciers, could affect the physiology and behavior of intertidal marine organisms. In this study, we exposed Antarctic limpets, Nacella concinna, to two different pH (8.00 and 7.55) and salinity (34.0 and 27.0 psu) levels and measured their righting ability after being flipped over, mortality, condition factor, and shell dissolution. During the 35-day exposure, there was no significant difference in behavior and mortality between different treatments. However, the condition factor was negatively affected by low salinity. Both low pH and low salinity negatively influenced shell formation by decreasing the aragonite saturation state (omega(arg)) and enhancing shell dissolution. Our results suggest that, though limpets can tolerate short-term low pH and salinity conditions, intrusions of meltwater accompanied by the glacial retreat may act as a serious threat to the population of N. concinna.</t>
  </si>
  <si>
    <t>[Sin, Eunchong; Ahn, In-Young] Korea Polar Res Inst, Div Polar Ocean Sci, 26 Songdomirae Ro, Incheon 21990, South Korea; [Park, Seojeong; Kim, Taewon] Inha Univ, Dept Ocean Sci, 100 Inha Ro, Incheon 22212, South Korea; [Park, Seojeong; Kim, Taewon] Inha Univ, Program Biomed Sci &amp; Engn, 100 Inha Ro, Incheon 22212, South Korea</t>
  </si>
  <si>
    <t>Korea Polar Research Institute (KOPRI); Inha University; Inha University</t>
  </si>
  <si>
    <t>Kim, T (corresponding author), Inha Univ, Dept Ocean Sci, 100 Inha Ro, Incheon 22212, South Korea.;Kim, T (corresponding author), Inha Univ, Program Biomed Sci &amp; Engn, 100 Inha Ro, Incheon 22212, South Korea.</t>
  </si>
  <si>
    <t>chong@mabik.re.kr; iahn@kopri.re.kr; seojeong_park@naver.com; ktwon@inha.ac.kr</t>
  </si>
  <si>
    <t>Korea Polar Research Institute [PE19070, PE20120]</t>
  </si>
  <si>
    <t>This work was supported by the Korea Polar Research Institute, under grant nos. PE19070 and PE20120.</t>
  </si>
  <si>
    <t>10.3390/jmse8100822</t>
  </si>
  <si>
    <t>OM6XT</t>
  </si>
  <si>
    <t>WOS:000586165600001</t>
  </si>
  <si>
    <t>Grzybek, M; Tolkacz, K; Sironen, T; Maki, S; Alsarraf, M; Behnke-Borowczyk, J; Biernat, B; Nowicka, J; Vaheri, A; Henttonen, H; Behnke, JM; Bajer, A</t>
  </si>
  <si>
    <t>Grzybek, Maciej; Tolkacz, Katarzyna; Sironen, Tarja; Maki, Sanna; Alsarraf, Mohammed; Behnke-Borowczyk, Jolanta; Biernat, Beata; Nowicka, Joanna; Vaheri, Antti; Henttonen, Heikki; Behnke, Jerzy M.; Bajer, Anna</t>
  </si>
  <si>
    <t>Zoonotic Viruses in Three Species of Voles from Poland</t>
  </si>
  <si>
    <t>ANIMALS</t>
  </si>
  <si>
    <t>arenavirus; hantavirus; LCMV; CPXV; PUUV; TULV; microtus; Alexandromys; vole; seroprevalence; Poland</t>
  </si>
  <si>
    <t>LAKE DISTRICT REGION; COMPONENT COMMUNITY STRUCTURE; HANTAVIRUS INFECTIONS; PUUMALA-HANTAVIRUS; CLETHRIONOMYS-GLAREOLUS; SEROLOGICAL SURVEY; RODENT RESERVOIRS; MYODES-GLAREOLUS; WILD RODENTS; HOSTS</t>
  </si>
  <si>
    <t>Simple Summary Wild rodents constitute a significant threat to public health. We tested 77 voles from northeastern Poland for the presence of antibodies to hantaviruses, arenaviruses and cowpox viruses. We report 18.2% overall seroprevalence of zoonotic viruses. Our results contribute to knowledge about the role of Polish voles as possible reservoirs of viral infections. Rodents are known to be reservoir hosts for a plethora of zoonotic viruses and therefore play a significant role in the dissemination of these pathogens. We trapped three vole species (Microtus arvalis, Alexandromys oeconomus and Microtus agrestis) in northeastern Poland, all of which are widely distributed species in Europe. Using immunofluorescence assays, we assessed serum samples for the presence of antibodies to hantaviruses, arenaviruses and cowpox viruses (CPXV). We detected antibodies against CPXV and Puumala hantavirus (PUUV), the overall seroprevalence of combined viral infections being 18.2% [10.5-29.3] and mostly attributed to CPXV. We detected only one PUUV/TULV cross-reaction in Microtus arvalis (1.3% [0.1-7.9]), but found similar levels of antibodies against CPXV in all three vole species. There were no significant differences in seroprevalence of CPXV among host species and age categories, nor between the sexes. These results contribute to our understanding of the distribution and abundance of CPXV in voles in Europe, and confirm that CPXV circulates also in Microtus and Alexandromys voles in northeastern Poland.</t>
  </si>
  <si>
    <t>[Grzybek, Maciej; Biernat, Beata; Nowicka, Joanna] Med Univ Gdansk, Inst Maritime &amp; Trop Med, Dept Trop Parasitol, Powstania Styczniowego 9B, PL-81519 Gdynia, Poland; [Tolkacz, Katarzyna; Alsarraf, Mohammed; Bajer, Anna] Univ Warsaw, Fac Biol, Dept Ecoepidemiol Parasit Dis, 1 Miecznikowa Str, PL-02096 Warsaw, Poland; [Tolkacz, Katarzyna] Polish Acad Sci, Inst Biochem &amp; Biophys, Dept Antarctic Biol, 5A Pawinskiego Str, PL-02106 Warsaw, Poland; [Sironen, Tarja; Maki, Sanna; Vaheri, Antti] Univ Helsinki, Dept Virol, Haartmaninkatu 3, Helsinki 00014, Finland; [Behnke-Borowczyk, Jolanta] Poznan Univ Life Sci, Dept Forest Pathol, Wojska Polskiego 71c, PL-60625 Poznan, Poland; [Henttonen, Heikki] Nat Resources Inst Finland, Latokartanonkaari 9, Helsinki 00790, Finland; [Behnke, Jerzy M.] Univ Nottingham, Sch Life Sci, Univ Pk, Nottingham NG7 2RD, England</t>
  </si>
  <si>
    <t>Fahrenheit Universities; Medical University Gdansk; University of Warsaw; Polish Academy of Sciences; Institute of Biochemistry &amp; Biophysics - Polish Academy of Sciences; University of Helsinki; Poznan University of Life Sciences; Natural Resources Institute Finland (Luke); University of Nottingham</t>
  </si>
  <si>
    <t>Grzybek, M (corresponding author), Med Univ Gdansk, Inst Maritime &amp; Trop Med, Dept Trop Parasitol, Powstania Styczniowego 9B, PL-81519 Gdynia, Poland.</t>
  </si>
  <si>
    <t>maciej.grzybek@gumed.edu.pl; k.tolkacz@ibb.waw.pl; tarja.sironen@helsinki.fi; sanna.z.maki@helsinki.fi; muha@biol.uw.edu.pl; jbehnke@up.poznan.pl; beata.biernat@gumed.edu.pl; joanna.nowicka@gumed.edu.pl; antti.vaheri@helsinki.fi; ext.Heikki.Henttonen@luke.fi; jerzy.behnke@nottingham.ac.uk; anabena@biol.uw.edu.pl</t>
  </si>
  <si>
    <t>Grzybek, Maciej/D-7395-2013; Behnke-Borowczyk, Jolanta/ABI-7276-2020; Behnke, Jerzy Marian/L-6176-2015; Nowicka, Joanna/KEH-6659-2024; Biernat, Beata/AAP-9866-2020</t>
  </si>
  <si>
    <t>Grzybek, Maciej/0000-0002-8780-0304; Behnke-Borowczyk, Jolanta/0000-0003-2085-038X; Nowicka, Joanna/0000-0002-5313-3232; Biernat, Beata/0000-0003-4938-3113; Bajer, Anna/0000-0001-6199-8458; Alsarraf, Mohammed/0000-0002-6330-0719; Tolkacz, Katarzyna/0000-0002-8578-3870</t>
  </si>
  <si>
    <t>Sigrid Juselius Foundation, Helsinki and Natural Resources Institute Finland; National Science Centre, Poland under the BiodivERsA3 program [2019/31/Z/NZ8/04028]; Polish National Agency for Academic Exchange under the Bekker program [PPN/BEK/2019/1/00337]</t>
  </si>
  <si>
    <t>Sigrid Juselius Foundation, Helsinki and Natural Resources Institute Finland; National Science Centre, Poland under the BiodivERsA3 program; Polish National Agency for Academic Exchange under the Bekker program(Polish National Agency for Academic Exchange (NAWA))</t>
  </si>
  <si>
    <t>We appreciate the support from Sigrid Juselius Foundation, Helsinki and Natural Resources Institute Finland. M.G. was supported by the National Science Centre, Poland under the BiodivERsA3 program (2019/31/Z/NZ8/04028) and by the Polish National Agency for Academic Exchange under the Bekker program (PPN/BEK/2019/1/00337).</t>
  </si>
  <si>
    <t>2076-2615</t>
  </si>
  <si>
    <t>ANIMALS-BASEL</t>
  </si>
  <si>
    <t>Animals</t>
  </si>
  <si>
    <t>10.3390/ani10101820</t>
  </si>
  <si>
    <t>Agriculture, Dairy &amp; Animal Science; Veterinary Sciences; Zoology</t>
  </si>
  <si>
    <t>Agriculture; Veterinary Sciences; Zoology</t>
  </si>
  <si>
    <t>OL6QE</t>
  </si>
  <si>
    <t>WOS:000585461100001</t>
  </si>
  <si>
    <t>Mansilla, A; Gérard, K; Boo, GH; Ramirez, ME; Ojeda, J; Rosenfeld, S; Murcia, S; Marambio, J; Gonzalez-Wevar, C; Calderon, MS; Boo, SM; Faugeron, S</t>
  </si>
  <si>
    <t>Mansilla, Andres; Gerard, Karin; Boo, Ga Hun; Eliana Ramirez, Maria; Ojeda, Jaime; Rosenfeld, Sebastian; Murcia, Silvia; Marambio, Johanna; Gonzalez-Wevar, Claudio; Calderon, Martha S.; Boo, Sung Min; Faugeron, Sylvain</t>
  </si>
  <si>
    <t>Populations of a new morphotype of corrugate Lessonia Bory in the Beagle Channel, sub-Antarctic Magellanic ecoregion: a possible case of on-going speciation</t>
  </si>
  <si>
    <t>CRYPTOGAMIE ALGOLOGIE</t>
  </si>
  <si>
    <t>atp8-trnS spacer; cox1; cox3; ITS1; kelp; Lessoniaceae</t>
  </si>
  <si>
    <t>SP-NOV; GENETIC-DIVERGENCE; MITOCHONDRIAL-DNA; LAMINARIALES; PHAEOPHYCEAE; KELP; BIOGEOGRAPHY; MAGALLANES; PHYLOGENY; SOFTWARE</t>
  </si>
  <si>
    <t>During a 2007 expedition dedicated to study kelp diversity within the Magellanic region, specimens of Lessonia Bory with corrugate, yellowish blades were found along the Beagle Channel. This type of corrugated Lessonia is uncommon, with exception of two species from New Zealand. Three possible hypotheses for its origin were explored in this study: an introduction of L. adamsiae Hay or L. corrugata Lucas from New Zealand by trans-oceanic dispersal; a hybridization between Chilean Lessonia species and Macrocystis pyrifera C.Agardh, particularly abundant in the region; or the existence of a new, undescribed species. Except for their corrugate blades, the individuals displayed short cylindrical stipes, digitate holdfasts, abundant mucilage cavities in the cortex, and reproductive soil on the proximal part of the blades, all traits typical of the genus Lessonia. Molecular phylogenies based on mitochondria! (atp8-trnS spacer, cox1, cox3) and nuclear (ITS1) markers revealed that this corrugate form of Lessonia is neither the result of hybridization with Macrocystis C.Agardh nor an introduction of Australasian corrugate species, L. corrugata or L. adamsiae, but has a close affinity with L. flavicans Bory. Field prospection in five sites along the Beagle Channel indicated that the species occurs in shallow depth (4-6 m), as dense populations of 100% of corrugated individuals, never intermixed with populations of L. flavicans. The possibility of an incipient speciation process in the region is discussed.</t>
  </si>
  <si>
    <t>[Mansilla, Andres; Gerard, Karin; Ojeda, Jaime; Rosenfeld, Sebastian; Murcia, Silvia; Marambio, Johanna; Gonzalez-Wevar, Claudio; Calderon, Martha S.] Univ Magallanes, Lab Ecosistemas Marinos Antart &amp; Sub Antart LEMAS, POB 113-D, Punta Arenas, Chile; [Mansilla, Andres; Ojeda, Jaime; Rosenfeld, Sebastian] Inst Ecol &amp; Biodivers IEB, POB 113-D, Punta Arenas, Chile; [Boo, Ga Hun; Boo, Sung Min] Chungnam Natl Univ, Dept Biol, Daejeon 34134, South Korea; [Eliana Ramirez, Maria] Museo Nacl Hist Nat, POB 787, Santiago, Chile; [Calderon, Martha S.] Univ Nacl Toribio Rodriguez Mendoza Amazonas, Inst Invest Desarrollo Sustentable Ceja Selva IND, Chachapoyas, Peru; [Faugeron, Sylvain] Pontificia Univ Catolica Chile, Fac Ciencias Biol, POB 114-D, Santiago, Chile; [Faugeron, Sylvain] Sorbonne Univ, UMI Evolutionary Biol &amp; Ecol Algae 3614, CNRS, F-29688 Roscoff, France; [Faugeron, Sylvain] Pontificia Univ Catolica Chile, Santiago, Chile; [Faugeron, Sylvain] Univ Austral Chile, Stn Biol, Valdivia, Los Rios, Chile</t>
  </si>
  <si>
    <t>Universidad de Magallanes; Chungnam National University; Universidad Nacional Toribio Rodriguez De Mendoza De Amazonas; Pontificia Universidad Catolica de Chile; Centre National de la Recherche Scientifique (CNRS); Sorbonne Universite; Pontificia Universidad Catolica de Chile; Universidad Austral de Chile</t>
  </si>
  <si>
    <t>Faugeron, S (corresponding author), Pontificia Univ Catolica Chile, Fac Ciencias Biol, POB 114-D, Santiago, Chile.;Faugeron, S (corresponding author), Sorbonne Univ, UMI Evolutionary Biol &amp; Ecol Algae 3614, CNRS, F-29688 Roscoff, France.;Faugeron, S (corresponding author), Pontificia Univ Catolica Chile, Santiago, Chile.;Faugeron, S (corresponding author), Univ Austral Chile, Stn Biol, Valdivia, Los Rios, Chile.</t>
  </si>
  <si>
    <t>sfaugeron@bio.puc.cl</t>
  </si>
  <si>
    <t>Ojeda, Jaime/HHN-1455-2022; González-Wevar, Claudio Alejandro/AAD-6513-2021; Gérard, Karin/AAC-4911-2021; Boo, Ga Hun/T-3428-2019</t>
  </si>
  <si>
    <t>Gérard, Karin/0000-0003-0596-1348; Faugeron, Sylvain/0000-0001-7258-5229; Mansilla, Andres/0000-0003-3505-7018; ojeda, jaime/0000-0003-3863-9750; Rosenfeld, Sebastian/0000-0002-4363-8018; Boo, Ga Hun/0000-0002-3019-2678</t>
  </si>
  <si>
    <t>FONDECYT [1110875, 1180433, 1161358, 1160930, IEB-AFB17008, CONICYT-FB001, ICM P05-002, 3180539]; Ministry of Oceans and Fisheries, Korea</t>
  </si>
  <si>
    <t>FONDECYT(Comision Nacional de Investigacion Cientifica y Tecnologica (CONICYT)CONICYT FONDECYT); Ministry of Oceans and Fisheries, Korea</t>
  </si>
  <si>
    <t>This work was financially supported by FONDECYT 1110875, 1180433, 1161358 and 1160930 to A.M. K.G. and S.F.; IEB-AFB17008 Chile funding to A.M. and S.R.; CONICYT-FB001 and ICM P05-002 to S.F.; FONDECYT 3180539 to M.S.C.; and a biotechnology grant from the Ministry of Oceans and Fisheries, Korea to S.M.B. We are especially grateful to the Chilean Navy (Tercera Zona Naval de Chile) for their kind support in getting access to the remote sites of the Magellanic region. We thank Louis L. Druehl and James Coyer for their valuable comments and corrections on early draft.</t>
  </si>
  <si>
    <t>ADAC-CRYPTOGAMIE</t>
  </si>
  <si>
    <t>12 RUE DE BUFFON, 75005 PARIS, FRANCE</t>
  </si>
  <si>
    <t>0181-1568</t>
  </si>
  <si>
    <t>1776-0984</t>
  </si>
  <si>
    <t>CRYPTOGAMIE ALGOL</t>
  </si>
  <si>
    <t>Cryptogam. Algol.</t>
  </si>
  <si>
    <t>10.5252/cryptogamie-algologie2020v41a11</t>
  </si>
  <si>
    <t>Plant Sciences; Marine &amp; Freshwater Biology</t>
  </si>
  <si>
    <t>OJ2RD</t>
  </si>
  <si>
    <t>WOS:000583813100001</t>
  </si>
  <si>
    <t>Ventura, T; Chandler, JC; Nguyen, TV; Hyde, CMJ; Elizur, A; Fitzgibbon, QP; Smith, GG</t>
  </si>
  <si>
    <t>Ventura, Tomer; Chandler, Jennifer C.; Nguyen, Tuan V.; Hyde, Cameron J.; Elizur, Abigail; Fitzgibbon, Quinn P.; Smith, Gregory G.</t>
  </si>
  <si>
    <t>Multi-Tissue Transcriptome Analysis Identifies Key Sexual Development-Related Genes of the Ornate Spiny Lobster (Panulirus ornatus)</t>
  </si>
  <si>
    <t>GENES</t>
  </si>
  <si>
    <t>sexual development; decapod crustaceans; transcriptome; sex-linked master sex regulator; doublesex and MAB-3 related transcription factors</t>
  </si>
  <si>
    <t>INSULIN-LIKE PEPTIDE; FRESH-WATER PRAWN; ANDROGENIC GLAND HORMONE; EYESTALK ABLATION; SAGMARIASUS-VERREAUXI; MACROBRACHIUM-ROSENBERGII; CALLINECTES-SAPIDUS; DMRT GENES; FACTOR IAG; BLUE-CRAB</t>
  </si>
  <si>
    <t>Sexual development involves the successive and overlapping processes of sex determination, sexual differentiation, and ultimately sexual maturation, enabling animals to reproduce. This provides a mechanism for enriched genetic variation which enables populations to withstand ever-changing environments, selecting for adapted individuals and driving speciation. The molecular mechanisms of sexual development display a bewildering diversity, even in closely related taxa. Many sex determination mechanisms across animals include the key family of doublesex- and male abnormal3-related transcription factors (Dmrts). In a few exceptional species, a single Dmrt residing on a sex chromosome acts as the master sex regulator. In this study, we provide compelling evidence for this model of sex determination in the ornate spiny lobster Panulius ornatus, concurrent with recent reports in the eastern spiny lobster Sagmariasus verreauxi. Using a multi-tissue transcriptomic database established for P. ornatus, we screened for the key factors associated with sexual development (by homology search and using previous knowledge of these factors from related species), providing an in-depth understanding of sexual development in decapods. Further research has the potential to close significant gaps in our understanding of reproductive development in this ecologically and commercially significant order.</t>
  </si>
  <si>
    <t>[Ventura, Tomer; Chandler, Jennifer C.; Nguyen, Tuan V.; Hyde, Cameron J.; Elizur, Abigail] Univ Sunshine Coast USC, Sch Sci &amp; Engn, GeneCol Res Ctr, 4 Locked Bag, Maroochydore, Qld 4558, Australia; [Chandler, Jennifer C.] UCL Great Ormond St Inst Child Hlth, Dev Biol &amp; Canc Programme, London WC1N 1EH, England; [Nguyen, Tuan V.] AgriBio, Ctr AgriBiosci, Agr Victoria, Bundoora, Vic 3083, Australia; [Fitzgibbon, Quinn P.; Smith, Gregory G.] Univ Tasmania, Inst Marine &amp; Antarctic Studies IMAS, Private Bag 49, Hobart, Tas 7001, Australia</t>
  </si>
  <si>
    <t>University of the Sunshine Coast; University of London; University College London; AgriBio Centre for AgriBioscience; La Trobe University; University of Tasmania</t>
  </si>
  <si>
    <t>Ventura, T (corresponding author), Univ Sunshine Coast USC, Sch Sci &amp; Engn, GeneCol Res Ctr, 4 Locked Bag, Maroochydore, Qld 4558, Australia.</t>
  </si>
  <si>
    <t>tventura@usc.edu.au; jennifer.chandler@research.usc.edu.au; tuan.nguyen@agriculture.vic.gov.au; chyde1@usc.edu.au; aelizur@usc.edu.au; quinn.fitzgibbon@utas.edu.au; gregory.smith@utas.edu.au</t>
  </si>
  <si>
    <t>Elizur, Abigail/B-7708-2012; Ventura, T./H-9832-2019; Smith, Gregory/C-9263-2013</t>
  </si>
  <si>
    <t>Ventura, T./0000-0002-0777-2367; Elizur, Abigail/0000-0002-2960-302X; Nguyen, Tuan/0000-0003-0415-0623; Smith, Gregory/0000-0002-8677-1230; Hyde, Cameron/0000-0002-5913-9766; Chandler, Jennifer C./0000-0001-9785-4528; Fitzgibbon, Quinn/0000-0002-1104-3052</t>
  </si>
  <si>
    <t>Australian Government; Australian Research Council Industrial Transformation Research Hub [IH190100014]; Australian Research Council [IH190100014] Funding Source: Australian Research Council</t>
  </si>
  <si>
    <t>Australian Government(Australian Government); Australian Research Council Industrial Transformation Research Hub(Australian Research Council); Australian Research Council(Australian Research Council)</t>
  </si>
  <si>
    <t>This work was supported by the Australian Government with funding from the Australian Research Council (http://www.arc.gov.au/) Industrial Transformation Research Hub (project number IH190100014). The views expressed herein are those of the authors and are not necessarily those of the Australian Government or Australian Research Council.</t>
  </si>
  <si>
    <t>2073-4425</t>
  </si>
  <si>
    <t>GENES-BASEL</t>
  </si>
  <si>
    <t>Genes</t>
  </si>
  <si>
    <t>10.3390/genes11101150</t>
  </si>
  <si>
    <t>OL4KK</t>
  </si>
  <si>
    <t>WOS:000585310900001</t>
  </si>
  <si>
    <t>Zhao, JW; Jiang, KN; Chen, YX; Chen, J; Zheng, YF; Yu, HL; Zhu, JJ</t>
  </si>
  <si>
    <t>Zhao, Jiawen; Jiang, Kening; Chen, Yixuan; Chen, Juan; Zheng, Yangfan; Yu, Huilin; Zhu, Jiajin</t>
  </si>
  <si>
    <t>Preparation and Characterization of Microemulsions Based on Antarctic Krill Oil</t>
  </si>
  <si>
    <t>microemulsion; Antarctic krill oil; formula selection; characterization</t>
  </si>
  <si>
    <t>RANDOMIZED CONTROLLED-TRIAL; FATTY-ACIDS; THERMAL-BEHAVIOR; VITAMIN-E; OMEGA-3-FATTY-ACIDS; MICROENCAPSULATION; SUPPLEMENTATION; EXTRACTION; STABILITY; EMULSIONS</t>
  </si>
  <si>
    <t>Antarctic krill oil is high in nutritional value and has biological functions like anti-inflammation and hypolipidemic effects. But it has and unpleasant smell, and unsaturated fatty acids are prone to oxidative deterioration. Its high viscosity and low solubility in water make it difficult for processing. Microemulsion can be a new promising route for development of krill oil product. We determined a formula of krill oil-in-water microemulsion with krill oil: isopropyl myristate = 1:3 as oil phase, Tween 80:Span 80 = 8:2 as surfactant, ethanol as co-surfactant and the mass ratio of surfactant to co-surfactant of 3:1. After screening the formula, we researched several characteristics of the prepared oil-in-water microemulsion, including electrical conductivity, microstructure by transmission electron microscope and cryogenic transmission electron microscope, droplet size analysis, rheological properties, thermal behavior by differential scanning calorimeter and stability against pH, salinity, and storage time.</t>
  </si>
  <si>
    <t>[Zhao, Jiawen; Jiang, Kening; Chen, Yixuan; Chen, Juan; Zheng, Yangfan; Yu, Huilin; Zhu, Jiajin] Zhejiang Univ, Coll Biosyst Engn &amp; Food Sci, Inst Food Sci, Hangzhou 310058, Zhejiang, Peoples R China</t>
  </si>
  <si>
    <t>Zhejiang University</t>
  </si>
  <si>
    <t>Zhu, JJ (corresponding author), Zhejiang Univ, Coll Biosyst Engn &amp; Food Sci, Inst Food Sci, Hangzhou 310058, Zhejiang, Peoples R China.</t>
  </si>
  <si>
    <t>21813084@zju.edu.cn; 3140101878@zju.edu.cn; 11713038@zju.edu.cn; 11613037@zju.edu.cn; 21713068@zju.edu.cn; yuh10323@126.com; jjzhu337@163.com</t>
  </si>
  <si>
    <t>Jiang, Kening/AGZ-3939-2022; 朱, 加进/HHS-3257-2022</t>
  </si>
  <si>
    <t>Jiang, Kening/0000-0002-4532-4469; Zhao, Jiawen/0000-0003-0937-9267</t>
  </si>
  <si>
    <t>10.3390/md18100492</t>
  </si>
  <si>
    <t>OL1OZ</t>
  </si>
  <si>
    <t>WOS:000585112500001</t>
  </si>
  <si>
    <t>Kim, D; Prior, DJ; Han, Y; Qi, C; Han, H; Ju, HT</t>
  </si>
  <si>
    <t>Kim, Daeyeong; Prior, David J.; Han, Yeongcheol; Qi, Chao; Han, Hyangsun; Ju, Hyeon Tae</t>
  </si>
  <si>
    <t>Microstructures and Fabric Transitions of Natural Ice from the Styx Glacier, Northern Victoria Land, Antarctica</t>
  </si>
  <si>
    <t>Ice; microstructure; crystallographic preferred orientation (CPO); Styx Glacier; electron backscatter diffraction (EBSD)</t>
  </si>
  <si>
    <t>ELECTRON BACKSCATTER DIFFRACTION; GREENLAND ICE; POLYCRYSTALLINE ICE; SUBGRAIN BOUNDARIES; PHYSICAL-PROPERTIES; SHEET; SNOW; DEFORMATION; CORE; TEMPERATURE</t>
  </si>
  <si>
    <t>We investigated the microstructures of five ice core samples from the Styx Glacier, northern Victoria Land, Antarctica. Evidence of dynamic recrystallization was found in all samples: those at 50 m mainly by polygonization, and those at 170 m, largely by grain boundary migration. Crystallographic preferred orientations of all analyzed samples (view from the surface) typically showed a single cluster of c-axes normal to the surface. A girdle intersecting the single cluster occurs at 140-170 m with a tight cluster of a-axes normal to the girdle. We interpret the change of crystallographic preferred orientations (CPOs) at &lt;140 m as relating to a combination of vertical compression, and shear on a horizontal plane, and the girdle CPOs at depths &gt;140 m, as the result of horizontal extension. Based on the data obtained from the ground penetrating radar, the underlying bedrock topography of a nunatak could have generated the extensional stress regime in the study area. The results imply changeable stress regimes that may occur during burial as a result of external kinematic controls, such as an appearance of a small peak in the bedrock.</t>
  </si>
  <si>
    <t>[Kim, Daeyeong] Korea Polar Res Inst, Div Polar Earth Syst Sci, Incheon 21990, South Korea; [Prior, David J.] Univ Otago, Dept Geol, Dunedin 9054, New Zealand; [Han, Yeongcheol] Korea Polar Res Inst, Div Polar Paleoenvironm, Incheon 21990, South Korea; [Qi, Chao] Chinese Acad Sci, Inst Geol &amp; Geophys, Key Lab Earth &amp; Planetary Phys, Beijing 100029, Peoples R China; [Han, Hyangsun] Kangwon Natl Univ, Dept Geophys, Chunchon 24341, South Korea; [Ju, Hyeon Tae] Korea Polar Res Inst, Antarctic K Route Expedit Team, Incheon 21990, South Korea</t>
  </si>
  <si>
    <t>Korea Polar Research Institute (KOPRI); University of Otago; Korea Polar Research Institute (KOPRI); Chinese Academy of Sciences; Institute of Geology &amp; Geophysics, CAS; Kangwon National University; Korea Polar Research Institute (KOPRI)</t>
  </si>
  <si>
    <t>Kim, D (corresponding author), Korea Polar Res Inst, Div Polar Earth Syst Sci, Incheon 21990, South Korea.</t>
  </si>
  <si>
    <t>dkim@kopri.re.kr; david.prior@otago.ac.nz; yhan@kopri.re.kr; qichao@mail.iggcas.ac.cn; hyangsun@kangwon.ac.kr; hyeontae@kopri.re.kr</t>
  </si>
  <si>
    <t>Han, Hyangsun/AAE-7670-2022; Kim, Daeyeong/H-4318-2018</t>
  </si>
  <si>
    <t>Han, Hyangsun/0000-0002-0414-519X; Han, Yeongcheol/0000-0002-1729-7870; Kim, Daeyeong/0000-0003-4444-7851</t>
  </si>
  <si>
    <t>KOPRI project [PE20030]</t>
  </si>
  <si>
    <t>KOPRI project(Korea Polar Research Institute of Marine Research Placement (KOPRI))</t>
  </si>
  <si>
    <t>This research was funded by a KOPRI project PE20030.</t>
  </si>
  <si>
    <t>10.3390/min10100892</t>
  </si>
  <si>
    <t>OL2QY</t>
  </si>
  <si>
    <t>WOS:000585187900001</t>
  </si>
  <si>
    <t>Krzyscin, J</t>
  </si>
  <si>
    <t>Krzyscin, Janusz</t>
  </si>
  <si>
    <t>Is the Antarctic Ozone Hole Recovering Faster than Changing the Stratospheric Halogen Loading?</t>
  </si>
  <si>
    <t>JOURNAL OF THE METEOROLOGICAL SOCIETY OF JAPAN</t>
  </si>
  <si>
    <t>ozone hole; Antarctica; halogens; recovery</t>
  </si>
  <si>
    <t>MULTI SENSOR REANALYSIS; VORTEX</t>
  </si>
  <si>
    <t>A method is proposed to gain insight into ozone recovery over Antarctica. The following metrics relating to the ozone hole are considered: minimum total column ozone (TCO3) within the hole, TCO3 at the South Pole, area of the ozone hole, mass of ozone loss within the hole, and density of loss per unit area. The daily metric values, based on the Royal Netherlands Meteorological Institute archives of the ozone hole, are averaged for each year over the period 1979-2019 for the following intervals: 1-30 September, 15 September-15 October, 1-31 October, 15 October-15 November, and 1-30 November. The following indicators of the ozone hole recovery arc examined: the metric recovery rate by 2019 (i.e., the change between its extreme and its 2019 level divided by the change between the extreme year and 1980) and the year of metric recovery. The recovery year is derived by forward-in-time extrapolation of the metric linear trend found for the period 2000-2019. The uncertainties in these indicators are obtained using a bootstrap approach analyzing statistics of the synthetic time series of the metrics. A comparison of the proposed ozone hole healing indicators with the indicators inferred from the equivalent effective stratospheric chlorine (EESC) loading over Antarctica (22.1 % and year 2076) shows to what extent recovery of the ozone layer is associated with EESC effects. For the mass and density of ozone loss in the periods 1-30 September and 15 September-15 October, the metric recovery rate by 2019 is similar to 2 times larger and the recovery year is at least 20-30 years earlier than the corresponding indicators of the EESC changes. Therefore, the ozone hole is recovering faster during these periods than expected based on the stratospheric halogen loading alone.</t>
  </si>
  <si>
    <t>[Krzyscin, Janusz] Polish Acad Sci, Inst Geophys, Ks Janusza 64 St, PL-01452 Warsaw, Poland</t>
  </si>
  <si>
    <t>Polish Academy of Sciences; Institute of Geophysics of the Polish Academy of Sciences</t>
  </si>
  <si>
    <t>Krzyscin, J (corresponding author), Polish Acad Sci, Inst Geophys, Ks Janusza 64 St, PL-01452 Warsaw, Poland.</t>
  </si>
  <si>
    <t>jkrzys@igf.edu.pl</t>
  </si>
  <si>
    <t>Ministry of Science and Higher Education of Poland [3841/E-41/2020]; [PPI/PZA/2019/1/00107/U/00001]</t>
  </si>
  <si>
    <t>Ministry of Science and Higher Education of Poland(Ministry of Science and Higher Education, Poland);</t>
  </si>
  <si>
    <t>This article was supported in the scope of the statutory activity No.3841/E-41/2020 of the Ministry of Science and Higher Education of Poland and by the Polish National Agency for Academic Exchange No. PPI/PZA/2019/1/00107/U/00001.</t>
  </si>
  <si>
    <t>METEOROLOGICAL SOC JAPAN</t>
  </si>
  <si>
    <t>TOKYO</t>
  </si>
  <si>
    <t>C/O JAPAN METEOROLOGICAL AGENCY 1-3-4 OTE-MACHI, CHIYODA-KU, TOKYO, 100-0004, JAPAN</t>
  </si>
  <si>
    <t>0026-1165</t>
  </si>
  <si>
    <t>2186-9057</t>
  </si>
  <si>
    <t>J METEOROL SOC JPN</t>
  </si>
  <si>
    <t>J. Meteorol. Soc. Jpn.</t>
  </si>
  <si>
    <t>10.2151/jmsj.2020-055</t>
  </si>
  <si>
    <t>OH1AU</t>
  </si>
  <si>
    <t>WOS:000582305300012</t>
  </si>
  <si>
    <t>Riquelme-Bugueño, R; Pantoja-Gutiérrez, S; Jorquera, E; Anabalón, V; Srain, B; Schneider, W</t>
  </si>
  <si>
    <t>Riquelme-Bugueno, Ramiro; Pantoja-Gutierrez, Silvio; Jorquera, Erika; Anabalon, Valeria; Srain, Benjamin; Schneider, Wolfgang</t>
  </si>
  <si>
    <t>Fatty acid composition in the endemic Humboldt Current krill, Euphausia mucronata (Crustacea, Euphausiacea) in relation to the phytoplankton community and oceanographic variability off Dichato coast in central Chile</t>
  </si>
  <si>
    <t>Euphausia mucronata; Fatty acid; Dichato; Phytoplankton; Environmental variability; Herbivory; Omnivory; Marine food webs; Central Chile</t>
  </si>
  <si>
    <t>CENTRAL-SOUTHERN CHILE; ANTARCTIC KRILL; UPWELLING AREA; TROPHIC RELATIONSHIPS; LIPID-COMPOSITION; NEARSHORE ZONE; WATER-COLUMN; FOOD SOURCES; CELL-VOLUME; SUPERBA</t>
  </si>
  <si>
    <t>Fatty acids (FA) have been used as diet biomarkers. They have proven to be a valuable method of defining food web relationships, trophic positioning, and the dietary behaviors of marine species. The endemic krill species of the Humboldt Current System (HCS), Euphausia mucronata, is the most abundant krill species over the continental shelf, usually associated with coastal upwelling zones. This study aimed to quantify the changes in the FA composition of E. mucronata in the coastal upwelling zone off Dichato in central Chile concerning the phytoplankton community and environmental variability. We hypothesized that E. mucronata changes its FA composition according to the functional species groups that structure the phytoplankton community as well as environmental variability. Krill, phytoplankton, and environmental datasets were analyzed using multivariate analyses, considering samplings from January 2013 to August 2014. The total concentration of FAs was 550.5 ng/g (n = 42) of which the 77% corresponded to six FAs: palmitoleic acid (16:1n7), palmitic acid (16:0), vaccenic acid (18:1), oleic acid (18:1n7), eicosapentaenoic acid (EPA, 20:5n3) and docosahexaenoic acid (DHA, 22:6n3). FA composition did not change according to neither the season nor sampling date. Seasonal changes were observed in both community structure of the phytoplankton (i.e. species composition and functional groups) and sea temperature. EPA/DHA ratio, PUFA/SFA ratio and carnivory variability were seasonally different suggesting that E. mucronata had mostly a diatom-based herbivorous habit during austral spring and summer and, it could have omnivore or carnivore habits during austral autumn and winter. Diatom and ciliate abundances and, sea temperature were the best predictor variables explaining 64% of the total variation in the FA composition. This study suggests that, despite seasonal environmental variation (biotic and abiotic), this krill species fed mainly diatoms and could shift its trophic habit to carnivory according to season of the year.</t>
  </si>
  <si>
    <t>[Riquelme-Bugueno, Ramiro] Univ Concepcion, Fac Ciencias Nat &amp; Oceanog, Dept Zool, Concepcion, Chile; [Riquelme-Bugueno, Ramiro; Schneider, Wolfgang] Univ Concepcion, Inst Milenio Oceanog, Concepcion, Chile; [Pantoja-Gutierrez, Silvio; Schneider, Wolfgang] Univ Concepcion, Fac Ciencias Nat &amp; Oceanog, Dept Oceanog, Concepcion, Chile; [Pantoja-Gutierrez, Silvio; Srain, Benjamin] Univ Concepcion, Fac Ciencias Nat &amp; Oceanog, Ctr Invest Oceanog COPAS Sur Austral, Concepcion, Chile; [Jorquera, Erika] Univ Catolica Santisima Concepcion, Fac Ciencias, Concepcion, Chile; [Anabalon, Valeria] Univ Concepcion, Interdisciplinary Ctr Aquaculture Res INCAR, Concepcion, Chile</t>
  </si>
  <si>
    <t>Universidad de Concepcion; Universidad de Concepcion; Universidad de Concepcion; Universidad de Concepcion; Universidad Catolica de la Santisima Concepcion; Universidad de Concepcion</t>
  </si>
  <si>
    <t>Riquelme-Bugueño, R (corresponding author), Univ Concepcion, Fac Ciencias Nat &amp; Oceanog, Dept Zool, Concepcion, Chile.</t>
  </si>
  <si>
    <t>Riquelme, Ramiro/L-4706-2016; Jorquera, Erika/KAM-1979-2024</t>
  </si>
  <si>
    <t>Riquelme, Ramiro/0000-0002-2245-6485; Jorquera, Erika/0000-0002-6655-2786; Pantoja-Gutierrez, Silvio/0000-0001-8225-7624</t>
  </si>
  <si>
    <t>ANID - FONDECYT [11150914]; Center for Oceanographic Research COPAS-Sur Austral (ANID -PIA APOYO CCTE) [AFB170006]; INCAR (ANID - FONDAP) [15110027]; ANID -Millennium Science Initiative Program - Millennium Institute of Oceanography [ICN12_019]; [3073-12-LP15]; [3073-13-LQ16]</t>
  </si>
  <si>
    <t>ANID - FONDECYT; Center for Oceanographic Research COPAS-Sur Austral (ANID -PIA APOYO CCTE); INCAR (ANID - FONDAP); ANID -Millennium Science Initiative Program - Millennium Institute of Oceanography; ;</t>
  </si>
  <si>
    <t>First author dedicate this study to Dr William Thornton Bill Peterson (1942-2017) who contributed to better understand the biological and oceanographic variability off the Dichato coast, central Chile. Bill was an internationally renowned zooplanktologist and very dear friend. He will be remembered by his colleagues, friends and future generations for his friendship and passion for life in the ocean. This work was funded by ANID - FONDECYT grant 11150914 (R. RiquelmeBugueno) and the Center for Oceanographic Research COPAS-Sur Austral (ANID -PIA APOYO CCTE AFB170006). V. Anabalon received additional funding from INCAR (ANID - FONDAP Grant No15110027). The ANID -Millennium Science Initiative Program - Millennium Institute of Oceanography (ICN12_019) and the grants 3073-12-LP15 CRUCERO CIMAR 21 -ISLAS and 3073-13-LQ16 CRUCERO CIMAR 22 - ISLAS OCEANICAS provided additional support.</t>
  </si>
  <si>
    <t>10.1016/j.pocean.2020.102425</t>
  </si>
  <si>
    <t>OH6JQ</t>
  </si>
  <si>
    <t>WOS:000582696800012</t>
  </si>
  <si>
    <t>Robertson, RR; Bjorkstedt, EP</t>
  </si>
  <si>
    <t>Robertson, Roxanne R.; Bjorkstedt, Eric P.</t>
  </si>
  <si>
    <t>Climate-driven variability in Euphausia pacifica size distributions off northern California</t>
  </si>
  <si>
    <t>USA; California; California Current; Trinidad Head Line; El Nino; Marine Heatwave; Krill; Euphausia pacifica; Size-structure</t>
  </si>
  <si>
    <t>COASTAL UPWELLING ZONE; FOOD-WEB STRUCTURE; ANTARCTIC KRILL; EL-NINO; POPULATION BIOLOGY; OCEAN CLIMATE; INTERANNUAL VARIABILITY; PLANKTIVOROUS SEABIRD; COMMUNITY COMPOSITION; MARINE ECOLOGY</t>
  </si>
  <si>
    <t>We analyzed an 11-year data set of length measurements for Euphausia pacifica, resolved by developmental stages ranging from early furcilia through adults, to characterize temporal variability in size distributions in relation to environmental and climate forcing in coastal waters of the northern California Current. Our analysis reveals that coastal size distributions of this linchpin species are related to temperature and chlorophyll a concentration, and indicate that warm climate events disrupt and suppress typical seasonal dynamics, resulting in persistent shifts towards populations dominated by smaller juveniles and adults. The 2014-16 marine heatwave (MHW) resulted in sharp and sustained transition in the size structure of E. pacifica off northern California; we captured numerous mature individuals smaller than any previously reported in the literature and larger size classes were conspicuously absent or rare when the MHW most strongly impacted coastal waters. Early life history stages exhibited a contrasting response, shifting instead towards larger size distributions during warm years. Advection appears to be the dominant mechanism driving rapid shifts in E. pacifica size structure off northern California, which implies alongshore and cross-shelf gradients in life history expression (e.g., changes in size-at-maturation) related primarily to temperature. Variability in food availability (chlorophyll concentration) and physiological responses (e.g., changes in growth rates) likely contribute to seasonal variability, but appear insufficient to account for sharp, climate-driven transitions. Climate-driven shifts in individual and total biomass of this critical and dominant forage species have important ecological implications, particularly for growth and survival of species at higher trophic levels. Given that warm water events are likely to increase with climate change, the effects of the 2014-16 MHW on E. pacifica in coastal waters may serve as a harbinger for future change. Detailed information on size structure of euphausiid populations is fundamental to understanding population responses to and ecosystem consequences of climatic and environmental forcing, and has been incorporated in assessments that support ecosystem-based approaches to fisheries management.</t>
  </si>
  <si>
    <t>[Robertson, Roxanne R.] Humboldt State Univ, Cooperat Inst Marine Ecosyst &amp; Climate, Arcata, CA 95521 USA; [Bjorkstedt, Eric P.] NOAA Fisheries, Southwest Fisheries Sci Ctr, Fisheries Ecol Div, Santa Cruz, CA USA; [Robertson, Roxanne R.; Bjorkstedt, Eric P.] Humboldt State Univ, Dept Fisheries Biol, Arcata, CA 95521 USA</t>
  </si>
  <si>
    <t>California State University System; California State Polytechnic University, Humboldt; National Oceanic Atmospheric Admin (NOAA) - USA; California State University System; California State Polytechnic University, Humboldt</t>
  </si>
  <si>
    <t>Robertson, RR (corresponding author), Humboldt State Univ, Cooperat Inst Marine Ecosyst &amp; Climate, Arcata, CA 95521 USA.;Robertson, RR (corresponding author), Humboldt State Univ, Dept Fisheries Biol, Arcata, CA 95521 USA.</t>
  </si>
  <si>
    <t>roxanne.robertson@humboldt.edu</t>
  </si>
  <si>
    <t>NOAA's Southwest Fisheries Science Center</t>
  </si>
  <si>
    <t>Sampling along the Trinidad Head Line has been supported by NOAA's Southwest Fisheries Science Center both directly and through the Cooperative Institute for Marine Ecosystems and Climate, in collaboration with Humboldt State University. We thank Phil White, Abby Johnson, Kathryn Crane, and Ashok Sadrozinski for serving as lead scientists during THL cruises, and Caymin Ackerman, Winn McEnery, Erin Damm, and Spencer Hitzeroth for their contributions to the euphausiid dataset. We also thank the Captain and crew of the R/V Coral Sea and all of the student volunteers and assistants for their able support of the THL sampling program. We thank Keith Sakuma, John Field, Angus Atkinson, and an anonymous reviewer for providing insightful reviews that improved the manuscript. Lastly, we thank Bill Peterson for his mentorship and enthusiastic support in making the Trinidad Head Line a reality; his was a valued friendship and collaboration cut far too short and deeply missed.</t>
  </si>
  <si>
    <t>10.1016/j.pocean.2020.102412</t>
  </si>
  <si>
    <t>WOS:000582696800001</t>
  </si>
  <si>
    <t>Zhang, ZR; Hofmann, EE; Dinniman, MS; Reiss, C; Smith, WO; Zhou, M</t>
  </si>
  <si>
    <t>Zhang, Zhaoru; Hofmann, Eileen E.; Dinniman, Michael S.; Reiss, Christian; Smith, Walker O., Jr.; Zhou, Meng</t>
  </si>
  <si>
    <t>Linkage of the physical environments in the northern Antarctic Peninsula region to the Southern Annular Mode and the implications for the phytoplankton production</t>
  </si>
  <si>
    <t>Northern Antarctic Peninsula; Southern Annular Mode; Mixed layer depth; Circumpolar deep water; Phytoplankton production</t>
  </si>
  <si>
    <t>CIRCUMPOLAR DEEP-WATER; MELTING GLACIERS FUELS; BRANSFIELD STRAIT; CLIMATE-CHANGE; SCOTIA SEA; IRON; VARIABILITY; CIRCULATION; WEST; ATMOSPHERE</t>
  </si>
  <si>
    <t>The long-term (almost 20 years) hydrographic and primary production data collected by the U.S. Antarctic Marine Living Resources (AMLR) program during the austral summer near Elephant Island and the South Shetland Islands were combined with satellite observations to assess interannual variability in environmental conditions and production of the northern Antarctic Peninsula (NAP). Correlation analyses show that interannual variability of the region is related to the dominant mode of the Southern Hemisphere extratropical climate variability, the Southern Annular Mode (SAM). Post 2000, significant correlations (r &gt; 0.5, p &lt; 0.1) are detected between SAM and environmental properties that potentially affect NAP phytoplankton production, particularly mixed layer depth (MLD), the extent of the nutrient-rich Circumpolar Deep Water (CDW), and photosynthetically available radiation (PAR). The relationship of these properties to SAM exhibits spatial variability. Near Elephant Island, interannual variations of the summertime MLD and PAR are significantly and positively correlated to the variation of the summer SAM index (r = 0.89 and p = 0.0003 for MLD; r = 0.64 and p = 0.04 for PAR). Significant correlations also exist between chlorophyll concentration and the summer SAM index (r = 0.7, p = 0.02), which are attributed to the SAM-related change in PAR and vertical mixing. Near the South Shetland Islands, the correlation between MLD and summer SAM index is weakened (r = 0.59, p = 0.05). Significant correlations are found between CDW extent and the spring SAM index as well as the annual SAM index (r &gt; 0.7, p = 0.01). Significant correlations also exist between chlorophyll concentration and the spring and annual SAM indices (r &gt; 0.6, p = 0.06). The statistical relationship between chlorophyll concentration and SAM is used with the predicted variation of SAM based on CMIP5 models to make projections of biological production change over the next 50 years in the NAP and adjacent areas. With an estimated SAM trend of 0.03 yr(-1), in the next 50 years the surface chlorophyll concentration over the NAP and WAP outer shelf and slope will increase by as much as 0.5 mg m(-3), and the integrated chlorophyll concentration over the upper 100-m water column will increase in the NAP area by 10 mg m(-2) to 50 mg m(-2).</t>
  </si>
  <si>
    <t>[Zhang, Zhaoru; Smith, Walker O., Jr.; Zhou, Meng] Shanghai Jiao Tong Univ, Sch Oceanog, 1954 Huashan Rd, Shanghai 200030, Peoples R China; [Hofmann, Eileen E.; Dinniman, Michael S.] Old Dominion Univ, Ctr Coastal Phys Oceanog, Norfolk, VA USA; [Reiss, Christian] Southwest Fisheries Sci Ctr, Antarctic Ecosyst Res Div, La Jolla, CA USA; [Smith, Walker O., Jr.] William &amp; Mary, Virginia Inst Marine Sci, Gloucester Pt, VA USA</t>
  </si>
  <si>
    <t>Shanghai Jiao Tong University; Old Dominion University; William &amp; Mary; Virginia Institute of Marine Science</t>
  </si>
  <si>
    <t>Zhang, ZR (corresponding author), Shanghai Jiao Tong Univ, Sch Oceanog, 1954 Huashan Rd, Shanghai 200030, Peoples R China.</t>
  </si>
  <si>
    <t>zrzhang@sjtu.edu.cn</t>
  </si>
  <si>
    <t>LIU, JIALIN/JXN-8034-2024</t>
  </si>
  <si>
    <t>Dinniman, Michael/0000-0001-7519-9278</t>
  </si>
  <si>
    <t>National Natural Science Foundation of China [41876228]; Science and Technology Commission of Shanghai Municipality [20230711100]; U.S. National Science Foundation [OPP-1643652]</t>
  </si>
  <si>
    <t>National Natural Science Foundation of China(National Natural Science Foundation of China (NSFC)); Science and Technology Commission of Shanghai Municipality(Science &amp; Technology Commission of Shanghai Municipality (STCSM)); U.S. National Science Foundation(National Science Foundation (NSF))</t>
  </si>
  <si>
    <t>Support for Z. Zhang was provided by the National Natural Science Foundation of China (grant number 41876221 and 41941008) and the Science and Technology Commission of Shanghai Municipality (grant number 20230711100). Support for M. Zhou was provided by the National Natural Science Foundation of China (grant number 41941008). Support for M. Dinniman and E. Hofmann was provided by U.S. National Science Foundation grant OPP-1643652. Support for W. Smith Jr. was provided by the National Natural Science Foundation of China (grant number 41876228). We thank the two anonymous reviewers for their helpful comments that substantially improved the manuscript.</t>
  </si>
  <si>
    <t>10.1016/j.pocean.2020.102416</t>
  </si>
  <si>
    <t>WOS:000582696800003</t>
  </si>
  <si>
    <t>Hara, K; Osada, K; Yabuki, M; Matoba, S; Hirabayashi, M; Fujita, S; Nakazawa, F; Yamanouchi, T</t>
  </si>
  <si>
    <t>Hara, Keiichiro; Osada, Kazuo; Yabuki, Masanori; Matoba, Sumito; Hirabayashi, Motohiro; Fujita, Shuji; Nakazawa, Fumio; Yamanouchi, Takashi</t>
  </si>
  <si>
    <t>Atmospheric sea-salt and halogen cycles in the Antarctic</t>
  </si>
  <si>
    <t>ENVIRONMENTAL SCIENCE-PROCESSES &amp; IMPACTS</t>
  </si>
  <si>
    <t>ENHANCED TROPOSPHERIC BRO; BOUNDARY-LAYER HALOGENS; OZONE DEPLETION EVENTS; DOME-C; COASTAL ANTARCTICA; AEROSOL-PARTICLES; DUMONT DURVILLE; FROST FLOWERS; SYOWA STATION; BLOWING SNOW</t>
  </si>
  <si>
    <t>Atmospheric sea-salt and halogen cycles play important roles in atmospheric science and chemistry including cloud processes and oxidation capacity in the Antarctic troposphere. This paper presents a review and summarizes current knowledge related to sea-salt and halogen chemistry in the Antarctic. First, presented are the seasonal variations and size distribution of sea-salt aerosols (SSAs). Second, SSA origins and sea-salt fractionation on sea-ice and ice sheets on the Antarctic continent are presented and discussed. Third, we discuss SSA release from the cryosphere. Fourth, we present SSA dispersion in the Antarctic troposphere and transport into inland areas. Fifth, heterogeneous reactions on SSAs as a source of reactive halogen species and their relationship with atmospheric chemistry are shown and discussed. Finally, we attempt to propose an outlook for obtaining better knowledge related to sea-salt and halogen chemistry and their effects on the Antarctic and the Arctic.</t>
  </si>
  <si>
    <t>[Hara, Keiichiro] Fukuoka Univ, Fac Sci, Dept Earth Syst Sci, Fukuoka 8140180, Japan; [Osada, Kazuo] Nagoya Univ, Grad Sch Environm Studies, Chikusa Ku, Furo Cho, Nagoya, Aichi, Japan; [Yabuki, Masanori] Kyoto Univ, Res Inst Sustainable Humanosphere, Uji, Kyoto 6110011, Japan; [Matoba, Sumito] Hokkaido Univ, Inst Low Temp Sci, Kita Ku, Kita-19,Nishi-8, Sapporo, Hokkaido 0600819, Japan; [Hirabayashi, Motohiro; Fujita, Shuji; Nakazawa, Fumio; Yamanouchi, Takashi] Natl Inst Polar Res, 10-3 Midori Cho, Tachikawa, Tokyo 1908518, Japan</t>
  </si>
  <si>
    <t>Fukuoka University; Nagoya University; Kyoto University; Hokkaido University; Research Organization of Information &amp; Systems (ROIS); National Institute of Polar Research (NIPR) - Japan</t>
  </si>
  <si>
    <t>Hara, K (corresponding author), Fukuoka Univ, Fac Sci, Dept Earth Syst Sci, Fukuoka 8140180, Japan.</t>
  </si>
  <si>
    <t>harakei@fukuoka-u.ac.jp</t>
  </si>
  <si>
    <t>Fujita, Shuji/A-7884-2016; Yamanouchi, Takashi/P-2041-2015; Hara, Keiichiro/N-8264-2018</t>
  </si>
  <si>
    <t>Hara, Keiichiro/0000-0001-7440-7776; Yamanouchi, Takashi/0000-0001-6803-1901</t>
  </si>
  <si>
    <t>Japanese Antarctic Research Project; JSPS KAKENHI from the Ministry of Education, Culture, Sports, Science and Technology of Japan [16253001, 15310012, 22310013, 25550018, 15H02806, 18H05294]; Grants-in-Aid for Scientific Research [18H05294, 15310012, 15H02806, 25550018, 22310013, 16253001] Funding Source: KAKEN</t>
  </si>
  <si>
    <t>Japanese Antarctic Research Project; JSPS KAKENHI from the Ministry of Education, Culture, Sports, Science and Technology of Japan(Ministry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</si>
  <si>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Most observation data shown in the figures in this study were obtained in our earlier work conducted in the Antarctic and Arctic. We thank the members of the Japanese Antarctic Research Expedition for assistance with our measurements at Syowa Station. These studies were supported by the Japanese Antarctic Research Project. This work was also supported by JSPS KAKENHI (No. 16253001, 15310012, 22310013, 25550018, 15H02806, and 18H05294) from the Ministry of Education, Culture, Sports, Science and Technology of Japan.</t>
  </si>
  <si>
    <t>ROYAL SOC CHEMISTRY</t>
  </si>
  <si>
    <t>THOMAS GRAHAM HOUSE, SCIENCE PARK, MILTON RD, CAMBRIDGE CB4 0WF, CAMBS, ENGLAND</t>
  </si>
  <si>
    <t>2050-7887</t>
  </si>
  <si>
    <t>2050-7895</t>
  </si>
  <si>
    <t>ENVIRON SCI-PROC IMP</t>
  </si>
  <si>
    <t>Environ. Sci.-Process Impacts</t>
  </si>
  <si>
    <t>10.1039/d0em00092b</t>
  </si>
  <si>
    <t>Chemistry, Analytical; Environmental Sciences</t>
  </si>
  <si>
    <t>Chemistry; Environmental Sciences &amp; Ecology</t>
  </si>
  <si>
    <t>OE6QR</t>
  </si>
  <si>
    <t>WOS:000580653600001</t>
  </si>
  <si>
    <t>Patel, KK; Fitzgibbon, Q; Caraguel, CGB</t>
  </si>
  <si>
    <t>Patel, Kandarp K.; Fitzgibbon, Quinn; Caraguel, Charles G. B.</t>
  </si>
  <si>
    <t>Investigation of risk factors associated with sub-optimal holding survival in southern rock lobster (Jasus edwardsii) in Australia</t>
  </si>
  <si>
    <t>PREVENTIVE VETERINARY MEDICINE</t>
  </si>
  <si>
    <t>Annual General Meeting (AGM) of the Society-for-Veterinary-Epidemiology-and-Preventive-Medicine (SVEPM)</t>
  </si>
  <si>
    <t>MAR 27-29, 2019</t>
  </si>
  <si>
    <t>Utrecht, NETHERLANDS</t>
  </si>
  <si>
    <t>Southern rock lobster (Jasus edwardsii); Holding facility; Questionnaire; Risk factor analysis; Sub-Optimal survival</t>
  </si>
  <si>
    <t>PANULIRUS-CYGNUS; SPINY LOBSTER; AIR-EXPOSURE; NEPHROPS-NORVEGICUS; OXYGEN-CONSUMPTION; IMMUNE-SYSTEM; TRANSPORT; MORTALITY; EMERSION; GROWTH</t>
  </si>
  <si>
    <t>Southern rock lobster (SRL1, Jasus edwardsii) are caught from the wild waters of southern Australia and form an important commodity economically for the fisheries industry in Australia. Between landing and export, SRL are held in specialised tanks within holding facilities for varying time periods before being exported to China. During the 2015-16 fishing season a lower stock survival rate was reported by some holding facilities when compared to previous fishing seasons. An investigation was undertaken to identify possible causes and favouring factors using a retrospective, single cohort, observational study. A custom questionnaire was built and trialled to collect qualitative and quantitative information on facilities infrastructure and capacity (10 questions), water systems (16 questions), SRL stock and health management (12 questions). Onsite visits and interviews of consenting holding facilities, with active holding operations, were conducted. Facilities were categorised into different capacity and management profiles based on a multivariate factor analysis. The association between facility profiles and perceived sub-optimal survival was then explored using simple logistic regression models. Out of the 83 license holders on record, 63 were in operation at the time of survey and 52 (83%) consented to participate. Perceived sub-optimal survival was reported in 22 (42%) facilities. The capacity, bio-filtration and water management practices across the surveyed facilities was highly variable but did not appear to be associated with survival. However, 'Intensive holding' facilities compared to the 'Extensive holding' facilities were significantly associated with an increased risk of sub-optimal survival (OR = 7.0, 95% CI: 2.1-26.13, P = 0.002). 'Intensive holding' facilities were more likely to hold higher annual tonnage sourced from distant, diverse and higher number of sources, to multiple handle and stock SRL in crates (as opposed to free swimming in tanks), and hold them for longer time periods. Holding practices are highly diverse across the SRL industry with little evidence of impact on survival, however, intensive and large scale holding practices appeared to be at higher risk of sub-optimal survival. A longitudinal and finer scale study is warranted to identify which one(s) of the stock management practices directly impact SRL survival during holding.</t>
  </si>
  <si>
    <t>[Patel, Kandarp K.; Caraguel, Charles G. B.] Univ Adelaide, Sch Anim &amp; Vet Sci, Roseworthy, SA 5371, Australia; [Fitzgibbon, Quinn] Univ Tasmania, Fisheries &amp; Aquaculture Ctr, Inst Marine &amp; Antarctic Studies, Private Bag 49, Hobart, Tas 7001, Australia</t>
  </si>
  <si>
    <t>University of Adelaide; University of Tasmania</t>
  </si>
  <si>
    <t>Patel, KK (corresponding author), Univ Adelaide, Sch Anim &amp; Vet Sci, Roseworthy, SA 5371, Australia.</t>
  </si>
  <si>
    <t>Kandarp.patel@adelaide.edu.au</t>
  </si>
  <si>
    <t>Fitzgibbon, Quinn/0000-0002-1104-3052; Patel, Kandarp/0000-0002-2894-0112</t>
  </si>
  <si>
    <t>Tasmanian Rock Lobster Processors Association; South Australian Rock Lobster Advisory Council; Victorian Rock Lobster Association; Southern Rocklobster Pty Ltd.; Tasmanian Rock Lobster Fisherman's Association; Australian Southern Rock Lobster Processor and Export Industry; Fisheries Research and Development Corporation (FRDC)</t>
  </si>
  <si>
    <t>Tasmanian Rock Lobster Processors Association; South Australian Rock Lobster Advisory Council; Victorian Rock Lobster Association; Southern Rocklobster Pty Ltd.; Tasmanian Rock Lobster Fisherman's Association; Australian Southern Rock Lobster Processor and Export Industry; Fisheries Research and Development Corporation (FRDC)(Fisheries R&amp;D Corp)</t>
  </si>
  <si>
    <t>This study was supported by the Tasmanian Rock Lobster Processors Association, The South Australian Rock Lobster Advisory Council, and The Victorian Rock Lobster Association. It was funded by Southern Rocklobster Pty Ltd., Tasmanian Rock Lobster Fisherman's Association, Australian Southern Rock Lobster Processor and Export Industry and the Fisheries Research and Development Corporation (FRDC). The authors gratefully thank all members of the Australian Southern Rock Lobster Processor and Export Industry for their time and allowing us to visit their sites and providing data on capacity and management factors.</t>
  </si>
  <si>
    <t>RADARWEG 29a, 1043 NX AMSTERDAM, NETHERLANDS</t>
  </si>
  <si>
    <t>0167-5877</t>
  </si>
  <si>
    <t>1873-1716</t>
  </si>
  <si>
    <t>PREV VET MED</t>
  </si>
  <si>
    <t>Prev. Vet. Med.</t>
  </si>
  <si>
    <t>10.1016/j.prevetmed.2020.105122</t>
  </si>
  <si>
    <t>OD5US</t>
  </si>
  <si>
    <t>WOS:000579919400009</t>
  </si>
  <si>
    <t>Kennedy, F; Martin, A; McMinn, A</t>
  </si>
  <si>
    <t>Kennedy, Fraser; Martin, Andrew; McMinn, Andrew</t>
  </si>
  <si>
    <t>Insights into the Production and Role of Nitric Oxide in the Antarctic Sea-ice DiatomFragilariopsis cylindrus</t>
  </si>
  <si>
    <t>JOURNAL OF PHYCOLOGY</t>
  </si>
  <si>
    <t>Antarctic; Fragilariopsis cylindrus; microelectrodes; microfluidics; nitric oxide; sea-ice</t>
  </si>
  <si>
    <t>PHOTOSYNTHETIC EFFICIENCY; NO; FLUORESCENCE; GENERATION; COMPONENTS; RESPONSES; PATHWAY; NITRATE; DIATOM; GROWTH</t>
  </si>
  <si>
    <t>Nitric oxide (NO) is widely recognized as an important transmitter molecule in biological systems, from animals to plants and microbes. However, the role of NO in marine photosynthetic microbes remains unclear and even less is known about the role of this metabolite in Antarctic sea-ice diatoms. Using a combination of microsensors, microfluidic chambers, and artificial sea-ice tanks, a basic mechanistic insight into NO's dynamics within the Antarctic sea-ice diatomFragilariopsis cylindruswas obtained. Results suggest that NO production inF. cylindrusis nitrite-dependent via nitrate reductase. NO production was abolished upon exposure to light but could be induced in the light when normal photosynthetic electron flow was disrupted. The addition of exogenous NO to cellular suspensions ofF. cylindrusnegatively influenced growth, disrupted photosynthesis, and altered non-photochemical dissipation mechanisms. NO production was also observed when cells were exposed to stressful salinity and temperature regimes. These results suggest that during periods of environmental stress, NO could be produced inF. cylindrusas a stress signa molecule.</t>
  </si>
  <si>
    <t>[Kennedy, Fraser; Martin, Andrew; McMinn, Andrew] Univ Tasmania, Inst Marine &amp; Antarct Studies, Hobart, Tas, Australia</t>
  </si>
  <si>
    <t>Kennedy, F (corresponding author), Univ Tasmania, Inst Marine &amp; Antarct Studies, Hobart, Tas, Australia.</t>
  </si>
  <si>
    <t>f.c.kennedy@utas.edu.au</t>
  </si>
  <si>
    <t>Kennedy, Fraser/M-5145-2019; McMinn, Andrew/A-9910-2008</t>
  </si>
  <si>
    <t>Kennedy, Fraser/0000-0003-1796-0764; McMinn, Andrew/0000-0002-2133-3854</t>
  </si>
  <si>
    <t>0022-3646</t>
  </si>
  <si>
    <t>1529-8817</t>
  </si>
  <si>
    <t>J PHYCOL</t>
  </si>
  <si>
    <t>J. Phycol.</t>
  </si>
  <si>
    <t>10.1111/jpy.13027</t>
  </si>
  <si>
    <t>OE7VV</t>
  </si>
  <si>
    <t>WOS:000580734600007</t>
  </si>
  <si>
    <t>Ern, R; Chung, D; Frieder, CA; Madsen, N; Speers-Roesch, B</t>
  </si>
  <si>
    <t>Ern, Rasmus; Chung, Dillon; Frieder, Christina A.; Madsen, Niels; Speers-Roesch, Ben</t>
  </si>
  <si>
    <t>Oxygen-dependence of upper thermal limits in crustaceans from different thermal habitats</t>
  </si>
  <si>
    <t>JOURNAL OF THERMAL BIOLOGY</t>
  </si>
  <si>
    <t>Aquatic hypoxia; Cardiorespiratory thermal tolerance; Critical thermal maximum (CTMAX); Oxygen limit for thermal tolerance (PCTMAX); Polar stenothermal; Temperate eurythermal</t>
  </si>
  <si>
    <t>CLIMATE-CHANGE; ANTARCTIC BIVALVE; AEROBIC SCOPE; ACCLIMATION CAPACITY; ELEVATED CO2; SPIDER CRAB; TOLERANCE; FISHES; PERFORMANCE; RESPONSES</t>
  </si>
  <si>
    <t>The critical thermal maximum (CTMAX) is the temperature at which animals exhibit loss of motor response because of a temperature-induced collapse of vital physiological systems. A central mechanism hypothesised to underlie the CTMAX of water-breathing ectotherms is insufficient tissue oxygen supply for vital maintenance functions because of a temperature-induced collapse of the cardiorespiratory system. The CTMAX of species conforming to this hypothesis should decrease with declining water oxygen tension (PO2) because they have oxygen-dependent upper thermal limits. However, recent studies have identified a number of fishes and crustaceans with oxygen-independent upper thermal limits, their CTMAX unchanged in progressive aquatic hypoxia. The previous studies, which were performed separately on cold-water, temperate and tropical species, suggest the oxygen-dependence of upper thermal limits and the acute thermal sensitivity of the cardiorespiratory system increases with decreasing habitat temperature. Here we directly test this hypothesis by assessing the oxygen-dependence of CTMAX in the polar Antarctic krill (Euphausia superba), as well as the temperate Baltic prawn (Palaemon adspersus) and brown shrimp (Crangon crangon). We found that P. adspersus and C. crangon maintain CTMAX in progressive hypoxia down to 40 mmHg, and that only E. superba have oxygen-dependent upper thermal limits at normoxia. In E. superba, the observed decline in CTMAX with water PO2 is further supported by heart-rate measurements showing a plateauing, and subsequent decline and collapse of heart performance at CTMAX. Our results support the hypothesis that the oxygen-dependence of upper thermal limits in water-breathing ectotherms and the acute thermal sensitivity of their cardiorespiratory system increases with decreasing habitat temperature.</t>
  </si>
  <si>
    <t>[Ern, Rasmus; Madsen, Niels] Aalborg Univ, Dept Chem &amp; Biosci, Fredrik Bajers Vej 7H, DK-9220 Aalborg, Denmark; [Chung, Dillon] NHLBI, NIH, Bethesda, MD USA; [Frieder, Christina A.] Univ Southern Calif, Dept Biol Sci, Los Angeles, CA USA; [Speers-Roesch, Ben] Univ New Brunswick, Dept Biol Sci, St John, NB, Canada</t>
  </si>
  <si>
    <t>Aalborg University; National Institutes of Health (NIH) - USA; NIH National Heart Lung &amp; Blood Institute (NHLBI); University of Southern California; University of New Brunswick</t>
  </si>
  <si>
    <t>Ern, R (corresponding author), Aalborg Univ, Dept Chem &amp; Biosci, Fredrik Bajers Vej 7H, DK-9220 Aalborg, Denmark.</t>
  </si>
  <si>
    <t>rasmus@em.dk</t>
  </si>
  <si>
    <t>Ern, Rasmus/Q-6212-2018; Madsen, Niels/G-3548-2013</t>
  </si>
  <si>
    <t>Ern, Rasmus/0000-0002-4202-476X; Chung, Dillon/0000-0002-0329-3828; Frieder, Christina/0000-0003-2056-3954; Speers-Roesch, Ben/0000-0001-6510-7501</t>
  </si>
  <si>
    <t>United States National Science Foundation (NSF) [PLR-1245752, PLR-1245703]</t>
  </si>
  <si>
    <t>United States National Science Foundation (NSF)(National Science Foundation (NSF))</t>
  </si>
  <si>
    <t>This work was supported by the United States National Science Foundation (NSF) [grant number PLR-1245752 awarded to Deneb Karentz and grant number PLR-1245703 awarded to Donal Manahan].</t>
  </si>
  <si>
    <t>0306-4565</t>
  </si>
  <si>
    <t>J THERM BIOL</t>
  </si>
  <si>
    <t>J. Therm. Biol.</t>
  </si>
  <si>
    <t>10.1016/j.jtherbio.2020.102732</t>
  </si>
  <si>
    <t>Biology; Zoology</t>
  </si>
  <si>
    <t>Life Sciences &amp; Biomedicine - Other Topics; Zoology</t>
  </si>
  <si>
    <t>OD5AR</t>
  </si>
  <si>
    <t>WOS:000579864500039</t>
  </si>
  <si>
    <t>Goode, SL; Rowden, AA; Bowden, DA; Clark, MR</t>
  </si>
  <si>
    <t>Goode, Savannah L.; Rowden, Ashley A.; Bowden, David A.; Clark, Malcolm R.</t>
  </si>
  <si>
    <t>Resilience of seamount benthic communities to trawling disturbance</t>
  </si>
  <si>
    <t>MARINE ENVIRONMENTAL RESEARCH</t>
  </si>
  <si>
    <t>Resilience; Recovery; Benthic ecology; Deep ocean; Seamounts; Fisheries management; Disturbance; Anthropogenic impacts</t>
  </si>
  <si>
    <t>POPULATION GENETIC-STRUCTURE; MARINE PROTECTED AREA; DEEP-WATER CORALS; HOPLOSTETHUS-ATLANTICUS; HABITAT HETEROGENEITY; MEGAFAUNAL COMMUNITY; ANTARCTIC BENTHOS; GLOBAL ANALYSIS; RECOVERY RATES; ORANGE ROUGHY</t>
  </si>
  <si>
    <t>Despite bottom trawling being the most widespread, severe disturbance affecting deep-sea environments, it remains uncertain whether recovery is possible once trawling has ceased. Here, we review information regarding the resilience of seamount benthic communities to trawling. We focus on seamounts because benthic communities associated with these features are especially vulnerable to trawling as they are often dominated by emergent, sessile epifauna, and trawling on seamounts can be highly concentrated. We perform a meta-analysis to investigate whether any taxa demonstrate potential for recovery once trawling has ceased. Our findings indicate that mean total abundance can gradually increase after protection measures are placed, although taxa exhibit various responses, from no recovery to intermediate/high recovery, resistance, or signs of early colonisation. We use our results to recommend directions for future research to improve our understanding of the resilience of seamount benthic communities, and thereby inform the management of trawling impacts on these ecosystems.</t>
  </si>
  <si>
    <t>[Goode, Savannah L.; Rowden, Ashley A.; Bowden, David A.; Clark, Malcolm R.] Natl Inst Water &amp; Atmospher Res, Wellington, New Zealand; [Goode, Savannah L.; Rowden, Ashley A.] Victoria Univ Wellington, Wellington, New Zealand</t>
  </si>
  <si>
    <t>National Institute of Water &amp; Atmospheric Research (NIWA) - New Zealand; Victoria University Wellington</t>
  </si>
  <si>
    <t>Goode, SL (corresponding author), Natl Inst Water &amp; Atmospher Res, Wellington, New Zealand.</t>
  </si>
  <si>
    <t>Savannah.Goode@niwa.co.nz</t>
  </si>
  <si>
    <t>Rowden, Ashley/ABG-6010-2020</t>
  </si>
  <si>
    <t>Goode, Savannah/0000-0002-6468-3520</t>
  </si>
  <si>
    <t>National Science Foundation in the U.S.A [OCE-1334652, OCE-1334675]; Foundation for Research, Science and Technology Ecology of Seamounts programme [CO1X0028, CO1X0224, CO1X0508]; Ministry for Business, Innovation and Employment Vulnerable Deep-Sea Communities project [CO1X0906]; NIWA Coasts and Oceans Centre; Ministry of Fisheries [ZBD2000-04, ZBD2008-50]; Ministry for Primary Industries [BEN2014-02]; Census of Marine Life programme CenSeam in New Zealand; Victoria University of Wellington, New Zealand; CSIRO Wealth from Oceans Flagship; Department of Water, Environment, Heritage and the Arts in Australia</t>
  </si>
  <si>
    <t>National Science Foundation in the U.S.A(National Science Foundation (NSF)); Foundation for Research, Science and Technology Ecology of Seamounts programme; Ministry for Business, Innovation and Employment Vulnerable Deep-Sea Communities project; NIWA Coasts and Oceans Centre; Ministry of Fisheries; Ministry for Primary Industries; Census of Marine Life programme CenSeam in New Zealand; Victoria University of Wellington, New Zealand; CSIRO Wealth from Oceans Flagship(Commonwealth Scientific &amp; Industrial Research Organisation (CSIRO)); Department of Water, Environment, Heritage and the Arts in Australia</t>
  </si>
  <si>
    <t>We thank Amy R. Baco (Florida State University; FSU), E. Brendan Roark (Texas A&amp;M University), and Nicole B. Morgan (FSU) for making their data publicly available so that we could include their findings in our analyses. We also thank Alan Williams, Franziska Althaus, Nicholas J. Bax, Rudy J. Kloser (all Commonwealth Scientific and Industrial Research; CSIRO), and Thomas A. Schlacher (University. of the Sunshine Coast) for their work on the Tasmanian seamount time-series which aided our analyses. A special thanks to Rob Stewart (NIWA), who processed the Graveyard seamount imagery. Without the open availability of these data, we would not have been able to perform our meta-analysis of the seamount recovery studies we examined. Thanks are also due to the captains and crews of the Research Vessels Southern Surveyor, Tangaroa, Sikuliaq, Kilo Moana, and Ka'imikai-O-Kanaloa, and those who piloted/operated their respective imaging systems for making deep-sea surveys such as those we reviewed possible. The research we included in our analysis was supported by funding from: National Science Foundation in the U.S.A (grant numbers OCE-1334652 and OCE-1334675); the Foundation for Research, Science and Technology Ecology of Seamounts programme (Contracts CO1X0028, CO1X0224, and CO1X0508), the Ministry for Business, Innovation and Employment Vulnerable Deep-Sea Communities project (Contract CO1X0906), NIWA Coasts and Oceans Centre, the Ministry of Fisheries (Contracts ZBD2000-04 and ZBD2008-50), Ministry for Primary Industries (project BEN2014-02), and the Census of Marine Life programme CenSeam in New Zealand; and the CSIRO Wealth from Oceans Flagship and the Department of Water, Environment, Heritage and the Arts in Australia. Savannah Goode was supported by Ph.D. scholarship funding from Victoria University of Wellington, New Zealand.</t>
  </si>
  <si>
    <t>0141-1136</t>
  </si>
  <si>
    <t>1879-0291</t>
  </si>
  <si>
    <t>MAR ENVIRON RES</t>
  </si>
  <si>
    <t>Mar. Environ. Res.</t>
  </si>
  <si>
    <t>10.1016/j.marenvres.2020.105086</t>
  </si>
  <si>
    <t>Environmental Sciences; Marine &amp; Freshwater Biology; Toxicology</t>
  </si>
  <si>
    <t>Environmental Sciences &amp; Ecology; Marine &amp; Freshwater Biology; Toxicology</t>
  </si>
  <si>
    <t>OC9SP</t>
  </si>
  <si>
    <t>WOS:000579495700037</t>
  </si>
  <si>
    <t>Queirós, JP; Bustamante, P; Cherel, Y; Coelho, JP; Seco, J; Roberts, J; Pereira, E; Xavier, JC</t>
  </si>
  <si>
    <t>Queiros, Jose P.; Bustamante, Paco; Cherel, Yves; Coelho, Joao P.; Seco, Jose; Roberts, Jim; Pereira, Eduarda; Xavier, Jose C.</t>
  </si>
  <si>
    <t>Cephalopod beak sections used to trace mercury levels throughout the life of cephalopods: The giant warty squid Moroteuthopsis longimana as a case study</t>
  </si>
  <si>
    <t>Mercury; Trace elements; Southern ocean; Ontogenetic shifts; Bioaccumulation</t>
  </si>
  <si>
    <t>SOUTHERN INDIAN-OCEAN; KONDAKOVIA-LONGIMANA; OCTOPUS-VULGARIS; TROPHIC POSITION; DISSOSTICHUS-ELEGINOIDES; PATAGONIAN TOOTHFISH; WANDERING ALBATROSS; ARCHITEUTHIS-DUX; STOMACH CONTENTS; STABLE-ISOTOPES</t>
  </si>
  <si>
    <t>Cephalopods represent an important pathway for mercury transfer through food webs. Due to the general difficulties in capturing oceanic squid, beaks found in the diet of top predators can be used to study their life-cycles and ecological role. Using upper beaks of the giant warty squid Moroteuthopsis longimana (major prey in the Southern Ocean), we describe a method to assess mercury concentrations along the life of cephalopods through the segmentary analysis of beak sections (i.e. tip of the rostrum and subsections along the hood). Distinct total mercury concentrations in the different subsections support that beaks can be used to study mercury levels in different periods of cephalopods' life-cycle. Mercury values in the anterior (1.3-7.9 mu g kg(-1) dw) and posterior (7.8-12.5 mu g kg(-1) dw) subsections of the hood reflect juvenile and adult stages, respectively. Furthermore, these results confirm that mercury bioaccumulates continuously throughout the individuals' life, with adults doubling their mercury concentrations to juveniles.</t>
  </si>
  <si>
    <t>[Queiros, Jose P.; Xavier, Jose C.] Univ Coimbra, MARE Marine &amp; Environm Sci Ctr, Dept Life Sci, P-3000456 Coimbra, Portugal; [Bustamante, Paco] La Rochelle Univ, Littoral Environm &amp; Soc LIENSs, UMR 7266, CNRS, 2 Rue Olympe Gouges, F-17000 La Rochelle, France; [Bustamante, Paco] Inst Univ France IUF, 1 Rue Descartes, F-75005 Paris, France; [Cherel, Yves] La Rochelle Univ, Ctr Etud Biol Chize, UMR 7372, CNRS, F-79360 Villiers En Bois, France; [Coelho, Joao P.] Univ Aveiro, Dept Biol, Campus Univ Santiago, P-3810193 Aveiro, Portugal; [Coelho, Joao P.; Seco, Jose; Pereira, Eduarda] Univ Aveiro, CESAM Ctr Estudos Ambiente &amp; Mar, Campus Univ Santiago, P-3810193 Aveiro, Portugal; [Seco, Jose; Pereira, Eduarda] Univ Aveiro, Dept Quim, Campus Univ Santiago, P-3810193 Aveiro, Portugal; [Seco, Jose] Univ St Andrews, Pelag Ecol Res Grp, Scottish Oceans Inst, St Andrews KY16 8LB, Fife, Scotland; [Roberts, Jim] NIWA Natl Inst Water &amp; Atmospher Res, 301 Evans Bay Parade, Wellington 6021, New Zealand; [Xavier, Jose C.] British Antarctic Survey, NERC, Madingley Rd, Cambridge CB3 0ET, England</t>
  </si>
  <si>
    <t>Universidade de Coimbra; Centre National de la Recherche Scientifique (CNRS); CNRS - Institute of Ecology &amp; Environment (INEE); Institut Universitaire de France; Centre National de la Recherche Scientifique (CNRS); CNRS - Institute of Ecology &amp; Environment (INEE); Universidade de Aveiro; Universidade de Aveiro; Universidade de Aveiro; University of St Andrews; National Institute of Water &amp; Atmospheric Research (NIWA) - New Zealand; UK Research &amp; Innovation (UKRI); Natural Environment Research Council (NERC); NERC British Antarctic Survey</t>
  </si>
  <si>
    <t>Queirós, JP (corresponding author), Univ Coimbra, MARE Marine &amp; Environm Sci Ctr, Dept Life Sci, P-3000456 Coimbra, Portugal.</t>
  </si>
  <si>
    <t>jqueiros@student.uc.pt</t>
  </si>
  <si>
    <t>Queirós, José P./K-4158-2019; Xavier, José/KFB-6739-2024; Coelho, João Pedro/C-1699-2008; Bustamante, Paco/G-5833-2011</t>
  </si>
  <si>
    <t>Queirós, José P./0000-0003-2763-2529; Coelho, João Pedro/0000-0003-1975-8308; Bustamante, Paco/0000-0003-3877-9390; /0000-0002-9621-6660; Seco, Jose/0000-0002-7957-6488</t>
  </si>
  <si>
    <t>FCT [MARE - UID/MAR/04292/2013]; SCAR under the program SCAR AnT-ERA; IUF (Institut Universitaire de France); Portuguese Foundation for the Science and Technology (FCT) [SRFH/PD/BD/113487]; CESAM [UID/AMB/50017/2019]; Integrated Program of SRAMP;TD 'Smart Valorization of Endogenous Marine Biological Resources Under a Changing Climate' [Centro-01-0145-FEDER-000018]; (Centro 2020) program; Portugal 2020; European Regional Development Fund</t>
  </si>
  <si>
    <t>FCT(Fundacao para a Ciencia e a Tecnologia (FCT)); SCAR under the program SCAR AnT-ERA; IUF (Institut Universitaire de France); Portuguese Foundation for the Science and Technology (FCT)(Fundacao para a Ciencia e a Tecnologia (FCT)); CESAM; Integrated Program of SRAMP;TD 'Smart Valorization of Endogenous Marine Biological Resources Under a Changing Climate'; (Centro 2020) program; Portugal 2020; European Regional Development Fund(European Union (EU))</t>
  </si>
  <si>
    <t>This work is part of SCAR AnT-ERA, ICED, CEPH-BAS and SCAR-EGBAMM programs and this study benefitted from the strategic programme of MARE, financed by FCT (MARE - UID/MAR/04292/2013). JQ was supported by a travel grant by SCAR under the program SCAR AnT-ERA. The IUF (Institut Universitaire de France) is also acknowledged for its support to PB as a Senior Member. We acknowledge the Portuguese Foundation for the Science and Technology (FCT) through a PhD grant to JS (SRFH/PD/BD/113487). JPC is funded by CESAM (UID/AMB/50017/2019) and the Integrated Program of SR&amp;TD 'Smart Valorization of Endogenous Marine Biological Resources Under a Changing Climate' (Centro-01-0145-FEDER-000018), co-funded by (Centro 2020) program, Portugal 2020 and the European Regional Development Fund. The authors would like to thanks to the three anonymous reviewers that helped to improve the quality of the manuscript.</t>
  </si>
  <si>
    <t>10.1016/j.marenvres.2020.105049</t>
  </si>
  <si>
    <t>WOS:000579495700032</t>
  </si>
  <si>
    <t>Shelamoff, V; Layton, C; Tatsumi, M; Cameron, MJ; Wright, JJT; Edgar, GJ; Johnson, CR</t>
  </si>
  <si>
    <t>Shelamoff, Victor; Layton, Cayne; Tatsumi, Masayuki; Cameron, Matthew J.; Wright, Jeffrey T. J.; Edgar, Graham J.; Johnson, Craig R.</t>
  </si>
  <si>
    <t>High kelp density attracts fishes except for recruiting cryptobenthic species</t>
  </si>
  <si>
    <t>Artificial reef; Habitat degradation; Macroalgae; Patch dynamics; Eco-engineering; Fragmentation; Habitat matrix; Structural complexity; Restoration</t>
  </si>
  <si>
    <t>TEMPERATE REEF FISHES; HABITAT CHARACTERISTICS; MACROALGAL ASSEMBLAGES; PATCH SELECTION; NEW-ZEALAND; SCALE; ABUNDANCE; SIZE; MACROCYSTIS; PREDATORS</t>
  </si>
  <si>
    <t>As foundation species, kelp support productive and species rich communities; however, the effects of kelp structure on mobile species within these complex natural systems are often difficult to assess. We used artificial reefs with transplanted kelp to quantify the influence of kelp patch size and density on fish assemblages including the arrival of recruiting cryptobenthic species. Large patches with dense kelp supported the highest abundance, species richness, and diversity of fishes, with the addition of dense kelp tripling biomass and doubling richness. The abundance of recruits in artificial collectors declined with patch size and was halved on reefs with sparse kelp compared to reefs with dense kelp or no kelp. These results highlight the importance of dense kelp cover in facilitating biodiversity and indicate that kelp addition could support the recovery of degraded coastal ecosystems. Kelp also apparently drives complex interactions affecting the recruitment/behaviour of some cryptobenthic species.</t>
  </si>
  <si>
    <t>[Shelamoff, Victor; Layton, Cayne; Tatsumi, Masayuki; Cameron, Matthew J.; Wright, Jeffrey T. J.; Edgar, Graham J.; Johnson, Craig R.] Univ Tasmania, Inst Marine &amp; Antarctic Studies, Hobart, Tas 7004, Australia</t>
  </si>
  <si>
    <t>Shelamoff, V (corresponding author), Univ Tasmania, Inst Marine &amp; Antarctic Studies, Hobart, Tas 7004, Australia.</t>
  </si>
  <si>
    <t>victor.shelamoff@utas.edu.au</t>
  </si>
  <si>
    <t>Cameron, Matthew/AAE-2786-2020; Edgar, Graham/AAY-3797-2020; Wright, Jeffrey/J-7536-2014; Layton, Cayne/J-8443-2013</t>
  </si>
  <si>
    <t>Edgar, Graham/0000-0003-0833-9001; Wright, Jeffrey/0000-0002-1085-4582; Layton, Cayne/0000-0002-3390-6437</t>
  </si>
  <si>
    <t>Australian Research Council [DP130101113]; Holsworth Wildlife Research Endowment</t>
  </si>
  <si>
    <t>Australian Research Council(Australian Research Council); Holsworth Wildlife Research Endowment</t>
  </si>
  <si>
    <t>This study was funded by an Australian Research Council Discovery Grant DP130101113 (www.arc.gov.au) awarded to CRJ and JTW, and the Holsworth Wildlife Research Endowment awarded to CL.</t>
  </si>
  <si>
    <t>10.1016/j.marenvres.2020.105127</t>
  </si>
  <si>
    <t>WOS:000579495700051</t>
  </si>
  <si>
    <t>Kwon, SJ; Lee, PC</t>
  </si>
  <si>
    <t>Kwon, Soon Jae; Lee, Pyung Cheon</t>
  </si>
  <si>
    <t>Complete Genome Sequence of Yellow Pigment-Producing Sphingobium sp. Strain HAL-16</t>
  </si>
  <si>
    <t>MICROBIOLOGY RESOURCE ANNOUNCEMENTS</t>
  </si>
  <si>
    <t>CAROTENOIDS</t>
  </si>
  <si>
    <t>Sphingobium sp. strain HAL-16, which was isolated from Antarctic soil samples, synthesizes a yellow pigment. The complete genome consists of a single circular chromosome (4,372,398 bp, with a G+C content of 62.7%) and a single circular plasmid (57,025 bp, with a G+C content of 59.4%). Five genes encoding carotenogenic enzymes were identified, suggesting that the yellow pigment is a hydroxy/keto-beta-carotene.</t>
  </si>
  <si>
    <t>[Kwon, Soon Jae; Lee, Pyung Cheon] Ajou Univ, Dept Mol Sci &amp; Technol, Suwon, South Korea; [Kwon, Soon Jae; Lee, Pyung Cheon] Ajou Univ, Dept Appl Chem &amp; Biol Engn, Suwon, South Korea</t>
  </si>
  <si>
    <t>Ajou University; Ajou University</t>
  </si>
  <si>
    <t>Lee, PC (corresponding author), Ajou Univ, Dept Mol Sci &amp; Technol, Suwon, South Korea.;Lee, PC (corresponding author), Ajou Univ, Dept Appl Chem &amp; Biol Engn, Suwon, South Korea.</t>
  </si>
  <si>
    <t>pclee@ajou.ac.kr</t>
  </si>
  <si>
    <t>Lee, Pyung Cheon/AAR-1021-2021</t>
  </si>
  <si>
    <t>Lee, Pyung Cheon/0000-0003-2014-6587</t>
  </si>
  <si>
    <t>National Research Foundation of Korea [2020M3A9I5037889, 2012M1A2A2026562]; Priority Research Centers Program through the National Research Foundation of Korea [2019R1A6A11051471]</t>
  </si>
  <si>
    <t>National Research Foundation of Korea(National Research Foundation of Korea); Priority Research Centers Program through the National Research Foundation of Korea(National Research Foundation of Korea)</t>
  </si>
  <si>
    <t>This work was supported by the National Research Foundation of Korea (grants 2020M3A9I5037889 and 2012M1A2A2026562) and the Priority Research Centers Program through the National Research Foundation of Korea (grant 2019R1A6A11051471). The funders had no role in study design, data collection and interpretation, or the decision to submit the work for publication.</t>
  </si>
  <si>
    <t>2576-098X</t>
  </si>
  <si>
    <t>MICROBIOL RESOUR ANN</t>
  </si>
  <si>
    <t>Microbiol. Resour. Ann.</t>
  </si>
  <si>
    <t>e00985-20</t>
  </si>
  <si>
    <t>10.1128/MRA.00985-20</t>
  </si>
  <si>
    <t>OC9TW</t>
  </si>
  <si>
    <t>WOS:000579499700016</t>
  </si>
  <si>
    <t>Lee, JH; Lee, PC</t>
  </si>
  <si>
    <t>Lee, Jun Ho; Lee, Pyung Cheon</t>
  </si>
  <si>
    <t>Complete Genome Sequence of the Novel Psychrobacter sp. Strain AJ006, Which Has the Potential for Biomineralization</t>
  </si>
  <si>
    <t>LIPASE</t>
  </si>
  <si>
    <t>A novel Psychrobacter sp. strain, AJ006, was isolated from Antarctic soil. Its complete genome sequence consists of a single circular chromosome (3,032,533 bp; G+C content, 44.0%) and a single linear plasmid (49,070 bp; G+C content, 41.7%). Chromosomal genes encoding carbonic anhydrase and urease, key enzymes in a biomineralization process, were predicted.</t>
  </si>
  <si>
    <t>[Lee, Jun Ho; Lee, Pyung Cheon] Ajou Univ, Dept Mol Sci &amp; Technol, Suwon, South Korea; [Lee, Jun Ho; Lee, Pyung Cheon] Ajou Univ, Dept Appl Chem &amp; Biol Engn, Suwon, South Korea</t>
  </si>
  <si>
    <t>National Research Foundation of Korea [2020M3H7A1098288, 2012M1A2A2026562]; Priority Research Centers Program through the National Research Foundation of Korea [2019R1A6A11051471]</t>
  </si>
  <si>
    <t>This work was supported by the National Research Foundation of Korea (grant numbers 2020M3H7A1098288 and 2012M1A2A2026562) and the Priority Research Centers Program through the National Research Foundation of Korea (grant number 2019R1A6A11051471). The funders had no role in study design, data collection and interpretation, or the decision to submit the work for publication. We declare no conflict of interest.</t>
  </si>
  <si>
    <t>e00986-20</t>
  </si>
  <si>
    <t>10.1128/MRA.00986-20</t>
  </si>
  <si>
    <t>WOS:000579499700017</t>
  </si>
  <si>
    <t>Huang, EQ; Wang, PX; Wang, Y; Yan, M; Tian, J; Li, SH; Ma, WT</t>
  </si>
  <si>
    <t>Huang, Enqing; Wang, Pinxian; Wang, Yue; Yan, Mi; Tian, Jun; Li, Shihan; Ma, Wentao</t>
  </si>
  <si>
    <t>Dole effect as a measurement of the low-latitude hydrological cycle over the past 800 ka</t>
  </si>
  <si>
    <t>ICE CORE; ANTARCTIC ICE; GLOBAL MONSOON; WEST PACIFIC; ISOTOPIC COMPOSITION; CHRONOLOGY AICC2012; CLIMATE; DELTA-O-18; AGE; TEMPERATURE</t>
  </si>
  <si>
    <t>The quest of geological proxies to evaluate low-latitude hydrological changes at a planetary scale remains an ongoing issue. The Dole effect is such a potential proxy owing to its global character. We propose a new approach to recalculate the fluctuation of the Dole effect (Delta DE*) over the past 800 thousand years (ka). The Delta DE* calculated this way is dominated by precession cycles alone, with lesser variance in the obliquity bands and almost no variance in the eccentricity bands. Moreover, the Delta DE* is notably correlated with Chinese stalagmite.= delta O-18 record over the past 640 ka; simulated terrestrial rainfall changes between 30 degrees N and 30 degrees S over the past 300 ka. Our findings highlight the predominant role of the low-latitude hydroclimate in governing the Delta DE* on orbital time scales, while high-latitude climate impacts are negligible. In turn, we argue that the Delta DE* can be used to indicate low-latitude hydrological changes at a global extent.</t>
  </si>
  <si>
    <t>[Huang, Enqing; Wang, Pinxian; Wang, Yue; Tian, Jun; Li, Shihan; Ma, Wentao] Tongji Univ, State Key Lab Marine Geol, Shanghai 200092, Peoples R China; [Yan, Mi] Nanjing Normal Univ, Sch Geog, Key Lab Virtual Geog Environm, Nanjing 210023, Peoples R China; [Ma, Wentao] Second Inst Oceanog, State Key Lab Satellite Ocean Environm Dynam, Hangzhou 310012, Peoples R China</t>
  </si>
  <si>
    <t>Tongji University; Nanjing Normal University; Ministry of Natural Resources of the People's Republic of China; Second Institute of Oceanography, Ministry of Natural Resources</t>
  </si>
  <si>
    <t>Huang, EQ (corresponding author), Tongji Univ, State Key Lab Marine Geol, Shanghai 200092, Peoples R China.</t>
  </si>
  <si>
    <t>ehuang@tongji.edu.cn</t>
  </si>
  <si>
    <t>Jiang, Yu/JEZ-9814-2023; Wang, Yue/ABI-1008-2020</t>
  </si>
  <si>
    <t>Wang, Yue/0000-0002-2733-6220; Yan, Mi/0000-0003-4730-3781; Huang, Enqing/0000-0002-9290-2719; Ma, Wentao/0000-0002-7816-5150; Li, Shihan/0009-0001-8605-3466</t>
  </si>
  <si>
    <t>National Science Foundation of China [41776054, 41525020, 91128208, 41606045, 41976047]; National Key Research and Development Program [2018YFE0202401]</t>
  </si>
  <si>
    <t>National Science Foundation of China(National Natural Science Foundation of China (NSFC)); National Key Research and Development Program</t>
  </si>
  <si>
    <t>This research is funded by the National Science Foundation of China (nos. 41776054, 41525020, 91128208, 41606045, and 41976047) and the National Key Research and Development Program (2018YFE0202401).</t>
  </si>
  <si>
    <t>eaba4823</t>
  </si>
  <si>
    <t>10.1126/sciadv.aba4823</t>
  </si>
  <si>
    <t>OC4XP</t>
  </si>
  <si>
    <t>WOS:000579161500007</t>
  </si>
  <si>
    <t>McGlennen, M; Neubauer, M; Driesler, M; Dieser, M; Foreman, CM; Warnat, S</t>
  </si>
  <si>
    <t>McGlennen, Matthew; Neubauer, Michael; Driesler, Matthew; Dieser, Markus; Foreman, Christine M.; Warnat, Stephan</t>
  </si>
  <si>
    <t>Microsensors in Icy Environments to Detect Microbial Activities</t>
  </si>
  <si>
    <t>JOURNAL OF MICROELECTROMECHANICAL SYSTEMS</t>
  </si>
  <si>
    <t>Impedance spectroscopy; icy environments; in situ deployment; microfabricated sensors; microorganisms</t>
  </si>
  <si>
    <t>ELECTROCHEMICAL IMPEDANCE SPECTROSCOPY; BACTERIA</t>
  </si>
  <si>
    <t>Electrochemical techniques such as impedance spectroscopy offer a non-invasive approach to monitor microorganisms in natural and engineered environments. Here, we present data on the use of microfabricated impedance spectroscopy sensors for the detection of microbes in icy environments. Under controlled laboratory settings, the effects of different cell concentrations of the Antarctic isolate Flavobacterium sp. ANT 11 on impedance spectroscopy was investigated at ambient temperature (22 degrees C) and -10 degrees C. Results show that varying cell concentrations of the bacterial isolate generate unique spectral responses that vary with temperature. Subsequent tests on the performance of microfabricated impedance sensors on natural microbial communities in icy environments in the Beartooth Mountains, WY, USA, confirmed laboratory findings. Different environmental samples at varying microbial concentrations in liquid, semi-frozen (slushy), or frozen states generated discrete impedance spectra. While caution is advised to generalize these results due to the potential contribution of unknown environmental variables, our data provide fertile territory for research in cryo-microbiology, as information on the applicability of impedance spectroscopy under frozen conditions is limited. [2020-0150]</t>
  </si>
  <si>
    <t>[McGlennen, Matthew; Neubauer, Michael; Driesler, Matthew; Warnat, Stephan] Montana State Univ, Dept Mech &amp; Ind Engn, Bozeman, MT 59715 USA; [Dieser, Markus] Montana State Univ, Ctr Biofilm Engn, Bozeman, MT 59715 USA; [Foreman, Christine M.] Montana State Univ, Dept Chem &amp; Biol Engn, Bozeman, MT 59715 USA</t>
  </si>
  <si>
    <t>Montana State University System; Montana State University Bozeman; Montana State University System; Montana State University Bozeman; Montana State University System; Montana State University Bozeman</t>
  </si>
  <si>
    <t>Warnat, S (corresponding author), Montana State Univ, Dept Mech &amp; Ind Engn, Bozeman, MT 59715 USA.</t>
  </si>
  <si>
    <t>matthewmcglennen@montana.edu; michaelneubauer@montana.edu; mdriesler@outlook.com; markus.dieser@montana.edu; cforeman@montana.edu; stephan.warnat@montana.edu</t>
  </si>
  <si>
    <t>Driesler, Matthew/0000-0002-3886-7879; Neubauer, Michael/0000-0001-8534-3974; McGlennen, Matthew/0000-0003-4277-6109; Dieser, Markus/0000-0001-8539-6646; Foreman, Christine/0000-0003-0230-4692</t>
  </si>
  <si>
    <t>Montana Nanotechnology Facility; National Science Foundation, the National Nanotechnology Coordinated Infrastructure (NNCI) [ECCS1542210]; Center for Biofilm Engineering, Montana State University, NASA [80NSSC18K0814]</t>
  </si>
  <si>
    <t>Montana Nanotechnology Facility; National Science Foundation, the National Nanotechnology Coordinated Infrastructure (NNCI); Center for Biofilm Engineering, Montana State University, NASA</t>
  </si>
  <si>
    <t>This work was supported in part by the Montana Nanotechnology Facility and in part by the National Science Foundation, the National Nanotechnology Coordinated Infrastructure (NNCI), under Grant ECCS1542210. The work of Christine M. Foreman was supported by the Center for Biofilm Engineering, Montana State University, NASA Grant 80NSSC18K0814. Subject Editor R. Ghodssi.</t>
  </si>
  <si>
    <t>IEEE-INST ELECTRICAL ELECTRONICS ENGINEERS INC</t>
  </si>
  <si>
    <t>PISCATAWAY</t>
  </si>
  <si>
    <t>445 HOES LANE, PISCATAWAY, NJ 08855-4141 USA</t>
  </si>
  <si>
    <t>1057-7157</t>
  </si>
  <si>
    <t>1941-0158</t>
  </si>
  <si>
    <t>J MICROELECTROMECH S</t>
  </si>
  <si>
    <t>J. Microelectromech. Syst.</t>
  </si>
  <si>
    <t>10.1109/JMEMS.2020.3012420</t>
  </si>
  <si>
    <t>Engineering, Electrical &amp; Electronic; Nanoscience &amp; Nanotechnology; Instruments &amp; Instrumentation; Physics, Applied</t>
  </si>
  <si>
    <t>Engineering; Science &amp; Technology - Other Topics; Instruments &amp; Instrumentation; Physics</t>
  </si>
  <si>
    <t>NY5ZF</t>
  </si>
  <si>
    <t>WOS:000576466500034</t>
  </si>
  <si>
    <t>Howarth, LM; Somerfield, PJ; Blanchard, JL; Waggitt, JJ; Allender, S; Hiddink, JG</t>
  </si>
  <si>
    <t>Howarth, Leigh M.; Somerfield, Paul J.; Blanchard, Julia L.; Waggitt, James J.; Allender, Susan; Hiddink, Jan G.</t>
  </si>
  <si>
    <t>The effects of trawling and primary production on size-structured food webs in seabed ecosystems</t>
  </si>
  <si>
    <t>CANADIAN JOURNAL OF FISHERIES AND AQUATIC SCIENCES</t>
  </si>
  <si>
    <t>FISH COMMUNITY; SPECTRA; DISTURBANCE; BIOMASS; ABUNDANCE; COMPETITION; PREDATION; DEPLETION; RECOVERY; IMPACTS</t>
  </si>
  <si>
    <t>Understanding how different drivers shape relationships between abundance and body mass (size spectra) is important for understanding trophic and competitive interactions in food webs and for predicting the effects of human pressures. Here, we sample seabed communities from small polychaetes (&lt;0.001 g) to large fish (&gt; 1 kg) in the Celtic Sea and the western English Channel to examine how bottom trawling and primary production affect their size spectra and to compare these with predictions from a model that couples predator and detritivore communities. Size spectra were not well approximated by linear fits because of truncation of the size spectra of detritivores. Low primary production resulted in lower abundance of benthic fauna. Bottom trawling reduced the abundance of predators and large detritivores but allowed small detritivores to increase in abundance. These empirical size spectra were partly consistent with predictions from the size spectra model, showing that understanding the structuring of benthic communities requires a consideration of both size and functional group. The findings highlight the need for an ecosystem approach to understanding the effects of exploitation and climate change on marine ecosystems.</t>
  </si>
  <si>
    <t>[Howarth, Leigh M.; Waggitt, James J.; Allender, Susan; Hiddink, Jan G.] Bangor Univ, Sch Ocean Sci, Menai Bridge LL59 5AB, Gwynedd, Wales; [Somerfield, Paul J.] Plymouth Marine Lab, Prospect Pl, Plymouth PL1 3DH, Devon, England; [Blanchard, Julia L.] Univ Tasmania, Inst Marine &amp; Antarctic Studies, Hobart, Tas 7001, Australia</t>
  </si>
  <si>
    <t>Bangor University; Plymouth Marine Laboratory; University of Tasmania</t>
  </si>
  <si>
    <t>Hiddink, JG (corresponding author), Bangor Univ, Sch Ocean Sci, Menai Bridge LL59 5AB, Gwynedd, Wales.</t>
  </si>
  <si>
    <t>j.hiddink@bangor.ac.uk</t>
  </si>
  <si>
    <t>Blanchard, Julia L/E-4919-2010; Hiddink, Jan Geert/C-1238-2009; Howarth, Leigh/KEI-6880-2024; Somerfield, Paul/J-9189-2014</t>
  </si>
  <si>
    <t>Somerfield, Paul/0000-0002-7581-5621; Blanchard, Julia/0000-0003-0532-4824; Howarth, Leigh/0000-0003-1689-6713</t>
  </si>
  <si>
    <t>Natural Environment Research Council [NE/L003279/1]; Department for Environment, Food and Rural Affairs [NE/L003279/1]; Natural Environment Research Council through its National Capability Long-term Single Centre Science Programme, Climate Linked Atlantic Sector Science [NE/R015953/1]; NERC [pml010009, NE/P021107/1, NE/L003279/1, NE/H01747X/1, NE/L003201/1, NE/K00204X/1, NE/R015953/1, NE/T010843/1, pml010004, pml010003, pml010007] Funding Source: UKRI</t>
  </si>
  <si>
    <t>Natural Environment Research Council(UK Research &amp; Innovation (UKRI)Natural Environment Research Council (NERC)); Department for Environment, Food and Rural Affairs(Department for Environment, Food &amp; Rural Affairs (DEFRA)); Natural Environment Research Council through its National Capability Long-term Single Centre Science Programme, Climate Linked Atlantic Sector Science; NERC(UK Research &amp; Innovation (UKRI)Natural Environment Research Council (NERC))</t>
  </si>
  <si>
    <t>This work was supported by the Natural Environment Research Council and Department for Environment, Food and Rural Affairs (grant No. NE/L003279/1, Marine Ecosystems Research Programme). PJS acknowledges support from Natural Environment Research Council through its National Capability Long-term Single Centre Science Programme, Climate Linked Atlantic Sector Science, grant No. NE/R015953/1. We thank Ian Pritchard, Wendy Robertson, Tanya Riley, Maria Giulia Moretti-Bushin, Jack Buckingham, Hannah Hernon, Charlotte Mathews, Claude Eric-Marquet, Craig Robertson, Marija Sciberras, Kathryn Hughes, Sowmiya Shivaji, Tom Perkins, Michael Spence, James Pilkington, Julia Rulent, Anna Canning, Gillian Peacock, Pascal Dubois, Anna Krystali, Nikki Lacey, Federico Ghiazza, Lucy Hawkesworth, Sarah Holmes, Sarah Dashfield, Christine Pascoe, Natalie Welden, Marine Cendrier, and Camille Govoue-Maurin for their assistance with sampling and laboratory work.</t>
  </si>
  <si>
    <t>CANADIAN SCIENCE PUBLISHING</t>
  </si>
  <si>
    <t>OTTAWA</t>
  </si>
  <si>
    <t>65 AURIGA DR, SUITE 203, OTTAWA, ON K2E 7W6, CANADA</t>
  </si>
  <si>
    <t>0706-652X</t>
  </si>
  <si>
    <t>1205-7533</t>
  </si>
  <si>
    <t>CAN J FISH AQUAT SCI</t>
  </si>
  <si>
    <t>Can. J. Fish. Aquat. Sci.</t>
  </si>
  <si>
    <t>10.1139/cjfas-2020-0025</t>
  </si>
  <si>
    <t>NX6EC</t>
  </si>
  <si>
    <t>WOS:000575801000005</t>
  </si>
  <si>
    <t>Malyarenko, A; Wells, AJ; Langhorne, PJ; Robinson, NJ; Williams, MJM; Nicholls, KW</t>
  </si>
  <si>
    <t>Malyarenko, Alena; Wells, Andrew J.; Langhorne, Patricia J.; Robinson, Natalie J.; Williams, Michael J. M.; Nicholls, Keith W.</t>
  </si>
  <si>
    <t>A synthesis of thermodynamic ablation at ice-ocean interfaces from theory, observations and models</t>
  </si>
  <si>
    <t>OCEAN MODELLING</t>
  </si>
  <si>
    <t>Ablation; Ice melting; Cryosphere; Heat transfer; Ice shelf cavity observations; Ice-ocean modelling</t>
  </si>
  <si>
    <t>BOUNDARY-LAYER BENEATH; PINE ISLAND GLACIER; FRESH-WATER BUDGETS; SHELF MELT RATES; SEA-ICE; SUBGLACIAL DISCHARGE; TIDEWATER GLACIER; TURBULENT HEAT; BASAL MELT; SUBMARINE MELT</t>
  </si>
  <si>
    <t>Thermodynamic ablation of ice in contact with the ocean is an essential element of ice sheet and ocean interactions but is challenging to model and quantify. Building on earlier observations of sea ice ablation, a variety of recent theoretical, experimental and observational studies have considered ice ablation in contrasting geometries, from vertical to near-horizontal ice faces, and reveal different scaling behaviour for predicted ablation rates in different dynamical regimes. However, uncertainties remain about when the contrasting results should be applied, as existing model parameterisations do not capture all relevant regimes of ice-ocean ablation. To progress towards improved models of ice-ocean interaction, we synthesise current understanding into a classification of ablation types. We examine the effect of the classification on the parameterisation of turbulent fluxes from the ocean towards the ice, and identify the dominant processes next to ice interfaces of different orientation. Four ablation types are defined: melting and dissolving based on ocean temperatures, and shear-controlled and buoyancy-controlled regimes based on the dynamics of the near-ice molecular sublayer. We describe existing observational and modelling studies of sea ice, ice shelves, and glacier termini, as well as laboratory studies, to show how they fit into this classification. Two sets of observations from the Ross and Ronne Ice Shelf cavities suggest that both the buoyancy-controlled and shear-controlled regimes may be relevant under different oceanographic conditions. Overall, buoyancy-controlled dynamics are more likely when the molecular sublayer has lower Reynolds number, and shear for higher Reynolds number, although the observations suggest some variability about this trend.</t>
  </si>
  <si>
    <t>[Malyarenko, Alena; Langhorne, Patricia J.] Univ Otago, Dept Phys, Dunedin 9054, New Zealand; [Malyarenko, Alena; Robinson, Natalie J.; Williams, Michael J. M.] Natl Inst Water &amp; Atmospher Res, Wellington 6022, New Zealand; [Wells, Andrew J.] Univ Oxford, Dept Phys, Clarendon Lab, Atmospher Ocean &amp; Planetary Phys, Parks Rd, Oxford OX1 3PU, England; [Nicholls, Keith W.] British Antarctic Survey, Madingley Rd, Cambridge CB3 0ET, England</t>
  </si>
  <si>
    <t>University of Otago; National Institute of Water &amp; Atmospheric Research (NIWA) - New Zealand; University of Oxford; UK Research &amp; Innovation (UKRI); Natural Environment Research Council (NERC); NERC British Antarctic Survey</t>
  </si>
  <si>
    <t>Malyarenko, A (corresponding author), Univ Otago, Dept Phys, Dunedin 9054, New Zealand.</t>
  </si>
  <si>
    <t>alena.malyarenko@niwa.co.nz</t>
  </si>
  <si>
    <t>; Langhorne, Pat/C-3539-2018</t>
  </si>
  <si>
    <t>Wells, Andrew/0000-0001-7929-6227; Langhorne, Pat/0000-0003-0239-7657; Malyarenko, Alena/0000-0002-6128-3804</t>
  </si>
  <si>
    <t>University of Otago Doctoral Scholarship, New Zealand; New Zealand Antarctic Research Institute Scholarship; Isaac Newton Institute for Mathematical Sciences, Cambridge during the Mathematics of Sea Ice Phenomena (EPSRC, UK) [EP/K032208/1]; Deep South National Science Challenge, New Zealand; NERC [bas0100033] Funding Source: UKRI</t>
  </si>
  <si>
    <t>University of Otago Doctoral Scholarship, New Zealand; New Zealand Antarctic Research Institute Scholarship; Isaac Newton Institute for Mathematical Sciences, Cambridge during the Mathematics of Sea Ice Phenomena (EPSRC, UK)(UK Research &amp; Innovation (UKRI)Engineering &amp; Physical Sciences Research Council (EPSRC)); Deep South National Science Challenge, New Zealand; NERC(UK Research &amp; Innovation (UKRI)Natural Environment Research Council (NERC))</t>
  </si>
  <si>
    <t>AM is supported by the University of Otago Doctoral Scholarship, New Zealand and the New Zealand Antarctic Research Institute Scholarship. AM &amp; PJL &amp; AJW enjoyed the support and hospitality of the Isaac Newton Institute for Mathematical Sciences, Cambridge during the Mathematics of Sea Ice Phenomena (supported by EPSRC, UK Grant No EP/K032208/1). AM, MJMW, NJR &amp; PJL have been partially supported by the Deep South National Science Challenge, New Zealand.</t>
  </si>
  <si>
    <t>1463-5003</t>
  </si>
  <si>
    <t>1463-5011</t>
  </si>
  <si>
    <t>OCEAN MODEL</t>
  </si>
  <si>
    <t>Ocean Model.</t>
  </si>
  <si>
    <t>10.1016/j.ocemod.2020.101692</t>
  </si>
  <si>
    <t>NX5YF</t>
  </si>
  <si>
    <t>WOS:000575785700003</t>
  </si>
  <si>
    <t>Aguiar, W; Prado, LF; Wainer, I; Liu, ZY; Montenegro, A; Meissner, KJ; Mata, MM</t>
  </si>
  <si>
    <t>Aguiar, Wilton; Prado, Luciana F.; Wainer, Ilana; Liu, Zhengyu; Montenegro, Alvaro; Meissner, Katrin J.; Mata, Mauricio M.</t>
  </si>
  <si>
    <t>Freshwater forcing control on early-Holocene South American monsoon</t>
  </si>
  <si>
    <t>8.2 ka event; Lake agassiz; SAMS; SASD; Early holocene</t>
  </si>
  <si>
    <t>GLACIAL LAKE AGASSIZ; SYSTEM CLIMATE MODEL; SEA-LEVEL; FIRE HISTORY; VEGETATION; EARTH; EVENT; VARIABILITY; MAXIMUM; SURFACE</t>
  </si>
  <si>
    <t>Climate anomalies due to Lake Agassiz outbursts and Hudson Bay ice dome melting are commonly considered triggers of North American atmospheric cooling. However, in the Southern Hemisphere, these freshwater fluxes are mostly associated with increased precipitation and a possible intensification of the South American Monsoon System (SAMS). Here, we tested how the SAMS responded to early-Holocene meltwater events. Based on both proxy data and simulations, we find that sea surface temperatures (SSTs) and precipitation indicate a freshwater-driven strengthening of the SAMS due to a weakening of the South Atlantic subtropical dipole. Simulated SAMS strengthening accounts for up to 50% of the variance in early-Holocene precipitation in South America. In turn, changes in the South Atlantic Subtropical Dipole accounts for up to 31% of the variance in South Atlantic SSTs. Additionally, we propose that the stronger SAMS in the early Holocene might have been due to a freshwater-driven weakening of the southeasterly trade winds. Slower trade winds weaken the zonal and meridional surface water transport, concentrating warm waters in the northeastern South Atlantic. (C) 2020 Elsevier Ltd. All rights reserved.</t>
  </si>
  <si>
    <t>[Aguiar, Wilton; Mata, Mauricio M.] Univ Fed Rio Grande FURG, Inst Oceanog, Lab Estudos Oceanos &amp; Clima, BR-96203900 Rio Grande, RS, Brazil; [Prado, Luciana F.] Univ Brasilia, Inst Geociencias, Campus Darcy Ribeiro, BR-70910900 Brasilia, DF, Brazil; [Wainer, Ilana] Univ Sao Paulo, Inst Oceanog, BR-05508120 Sao Paulo, Brazil; [Liu, Zhengyu; Montenegro, Alvaro] Ohio State Univ, Dept Geog, Atmospher Sci Program, Columbus, OH 43210 USA; [Meissner, Katrin J.] Univ New South Wales, Climate Change Res Ctr, Sydney, NSW, Australia; [Meissner, Katrin J.] Univ New South Wales, ARC Ctr Excellence Climate Extremes, Sydney, NSW, Australia</t>
  </si>
  <si>
    <t>Universidade Federal do Rio Grande; Universidade de Brasilia; Universidade de Sao Paulo; University System of Ohio; Ohio State University; University of New South Wales Sydney; University of New South Wales Sydney</t>
  </si>
  <si>
    <t>Aguiar, W (corresponding author), Univ Fed Rio Grande FURG, Inst Oceanog, Lab Estudos Oceanos &amp; Clima, BR-96203900 Rio Grande, RS, Brazil.</t>
  </si>
  <si>
    <t>aguiar.wilton@gmail.com</t>
  </si>
  <si>
    <t>Aguiar, Wilton/AAK-3747-2021; Montenegro, Alvaro/B-4744-2013; Prado, Luciana Figueiredo/M-9312-2019; WAINER, ILANA/B-4540-2011; Mata, Mauricio/H-4605-2011</t>
  </si>
  <si>
    <t>Prado, Luciana Figueiredo/0000-0002-6446-8986; WAINER, ILANA/0000-0003-3784-623X; Mata, Mauricio/0000-0002-9028-8284; Meissner, Katrin/0000-0002-0716-7415; Aguiar, Wilton/0000-0003-2453-9791</t>
  </si>
  <si>
    <t>CNPq [465680/2014-3, 306896/2015-0]; FAPERGS [17/2551-0000518-0]; Brazilian Antarctic Program (PROANTAR) through the Brazilian Ministry of the Environment (MMA); Brazilian Ministry of Science, Technology, Innovation MCTI; Council for Research and Scientific Development of Brazil (CNPq) [442628/2018-8]; CAPES Foundation [AUXPE 1995/2014, 88881.149066/2017-01]; FAPESP [2015/50686-1]; CAPES Foundation; Fulbright association for promoting the scientific interchange; Ohio Supercomputer Center</t>
  </si>
  <si>
    <t>CNPq(Conselho Nacional de Desenvolvimento Cientifico e Tecnologico (CNPQ)); FAPERGS(Fundacao de Amparo a Ciencia e Tecnologia do Estado do Rio Grande do Sul (FAPERGS)); Brazilian Antarctic Program (PROANTAR) through the Brazilian Ministry of the Environment (MMA); Brazilian Ministry of Science, Technology, Innovation MCTI; Council for Research and Scientific Development of Brazil (CNPq)(Conselho Nacional de Desenvolvimento Cientifico e Tecnologico (CNPQ)Fundacao de Apoio a Pesquisa do Distrito Federal (FAPDF)); CAPES Foundation(Coordenacao de Aperfeicoamento de Pessoal de Nivel Superior (CAPES)); FAPESP(Fundacao de Amparo a Pesquisa do Estado de Sao Paulo (FAPESP)); CAPES Foundation(Coordenacao de Aperfeicoamento de Pessoal de Nivel Superior (CAPES)); Fulbright association for promoting the scientific interchange; Ohio Supercomputer Center</t>
  </si>
  <si>
    <t>This study is a contribution to the activities of the INCT-CRIOSFERA (CNPq grant 465680/2014-3 and FAPERGS grant 17/2551-0000518-0) and the Brazilian High Latitudes Oceanography Group (GOAL). The GOAL has been funded by the Brazilian Antarctic Program (PROANTAR) through the Brazilian Ministry of the Environment (MMA), the Brazilian Ministry of Science, Technology, Innovation MCTI), the Council for Research and Scientific Development of Brazil (CNPq grant 442628/2018-8), and CAPES Foundation (AUXPE 1995/2014). M. M. Mata acknowledges CNPq fellowship 306896/2015-0. I. Wainer aknowledges the grants 88881.149066/2017-01 from the CAPES foundation and 2015/50686-1 from FAPESP. Wilton Aguiar acknowledges the financial support from the CAPES Foundation, the Fulbright association for promoting the scientific interchange required by this work, and the Ohio Supercomputer Center.</t>
  </si>
  <si>
    <t>10.1016/j.quascirev.2020.106498</t>
  </si>
  <si>
    <t>NX5HF</t>
  </si>
  <si>
    <t>WOS:000575741200004</t>
  </si>
  <si>
    <t>Wang, L; Hardiman, SC; Bett, PE; Comer, RE; Kent, C; Scaife, AA</t>
  </si>
  <si>
    <t>Wang, L.; Hardiman, S. C.; Bett, P. E.; Comer, R. E.; Kent, C.; Scaife, A. A.</t>
  </si>
  <si>
    <t>What chance of a sudden stratospheric warming in the southern hemisphere?</t>
  </si>
  <si>
    <t>sudden stratospheric warming; southern hemisphere; polar vortex; wildfire</t>
  </si>
  <si>
    <t>INTERANNUAL VARIABILITY; PLANETARY-WAVES; VACILLATION; CLIMATE; MODEL; PREDICTION</t>
  </si>
  <si>
    <t>Sudden stratospheric warmings (SSWs) are amongst the most dramatic events in the Earth's atmosphere and they drive extreme surface weather conditions. They have been recently linked to the hot and dry weather conditions that favour wildfires over Australia. However, the chance of a southern hemisphere event is unknown because it has only been observed once. Legitimate estimation of the frequency of SSW events requires a large sample of realistic model simulations. Here we show that the chance of an event is close to 4% per year, implying that an event will occur, on average, every 25 yr, using a state-of-the-art model that simulates SSWs accurately. It is thus not surprising that there was a near miss in the September prior to the Australian wildfire of 2019, given the 40 yr of comprehensive satellite records and just one observed Antarctic event. According to this new estimate, it would also not be surprising to see a second SSW event in the coming years in the southern hemisphere. Such a stratospheric warming event might bring further extreme surface weather conditions and natural hazards, as it may raise the risk of increased rainfall in the latitudinal band of 35-50 degrees S. Meanwhile, the associated hot and dry weather conditions over austral subtropical continents might increase the risk of wildfires over these regions.</t>
  </si>
  <si>
    <t>[Wang, L.] Fudan Univ, Dept Atmospher &amp; Ocean Sci, Shanghai, Peoples R China; [Wang, L.] Fudan Univ, Inst Atmospher Sci, Shanghai, Peoples R China; [Wang, L.] Shanghai Inst Pollut Control &amp; Ecol Secur, Shanghai, Peoples R China; [Wang, L.] Fudan Univ, Big Data Inst Carbon Emiss &amp; Environm Pollut, Shanghai, Peoples R China; [Hardiman, S. C.; Bett, P. E.; Comer, R. E.; Kent, C.; Scaife, A. A.] Met Off Hadley Ctr, Fitz Roy Rd, Exeter, Devon, England; [Scaife, A. A.] Univ Exeter, Coll Engn Math &amp; Phys Sci, Exeter, Devon, England</t>
  </si>
  <si>
    <t>Fudan University; Fudan University; Fudan University; Met Office - UK; Hadley Centre; University of Exeter</t>
  </si>
  <si>
    <t>Wang, L (corresponding author), Fudan Univ, Dept Atmospher &amp; Ocean Sci, Shanghai, Peoples R China.;Wang, L (corresponding author), Fudan Univ, Inst Atmospher Sci, Shanghai, Peoples R China.;Wang, L (corresponding author), Shanghai Inst Pollut Control &amp; Ecol Secur, Shanghai, Peoples R China.;Wang, L (corresponding author), Fudan Univ, Big Data Inst Carbon Emiss &amp; Environm Pollut, Shanghai, Peoples R China.</t>
  </si>
  <si>
    <t>wanglei_ias@fudan.edu.cn</t>
  </si>
  <si>
    <t>Wang, Lei/F-1269-2015; Hardiman, Steven/HDO-0165-2022; Bett, Philip E/I-2682-2012; Comer, Ruth/AAS-5205-2020; Wang, Lei/AAE-7991-2020</t>
  </si>
  <si>
    <t>Bett, Philip E/0000-0002-4508-7192; Comer, Ruth/0009-0007-5336-0244; Wang, Lei/0000-0002-1618-1796; , Chris/0000-0001-5001-2569</t>
  </si>
  <si>
    <t>National Natural Science Foundation of China (NSFC) [41875047, 91837206]; Fudan University [JIH2308132]; Met Office Hadley Centre Climate Programme - BEIS; Defra</t>
  </si>
  <si>
    <t>National Natural Science Foundation of China (NSFC)(National Natural Science Foundation of China (NSFC)); Fudan University; Met Office Hadley Centre Climate Programme - BEIS; Defra(Department for Environment, Food &amp; Rural Affairs (DEFRA))</t>
  </si>
  <si>
    <t>We thank the European Centre for Medium-Range Weather Forecasts for providing ERA-Interim data. L W is supported by Grants 41875047 and 91837206 from National Natural Science Foundation of China (NSFC) and Grant JIH2308132 from Fudan University. This work was supported by the Met Office Hadley Centre Climate Programme funded by BEIS and Defra.</t>
  </si>
  <si>
    <t>10.1088/1748-9326/aba8c1</t>
  </si>
  <si>
    <t>NX2OJ</t>
  </si>
  <si>
    <t>WOS:000575553700001</t>
  </si>
  <si>
    <t>Feyzioglu, AM; Basar, E; Yildiz, I; Ozsoy, B</t>
  </si>
  <si>
    <t>Feyzioglu, Ali Muzaffer; Basar, Ersan; Yildiz, Ilknur; Ozsoy, Burcu</t>
  </si>
  <si>
    <t>Microplankton Composition and Spatial Distribution Along the West Antarctic Peninsula During the Late Summer of 2017</t>
  </si>
  <si>
    <t>TURKISH JOURNAL OF FISHERIES AND AQUATIC SCIENCES</t>
  </si>
  <si>
    <t>Antarctica; West Antarctic Peninsula; Microplankton; Community Structure; Phytoplankton</t>
  </si>
  <si>
    <t>KING-GEORGE-ISLAND; ADMIRALTY BAY; COMMUNITY STRUCTURE; PHYTOPLANKTON; ASSEMBLAGES; VARIABILITY; BIOMASS; SPORES; WATERS</t>
  </si>
  <si>
    <t>Microplankton is composed of organisms between 20 and 200 mu m in size (greatest axial linear dimension) and is a mixture of phytoplankton and zooplankton. It is an important component of the marine pelagic ecosystem not only as primary producers but also as consumers in the microbial loop. In the present paper, the results of microplankton species abundance and their community structure during the first Turkish Antarctic Expedition (TAE-1) at late Antarctic summer were given at four coastal stations along the west Antarctic Peninsula (wAP). According to these results, a total of 37 microplankton species were observed. Diatoms were the dominant group, followed by ciliates. The highest total microplankton cell concentrations were 18370 cells l(-1) and 24350 cells l(-1) at P4 and P2 sampling stations, respectively. Although the most common phytoplankton and ciliate species were Odontella weissflogii and Cymatocylis affinis, respectively, diversity indexes showed that no dominance of a species could be mentioned at any station. Additionally, we observed that the southern part of the wAP is significantly different from its northernmost part in microplankton abundance/composition</t>
  </si>
  <si>
    <t>[Feyzioglu, Ali Muzaffer; Basar, Ersan] Karadeniz Tech Univ, Fac Marine Sci, TR-61530 Trabzon, Turkey; [Yildiz, Ilknur] Karadeniz Tech Univ, Inst Marine Sci &amp; Technol, TR-61080 Trabzon, Turkey; [Ozsoy, Burcu] Istanbul Tech Univ, Maritime Fac, Istanbul, Turkey</t>
  </si>
  <si>
    <t>Karadeniz Technical University; Karadeniz Technical University; Istanbul Technical University</t>
  </si>
  <si>
    <t>Feyzioglu, AM (corresponding author), Karadeniz Tech Univ, Fac Marine Sci, TR-61530 Trabzon, Turkey.</t>
  </si>
  <si>
    <t>mufeyzioglu@gmail.com</t>
  </si>
  <si>
    <t>Basar, Ersan/AAG-4396-2019; Ozsoy, Burcu/AAH-5348-2020</t>
  </si>
  <si>
    <t>Basar, Ersan/0000-0002-1458-4102; Ozsoy, Burcu/0000-0003-4320-1796</t>
  </si>
  <si>
    <t>Turkish Republic Presidency - Ministry of Science Industry and Technology [TAE 1]</t>
  </si>
  <si>
    <t>Turkish Republic Presidency - Ministry of Science Industry and Technology</t>
  </si>
  <si>
    <t>This study was carried under the auspices of Turkish Republic Presidency, supported by the Ministry of Science Industry and Technology (Number: TAE 1), and the project was coordinated by Istanbul Technical University (ITU) Polar Research Center (PolReC). We acknowledge the use of imagery from the NASA Worldview application (https://worldview.earth data.nasa.gov/) operated by the NASA/Goddard Space Flight Center Earth Science Data and Information System (ESDIS) project.</t>
  </si>
  <si>
    <t>CENTRAL FISHERIES RESEARCH INST</t>
  </si>
  <si>
    <t>TRABZON</t>
  </si>
  <si>
    <t>PO BOX 129, TRABZON, 61001, TURKEY</t>
  </si>
  <si>
    <t>1303-2712</t>
  </si>
  <si>
    <t>2149-181X</t>
  </si>
  <si>
    <t>TURK J FISH AQUAT SC</t>
  </si>
  <si>
    <t>Turk. J. Fish. Quat. Sci.</t>
  </si>
  <si>
    <t>10.4194/1303-2712-v20_10_03</t>
  </si>
  <si>
    <t>NX3MG</t>
  </si>
  <si>
    <t>WOS:000575615800003</t>
  </si>
  <si>
    <t>Arenas-Pingarrón, A; Brennan, PV; Corr, H</t>
  </si>
  <si>
    <t>Arenas-Pingarron, Alvaro; Brennan, Paul V.; Corr, Hugh</t>
  </si>
  <si>
    <t>Efficient path estimation through parallel media for wide-beam ice-sounding radar</t>
  </si>
  <si>
    <t>IET RADAR SONAR AND NAVIGATION</t>
  </si>
  <si>
    <t>synthetic aperture radar; airborne radar; radar imaging; remote sensing by radar; slightly higher computational time; airborne synthetic aperture radar images; deep ice sounding; wide beam; internal layers; efficient path estimation; parallel media; wide-beam ice-sounding radar; refracted signals; uniform parallel layers; known different refractive indices; common model; ice radio-echo sounding; analytical solution; low incidence angles; small-angle approximation; governing equations; narrow angular interval; wider angular range</t>
  </si>
  <si>
    <t>GLACIERS</t>
  </si>
  <si>
    <t>The authors propose an algorithm to estimate the path followed by refracted signals from a source to a target, through a medium formed by uniform parallel layers with known different refractive indices, a common model used for ice radio-echo sounding. The analytical solution is a polynomial with a degree that exponentially depends on the number of layers, being computationally inefficient. For low incidence angles, the small-angle approximation can be used to avoid the polynomial. In their technique, they normalise the governing equations to obtain a framework where to find a narrow angular interval containing the solution, finally estimated interpolating the boundaries. The new approach improves the results regarding the small-angle approximation for a wider angular range at a slightly higher computational time. This method has been applied to focus airborne synthetic aperture radar images for deep ice sounding, reducing the calculation time and improving the detected response in wide beam and squinted geometries, used for high along-track resolution or the detection of sloping internal layers.</t>
  </si>
  <si>
    <t>[Arenas-Pingarron, Alvaro; Brennan, Paul V.] UCL, Dept Elect &amp; Elect Engn, London WC1E 7JE, England; [Corr, Hugh] British Antarctic Survey, Madingley Rd, Cambridge CB3 0ET, England</t>
  </si>
  <si>
    <t>University of London; University College London; UK Research &amp; Innovation (UKRI); Natural Environment Research Council (NERC); NERC British Antarctic Survey</t>
  </si>
  <si>
    <t>Arenas-Pingarrón, A (corresponding author), UCL, Dept Elect &amp; Elect Engn, London WC1E 7JE, England.</t>
  </si>
  <si>
    <t>alvaro.pingarron.15@ucl.ac.uk</t>
  </si>
  <si>
    <t>Corr, Hugh/C-5398-2011</t>
  </si>
  <si>
    <t>Arenas Pingarron, Alvaro/0000-0001-9623-9937</t>
  </si>
  <si>
    <t>Natural Environment Research Council (NERC) [NE/L013444/1]; NERC [NE/I000623/1, bas0100029, NE/S006761/1, NE/J005630/1, NE/L013444/1] Funding Source: UKRI</t>
  </si>
  <si>
    <t>We thank C. N. Robinson and R. J. Bullock for the collection and processing of raw data, and L. B. Lok and K. Nicholls for the suggestions and reviews. This work was supported by the Natural Environment Research Council (NERC) (grant reference NE/L013444/1).</t>
  </si>
  <si>
    <t>1751-8784</t>
  </si>
  <si>
    <t>1751-8792</t>
  </si>
  <si>
    <t>IET RADAR SONAR NAV</t>
  </si>
  <si>
    <t>IET Radar Sonar Navig.</t>
  </si>
  <si>
    <t>10.1049/iet-rsn.2019.0406</t>
  </si>
  <si>
    <t>Engineering, Electrical &amp; Electronic; Telecommunications</t>
  </si>
  <si>
    <t>Engineering; Telecommunications</t>
  </si>
  <si>
    <t>NW2BV</t>
  </si>
  <si>
    <t>Bronze, Green Submitted</t>
  </si>
  <si>
    <t>WOS:000574816100010</t>
  </si>
  <si>
    <t>Pellizza, L; López, JL; Vázquez, S; Sycz, G; Guimaraes, BG; Rinaldi, J; Goldbaum, FA; Aran, M; Mac Cormack, WP; Klinke, S</t>
  </si>
  <si>
    <t>Pellizza, Leonardo; Lopez, Jose L.; Vazquez, Susana; Sycz, Gabriela; Guimaraes, Beatriz G.; Rinaldi, Jimena; Goldbaum, Fernando A.; Aran, Martin; Mac Cormack, Walter P.; Klinke, Sebastian</t>
  </si>
  <si>
    <t>Structure of the putative long tail fiber receptor-binding tip of a novel temperate bacteriophage from the Antarctic bacterium Bizionia argentinensis JUB59</t>
  </si>
  <si>
    <t>JOURNAL OF STRUCTURAL BIOLOGY</t>
  </si>
  <si>
    <t>Protein structure; Prophage; Mitomycin C; X-ray crystallography; Flavobacteriaceae; Caudovirales</t>
  </si>
  <si>
    <t>FUNCTIONAL-CHARACTERIZATION; CRYSTAL-STRUCTURE; TPM-DOMAIN; VIRUSES; PROTEIN; MORTALITY; BASEPLATE; SEQUENCE; REVEALS; GENE</t>
  </si>
  <si>
    <t>Tailed bacteriophages are one of the most widespread biological entities on Earth. Their singular structures, such as spikes or fibers are of special interest given their potential use in a wide range of biotechnological applications. In particular, the long fibers present at the termini of the T4 phage tail have been studied in detail and are important for host recognition and adsorption. Although significant progress has been made in elucidating structural mechanisms of model phages, the high-resolution structural description of the vast population of marine phages is still unexplored. In this context, we present here the crystal structure of C24, a putative receptor-binding tip-like protein from Bizionia argentinensis JUB59, a psychrotolerant bacterium isolated from the marine surface waters of Potter Cove, Antarctica. The structure resembles the receptor-binding tip from the bacteriophage T4 long tail fiber yet showing marked differences in its domain organization, size, sequence identity and metal binding nature. We confirmed the viral origin of C24 by induction experiments using mitomycin C. Our results reveal the presence of a novel uncharacterized prophage in the genome of B. argentinensis JUB59, whose morphology is compatible with the order Caudovirales and that carries the nucleotide sequence of C24 in its genome. This work provides valuable information to expand our current knowledge on the viral machinery prevalent in the oceans.</t>
  </si>
  <si>
    <t>[Pellizza, Leonardo; Sycz, Gabriela; Rinaldi, Jimena; Goldbaum, Fernando A.; Aran, Martin; Klinke, Sebastian] IIBBA CONICET, Fdn Inst Leloir, Patricias Argentinas 435 C1405BWE, Buenos Aires, DF, Argentina; [Lopez, Jose L.] Univ Buenos Aires, Inst Bacteriol &amp; Virol Mol IBAVIM, Fac Farm &amp; Bioquim, Catedra Virol, Junin 956 C1113AAZ, Buenos Aires, DF, Argentina; [Vazquez, Susana; Mac Cormack, Walter P.] Univ Buenos Aires, Consejo Nacl Invest Cient &amp; Tecn, Fac Farm &amp; Bioquim, Inst NANOBIOTEC,Catedra Biotecnol, Junin 956 C1113AAZ, Buenos Aires, DF, Argentina; [Guimaraes, Beatriz G.] Synchrotron SOLEIL, St Aubin BP 48, F-91192 Gif Sur Yvette, France; [Goldbaum, Fernando A.; Klinke, Sebastian] Plataforma Argentina Biol Estruct &amp; Metabolom PL, Patricias Argentinas 435 C1405BWE, Buenos Aires, DF, Argentina; [Mac Cormack, Walter P.] Inst Antartico Argentino, 25 Mayo 1143 B1650HMK, San Martin, Buenos Aires, Argentina; [Sycz, Gabriela] Washington Univ, Sch Med, Dept Mol Microbiol, 660 S Euclid Ave, St Louis, MO 63110 USA; [Guimaraes, Beatriz G.] Fundacao Oswaldo Cruz, Inst Carlos Chagas, Rua Prof Algacyr Munhoz Mader 3775, BR-81310020 Curitiba, Parana, Brazil</t>
  </si>
  <si>
    <t>Consejo Nacional de Investigaciones Cientificas y Tecnicas (CONICET); Leloir Institute; University of Buenos Aires; Consejo Nacional de Investigaciones Cientificas y Tecnicas (CONICET); University of Buenos Aires; SOLEIL Synchrotron; Instituto Antartico Argentino; Washington University (WUSTL); Fundacao Oswaldo Cruz</t>
  </si>
  <si>
    <t>Aran, M; Klinke, S (corresponding author), IIBBA CONICET, Fdn Inst Leloir, Patricias Argentinas 435 C1405BWE, Buenos Aires, DF, Argentina.;Mac Cormack, WP (corresponding author), Univ Buenos Aires, Consejo Nacl Invest Cient &amp; Tecn, Fac Farm &amp; Bioquim, Inst NANOBIOTEC,Catedra Biotecnol, Junin 956 C1113AAZ, Buenos Aires, DF, Argentina.</t>
  </si>
  <si>
    <t>maran@leloir.org.ar; wmac@ffyb.uba.ar; sklinke@leloir.org.ar</t>
  </si>
  <si>
    <t>Vazquez, Susana/AEP-5214-2022; Filho, Fernando C/Q-8021-2018; Klinke, Sebastian/N-6174-2018</t>
  </si>
  <si>
    <t>Vazquez, Susana/0000-0002-0760-6254; Gomes Guimaraes, Beatriz/0000-0002-8546-2460; Mac Cormack, Walter/0000-0002-5280-5463; Klinke, Sebastian/0000-0002-8777-0870</t>
  </si>
  <si>
    <t>Argentinian Research Council (CONICET); Argentinian Ministry of Science, Technology and Innovation (MINCyT); Argentinian Agency for Science and Technology Promotion (ANPCyT); University of Buenos Aires (UBA) [PIP 2014-0374, PICT 2015-1315, PICT 2017-1873, UBACyT 20020170100486BA]</t>
  </si>
  <si>
    <t>Argentinian Research Council (CONICET)(Consejo Nacional de Investigaciones Cientificas y Tecnicas (CONICET)); Argentinian Ministry of Science, Technology and Innovation (MINCyT); Argentinian Agency for Science and Technology Promotion (ANPCyT); University of Buenos Aires (UBA)(University of Buenos Aires)</t>
  </si>
  <si>
    <t>This work was supported by the Argentinian Research Council (CONICET), the Argentinian Ministry of Science, Technology and Innovation (MINCyT), the Argentinian Agency for Science and Technology Promotion (ANPCyT) and the University of Buenos Aires (UBA), under grants No. PIP 2014-0374, PICT 2015-1315, PICT 2017-1873 and UBACyT 20020170100486BA. We are grateful for access to the PROXIMA-1 beamline at Synchrotron SOLEIL (France).</t>
  </si>
  <si>
    <t>ACADEMIC PRESS INC ELSEVIER SCIENCE</t>
  </si>
  <si>
    <t>SAN DIEGO</t>
  </si>
  <si>
    <t>525 B ST, STE 1900, SAN DIEGO, CA 92101-4495 USA</t>
  </si>
  <si>
    <t>1047-8477</t>
  </si>
  <si>
    <t>1095-8657</t>
  </si>
  <si>
    <t>J STRUCT BIOL</t>
  </si>
  <si>
    <t>J. Struct. Biol.</t>
  </si>
  <si>
    <t>10.1016/j.jsb.2020.107595</t>
  </si>
  <si>
    <t>Biochemistry &amp; Molecular Biology; Biophysics; Cell Biology</t>
  </si>
  <si>
    <t>NW3UW</t>
  </si>
  <si>
    <t>WOS:000574936700004</t>
  </si>
  <si>
    <t>Acosta, D; Doran, PT; Myers, M</t>
  </si>
  <si>
    <t>Acosta, Dimitri; Doran, Peter T.; Myers, Madeline</t>
  </si>
  <si>
    <t>GIS tool to predict photosynthetically active radiation in a Dry Valley</t>
  </si>
  <si>
    <t>ANTARCTIC SCIENCE</t>
  </si>
  <si>
    <t>ArcMap; automated weather station; digital elevation model; ice-covered lakes; McMurdo Dry Valleys; R model; Taylor Valley</t>
  </si>
  <si>
    <t>MODEL; AREA</t>
  </si>
  <si>
    <t>Understanding primary productivity is a core research area of the National Science Foundation's Long-Term Ecological Research Network. This study presents the development of the GIS-based Topographic Solar Photosynthetically Active Radiation (T-sPAR) toolbox for Taylor Valley. It maps surface photosynthetically active radiation using four meteorological stations with similar to 20 years of data. T-sPAR estimates were validated with ground-truth data collected at Taylor Valley's major lakes during the 2014-15 and 2015-16 field seasons. The average daily error ranges from 0.13 mol photons m(-2) day(-1) (0.6%) at Lake Fryxell to 3.8 mol photons m(-2) day(-1) (5.8%) at Lake Hoare. We attribute error to variability in terrain and sun position. Finally, a user interface was developed in order to estimate total daily surface photosynthetically active radiation for any location and date within the basin. T-sPAR improves upon existing toolboxes and models by allowing for the inclusion of a statistical treatment of light attenuation due to cloud cover. The T-sPAR toolbox could be used to inform biological sampling sites based on radiation distribution, which could collectively improve estimates of net primary productivity, in some cases by up to 25%.</t>
  </si>
  <si>
    <t>[Acosta, Dimitri; Doran, Peter T.; Myers, Madeline] Louisiana State Univ, Dept Geol &amp; Geophys, E235 Howe Russell Geosci Complex, Baton Rouge, LA 70803 USA</t>
  </si>
  <si>
    <t>Louisiana State University System; Louisiana State University</t>
  </si>
  <si>
    <t>Acosta, D (corresponding author), Louisiana State Univ, Dept Geol &amp; Geophys, E235 Howe Russell Geosci Complex, Baton Rouge, LA 70803 USA.</t>
  </si>
  <si>
    <t>acosta.dimitri@epa.gov</t>
  </si>
  <si>
    <t>Myers, Madeline/0000-0002-2431-5520</t>
  </si>
  <si>
    <t>Mexico's Consejo Nacional de Ciencia y Tecnologia (CONACYT); University of Illinois at Chicago's Department of Earth and Environmental Science; Louisiana State University's Department of Geology and Geophysics; National Science Foundation LTER grant [1637708]; Directorate For Geosciences; Office of Polar Programs (OPP) [1637708] Funding Source: National Science Foundation</t>
  </si>
  <si>
    <t>Mexico's Consejo Nacional de Ciencia y Tecnologia (CONACYT)(Consejo Nacional de Ciencia y Tecnologia (CONACyT)); University of Illinois at Chicago's Department of Earth and Environmental Science; Louisiana State University's Department of Geology and Geophysics; National Science Foundation LTER grant; Directorate For Geosciences; Office of Polar Programs (OPP)(National Science Foundation (NSF)NSF - Directorate for Geosciences (GEO))</t>
  </si>
  <si>
    <t>DA received generous support from Mexico's Consejo Nacional de Ciencia y Tecnologia (CONACYT), the University of Illinois at Chicago's Department of Earth and Environmental Science and Louisiana State University's Department of Geology and Geophysics. This work was funded by the National Science Foundation LTER grant 1637708.</t>
  </si>
  <si>
    <t>0954-1020</t>
  </si>
  <si>
    <t>1365-2079</t>
  </si>
  <si>
    <t>ANTARCT SCI</t>
  </si>
  <si>
    <t>Antarct. Sci.</t>
  </si>
  <si>
    <t>PII S0954102020000218</t>
  </si>
  <si>
    <t>10.1017/S0954102020000218</t>
  </si>
  <si>
    <t>Environmental Sciences; Geography, Physical; Geosciences, Multidisciplinary</t>
  </si>
  <si>
    <t>Environmental Sciences &amp; Ecology; Physical Geography; Geology</t>
  </si>
  <si>
    <t>NV8LQ</t>
  </si>
  <si>
    <t>WOS:000574566200001</t>
  </si>
  <si>
    <t>Michaud, AB; Vick-Majors, TJ; Achberger, AM; Skidmore, ML; Christner, BC; Tranter, M; Priscu, JC</t>
  </si>
  <si>
    <t>Michaud, Alexander B.; Vick-Majors, Trista J.; Achberger, Amanda M.; Skidmore, Mark L.; Christner, Brent C.; Tranter, Martyn; Priscu, John C.</t>
  </si>
  <si>
    <t>Environmentally clean access to Antarctic subglacial aquatic environments</t>
  </si>
  <si>
    <t>environmental stewardship; forward contamination; hot-water drilling; Whillans Subglacial Lake</t>
  </si>
  <si>
    <t>ICE CORES; LAKE; WATER; MARINE</t>
  </si>
  <si>
    <t>Subglacial Antarctic aquatic environments are important targets for scientific exploration due to the unique ecosystems they support and their sediments containing palaeoenvironmental records. Directly accessing these environments while preventing forward contamination and demonstrating that it has not been introduced is logistically challenging. The Whillans Ice Stream Subglacial Access Research Drilling (WISSARD) project designed, tested and implemented a microbiologically and chemically clean method of hot-water drilling that was subsequently used to access subglacial aquatic environments. We report microbiological and biogeochemical data collected from the drilling system and underlying water columns during sub-ice explorations beneath the McMurdo and Ross ice shelves and Whillans Ice Stream. Our method reduced microbial concentrations in the drill water to values three orders of magnitude lower than those observed in Whillans Subglacial Lake. Furthermore, the water chemistry and composition of microorganisms in the drill water were distinct from those in the subglacial water cavities. The submicron filtration and ultraviolet irradiation of the water provided drilling conditions that satisfied environmental recommendations made for such activities by national and international committees. Our approach to minimizing forward chemical and microbiological contamination serves as a prototype for future efforts to access subglacial aquatic environments beneath glaciers and ice sheets.</t>
  </si>
  <si>
    <t>[Michaud, Alexander B.] Bigelow Lab Ocean Sci, East Boothbay, ME 04544 USA; [Michaud, Alexander B.; Vick-Majors, Trista J.; Priscu, John C.] Montana State Univ, Dept Land Resources &amp; Environm Sci, Bozeman, MT 59717 USA; [Vick-Majors, Trista J.] Michigan Tech Univ, Dept Biol Sci, Houghton, MI USA; [Achberger, Amanda M.] Texas A&amp;M Univ, Dept Oceanog, College Stn, TX 77843 USA; [Achberger, Amanda M.; Christner, Brent C.] Louisiana State Univ, Dept Biol Sci, Baton Rouge, LA 70803 USA; [Skidmore, Mark L.] Montana State Univ, Dept Earth Sci, Bozeman, MT 59717 USA; [Christner, Brent C.] Univ Florida, Dept Microbiol &amp; Cell Sci, Biodivers Inst, Gainesville, FL 32611 USA; [Tranter, Martyn] Univ Bristol, Sch Geog Sci, Bristol Glaciol Ctr, Bristol, Avon, England</t>
  </si>
  <si>
    <t>Bigelow Laboratory for Ocean Sciences; Montana State University System; Montana State University Bozeman; Michigan Technological University; Texas A&amp;M University System; Texas A&amp;M University College Station; Louisiana State University System; Louisiana State University; Montana State University System; Montana State University Bozeman; State University System of Florida; University of Florida; University of Bristol</t>
  </si>
  <si>
    <t>Michaud, AB (corresponding author), Bigelow Lab Ocean Sci, East Boothbay, ME 04544 USA.;Michaud, AB (corresponding author), Montana State Univ, Dept Land Resources &amp; Environm Sci, Bozeman, MT 59717 USA.</t>
  </si>
  <si>
    <t>a.b.michaud@gmail.com</t>
  </si>
  <si>
    <t>Michaud, Alex/AAC-4890-2020; Tranter, Martyn/E-3722-2010</t>
  </si>
  <si>
    <t>Michaud, Alex/0000-0001-5714-8741; Achberger, Amanda/0000-0001-5738-2255; Vick-Majors, Trista/0000-0002-6868-4010</t>
  </si>
  <si>
    <t>National Science Foundation grants from the Division of Polar Programs [0838933, 1346250, 1439774, 0838941]; NSF-IGERT Program [0654336]; NSF-Center for Dark Energy Biosphere Investigations; American Association of University Women; Directorate For Geosciences; Division Of Polar Programs [0838941] Funding Source: National Science Foundation; Directorate For Geosciences; Office of Polar Programs (OPP) [1439774] Funding Source: National Science Foundation; Division Of Graduate Education; Direct For Education and Human Resources [0654336] Funding Source: National Science Foundation; Division Of Polar Programs; Directorate For Geosciences [0838933, 1346250] Funding Source: National Science Foundation</t>
  </si>
  <si>
    <t>National Science Foundation grants from the Division of Polar Programs; NSF-IGERT Program(National Science Foundation (NSF)); NSF-Center for Dark Energy Biosphere Investigations; American Association of University Women; Directorate For Geosciences; Division Of Polar Programs(National Science Foundation (NSF)NSF - Directorate for Geosciences (GEO)); Directorate For Geosciences; Office of Polar Programs (OPP)(National Science Foundation (NSF)NSF - Directorate for Geosciences (GEO)); Division Of Graduate Education; Direct For Education and Human Resources(National Science Foundation (NSF)NSF - Directorate for STEM Education (EDU)); Division Of Polar Programs; Directorate For Geosciences(National Science Foundation (NSF)NSF - Directorate for Geosciences (GEO))</t>
  </si>
  <si>
    <t>The Whillans Ice Stream Subglacial Access Research Drilling (WISSARD) project was funded by National Science Foundation grants (0838933, 1346250, 1439774 to JCP; 0838941 to BCC) from the Division of Polar Programs. Partial support was provided by graduate fellowships from the NSF-IGERT Program (0654336) and NSF-Center for Dark Energy Biosphere Investigations (ABM), as well as a dissertation grant from the American Association of University Women (TJV-M). The Fig. 1 inset map was provided by the Polar Geospatial Center and Brad Herried under NSF-PLR (1043681).</t>
  </si>
  <si>
    <t>PII S0954102020000231</t>
  </si>
  <si>
    <t>10.1017/S0954102020000231</t>
  </si>
  <si>
    <t>WOS:000574566200002</t>
  </si>
  <si>
    <t>Abdulrasheed, M; Zakaria, NN; Roslee, AFA; Shukor, MY; Zulkharnain, A; Napis, S; Convey, P; Alias, SA; Gonzalez-Rocha, G; Ahmad, SA</t>
  </si>
  <si>
    <t>Abdulrasheed, Mansur; Zakaria, Nur Nadhirah; Ahmad Roslee, Ahmad Fareez; Shukor, Mohd Yunus; Zulkharnain, Azham; Napis, Suhaimi; Convey, Peter; Alias, Siti Aisyah; Gonzalez-Rocha, Gerardo; Ahmad, Siti Aqlima</t>
  </si>
  <si>
    <t>Biodegradation of diesel oil by cold-adapted bacterial strains ofArthrobacterspp. from Antarctica</t>
  </si>
  <si>
    <t>Antarctica; Arthrobacter; bioremediation; cold-tolerant; diesel; one-factor-at-a-time</t>
  </si>
  <si>
    <t>DEGRADING BACTERIA; BIOSURFACTANT PRODUCTION; POTENTIAL APPLICATIONS; HYDROCARBONS; SOIL; BIOREMEDIATION; PHENOL; SPILLS; WATER</t>
  </si>
  <si>
    <t>Bioremediation has been proposed as a means of dealing with oil spills on the continent. However, the introduction of non-native organisms, including microbes, even for this purpose would appear to breach the terms of the Environmental Protocol to the Antarctic Treaty. This study therefore aimed to optimize the growth conditions and diesel degradation activity of the Antarctic native bacteriaArthrobacterspp. strains AQ5-05 and AQ5-06 through the application of a one-factor-at-a-time (OFAT) approach. Both strains were psychrotolerant, with the optimum temperature supporting diesel degradation being 10-15 degrees C. Both strains were also screened for biosurfactant production and biofilm formation. Their diesel degradation potential was assessed using Bushnell-Haas medium supplemented with 0.5% (v/v) diesel as the sole carbon source and determined using both gravimetric and gas chromatography and mass spectrophotometry analysis. Strain AQ5-06 achieved 37.5% diesel degradation, while strain AQ5-05 achieved 34.5% diesel degradation. Both strains produced biosurfactants and showed high biofilm adherence. Strains AQ5-05 and AQ5-06 showed high cellular hydrophobicity rates of 73.0% and 81.5%, respectively, in hexadecane, with somewhat lower values of 60.5% and 70.5%, respectively, in tetrahexadecane. Optimized conditions identified via OFAT increased diesel degradation to 41.0% and 47.5% for strains AQ5-05 and AQ5-06, respectively. Both strains also demonstrated the ability to degrade diesel in the presence of heavy metal co-pollutants. This study therefore confirms the potential use of these cold-tolerant bacterial strains in the biodegradation of diesel-polluted Antarctic soils at low environmental temperatures.</t>
  </si>
  <si>
    <t>[Abdulrasheed, Mansur; Zakaria, Nur Nadhirah; Ahmad Roslee, Ahmad Fareez; Shukor, Mohd Yunus; Ahmad, Siti Aqlima] Univ Putra Malaysia, UPM, Fac Biotechnol &amp; Biomol Sci, Dept Biochem, Serdang 43400, Selangor, Malaysia; [Abdulrasheed, Mansur] Gombe State Univ, Fac Sci, Dept Microbiol, PMB 127, Gombe, Gombe State, Nigeria; [Zulkharnain, Azham] Shibaura Inst Technol, Coll Syst Engn &amp; Sci, Dept Biosci &amp; Engn, Minuma Ku, 307 Fukasaku, Saitama 3378570, Japan; [Napis, Suhaimi] Univ Putra Malaysia, UPM, Fac Biotechnol &amp; Biomol Sci, Dept Cell &amp; Mol Biol, Serdang 43400, Selangor, Malaysia; [Convey, Peter] British Antarctic Survey, NERC, Madingley Rd, Cambridge CB3 0ET, England; [Alias, Siti Aisyah; Ahmad, Siti Aqlima] Univ Malaya, Natl Antarctic Res Ctr, B303 Level 3,Block B,IPS Bldg, Kuala Lumpur 50603, Malaysia; [Gonzalez-Rocha, Gerardo] Univ Concepcion, Fac Ciencias Biol, Lab Invest Agentes Antibacterianos, Concepcion, Chile</t>
  </si>
  <si>
    <t>Universiti Putra Malaysia; Shibaura Institute of Technology; Universiti Putra Malaysia; UK Research &amp; Innovation (UKRI); Natural Environment Research Council (NERC); NERC British Antarctic Survey; Universiti Malaya; Universidad de Concepcion</t>
  </si>
  <si>
    <t>Ahmad, SA (corresponding author), Univ Putra Malaysia, UPM, Fac Biotechnol &amp; Biomol Sci, Dept Biochem, Serdang 43400, Selangor, Malaysia.;Ahmad, SA (corresponding author), Univ Malaya, Natl Antarctic Res Ctr, B303 Level 3,Block B,IPS Bldg, Kuala Lumpur 50603, Malaysia.</t>
  </si>
  <si>
    <t>Gonzalez-Rocha, Gerardo E/M-3610-2014; Convey, Peter/AAV-5728-2020; FASc, SITI AISYAH A. HJ ALIAS/B-9785-2010; Zulkharnain, Azham/AAV-1241-2020; shukor, yunus/AAB-7087-2020; Zakaria, Nur Nadhirah/ABE-2291-2020; Gonzalez, Gerardo/KHE-5265-2024</t>
  </si>
  <si>
    <t>Convey, Peter/0000-0001-8497-9903; FASc, SITI AISYAH A. HJ ALIAS/0000-0002-6759-5745; Zulkharnain, Azham/0000-0001-9173-8171; shukor, yunus/0000-0002-6150-2114; Ahmad, Siti Aqlima/0000-0002-7625-3704</t>
  </si>
  <si>
    <t>Universiti Putra Malaysia (UPM) [GP-Matching Grant/2017/9300436, GPM-2018/9660000, GPM-2019/9678900]; Tertiary Education Trust Fund (TETFUND) through Gombe State University, Gombe, Nigeria; NERC; Public Service Department of Malaysia (JPA); NERC [bas0100036] Funding Source: UKRI</t>
  </si>
  <si>
    <t>Universiti Putra Malaysia (UPM); Tertiary Education Trust Fund (TETFUND) through Gombe State University, Gombe, Nigeria; NERC(UK Research &amp; Innovation (UKRI)Natural Environment Research Council (NERC)); Public Service Department of Malaysia (JPA); NERC(UK Research &amp; Innovation (UKRI)Natural Environment Research Council (NERC))</t>
  </si>
  <si>
    <t>This project was financially supported by the research grants attached to S.A. Ahmad (GP-Matching Grant/2017/9300436, GPM-2018/9660000 and GPM-2019/9678900) disbursed by Universiti Putra Malaysia (UPM). The authors thank the Tertiary Education Trust Fund (TETFUND) through Gombe State University, Gombe, Nigeria, for financial sponsorship of M. Abdulrasheed. P. Convey is supported by NERC core funding to the British Antarctic Survey's 'Biodiversity, Evolution and Adaptation' Team. We also thank the Public Service Department of Malaysia (JPA) for granting a master programme scholarship to A.F. Ahmad Rosle.</t>
  </si>
  <si>
    <t>PII S0954102020000206</t>
  </si>
  <si>
    <t>10.1017/S0954102020000206</t>
  </si>
  <si>
    <t>WOS:000574566200003</t>
  </si>
  <si>
    <t>Chen, C; Linse, K</t>
  </si>
  <si>
    <t>Chen, Chong; Linse, Katrin</t>
  </si>
  <si>
    <t>From wood to vent: first cocculinid limpet associated with hydrothermal activity discovered in the Weddell Sea</t>
  </si>
  <si>
    <t>Cocculina; Cocculinidae; Cocculiniformia; mollusc; new species; South Sandwich Arc</t>
  </si>
  <si>
    <t>DEEP-SEA; WHALE BONE; GASTROPODA; MOLLUSCA; PLASTICITY; ANATOMY; ECOLOGY</t>
  </si>
  <si>
    <t>Lush 'oases' of life seen in chemosynthetic ecosystems such as hot vents and cold seeps represent rare, localized exceptions to the generally oligotrophic deep ocean floor. Organic falls, best known from sunken wood and whale carcasses, are additional sources of such oases. Kemp Caldera (59 degrees 42'S, 28 degrees 20'W) in the Weddell Sea exhibits active hydrothermal vents and a natural whale fall in close proximity, where an undescribed cocculinid limpet was found living in both types of chemosynthetic habitats. This represents the first member of the gastropod order Cocculinida discovered from hot vents, and also the first record from the Southern Ocean. Here, we applied an integrative taxonomy framework incorporating traditional dissection, electron microscopy, genetic sequencing and 3D anatomical reconstruction through synchrotron computed tomography in order to characterize this species. Together, our data revealed an unusual member of the genusCocculinawith a highly modified radula for feeding on bacterial film, described herein asCocculina enigmadontan. sp. Its phylogenetically derived position within the largely wood-inhabitingCocculinaindicates that it probably evolved from an ancestor adapted to living on sunken wood, providing a compelling case of the 'stepping stone' evolutionary trajectory from organic falls to seeps and vents.</t>
  </si>
  <si>
    <t>[Chen, Chong] Japan Agcy Marine Earth Sci &amp; Technol JAMSTEC, X STAR, 2-15 Natsushima Cho, Yokosuka, Kanagawa 2370061, Japan; [Linse, Katrin] British Antarctic Survey, High Cross, Cambridge CB3 0ET, England</t>
  </si>
  <si>
    <t>Japan Agency for Marine-Earth Science &amp; Technology (JAMSTEC); UK Research &amp; Innovation (UKRI); Natural Environment Research Council (NERC); NERC British Antarctic Survey</t>
  </si>
  <si>
    <t>Chen, C (corresponding author), Japan Agcy Marine Earth Sci &amp; Technol JAMSTEC, X STAR, 2-15 Natsushima Cho, Yokosuka, Kanagawa 2370061, Japan.</t>
  </si>
  <si>
    <t>cchen@jamstec.go.jp</t>
  </si>
  <si>
    <t>; Chen, Chong/F-7489-2019</t>
  </si>
  <si>
    <t>Linse, Katrin/0000-0003-3477-3047; Chen, Chong/0000-0002-5035-4021</t>
  </si>
  <si>
    <t>UK NERC Consortium Grant [NE/DO1249X/1]; BMBF; MARUM; NERC national capability grant (NC-science); Japan Society for the Promotion of Science [18K06401]; Grants-in-Aid for Scientific Research [18K06401] Funding Source: KAKEN; NERC [bas0100036] Funding Source: UKRI</t>
  </si>
  <si>
    <t>UK NERC Consortium Grant; BMBF(Federal Ministry of Education &amp; Research (BMBF)); MARUM; NERC national capability grant (NC-science); 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 NERC(UK Research &amp; Innovation (UKRI)Natural Environment Research Council (NERC))</t>
  </si>
  <si>
    <t>The ChEsSO consortium and its expedition JC42 were funded by the UK NERC Consortium Grant NE/DO1249X/1. PS119 was funded by BMBF and MARUM. Fieldwork in the East Scotia Sea was undertaken under the permit S3-3/2009 (JC42) issued by the Foreign and Commonwealth Office, London to Section 3 of the Antarctic Act 1994 and permit RAP 2018/064 (PS119) issued by the South Georgia and South Sandwich Government. KL's participation in PS119 was supported by a NERC national capability grant (NC-science) to the British Antarctic Survey. CC was supported by a Japan Society for the Promotion of Science Grant-in-Aid for Scientific Research (18K06401). The funders had no role in the study design, data collection and analysis, decision to publish or preparation of the manuscript.</t>
  </si>
  <si>
    <t>PII S095410202000022X</t>
  </si>
  <si>
    <t>10.1017/S095410202000022X</t>
  </si>
  <si>
    <t>WOS:000574566200004</t>
  </si>
  <si>
    <t>Levy, J; Cary, SC; Joy, K; Lee, CK</t>
  </si>
  <si>
    <t>Levy, Joseph; Cary, S. Craig; Joy, Kurt; Lee, Charles K.</t>
  </si>
  <si>
    <t>Detection and community-level identification of microbial mats in the McMurdo Dry Valleys using drone-based hyperspectral reflectance imaging</t>
  </si>
  <si>
    <t>Nostoc; Phormidium; remote sensing; spectroscopy</t>
  </si>
  <si>
    <t>LAKE FRYXELL; ANTARCTICA; VARIABILITY; CALIBRATION; ECOSYSTEMS; DIVERSITY; BACTERIA; STREAMS</t>
  </si>
  <si>
    <t>The reflectance spectroscopic characteristics of cyanobacteria-dominated microbial mats in the McMurdo Dry Valleys (MDVs) were measured using a hyperspectral point spectrometer aboard an unmanned aerial system (remotely piloted aircraft system, unmanned aerial vehicle or drone) to determine whether mat presence, type and activity could be mapped at a spatial scale sufficient to characterize inter-annual change. Mats near Howard Glacier and Canada Glacier (ASPA 131) were mapped and mat samples were collected for DNA-based microbiome analysis. Although a broadband spectral parameter (a partial normalized difference vegetation index) identified mats, it missed mats in comparatively deep (&gt; 10 cm) water or on bouldery surfaces where mats occupied fringing moats. A hyperspectral parameter (B6) did not have these shortcomings and recorded a larger dynamic range at both sites. When linked with colour orthomosaic data, B6 band strength is shown to be capable of characterizing the presence, type and activity of cyanobacteria-dominated mats in and around MDV streams. 16S rRNA gene polymerase chain reaction amplicon sequencing analysis of the mat samples revealed that dominant cyanobacterial taxa differed between spectrally distinguishable mats, indicating that spectral differences reflect underlying biological distinctiveness. Combined rapid-repeat hyperspectral measurements can be applied in order to monitor the distribution and activity of sentinel microbial ecosystems across the terrestrial Antarctic.</t>
  </si>
  <si>
    <t>[Levy, Joseph] Colgate Univ, Dept Geol, Hamilton, NY 13346 USA; [Cary, S. Craig; Joy, Kurt; Lee, Charles K.] Univ Waikato, Int Ctr Terr Antarctic Res, Hamilton 3240, New Zealand</t>
  </si>
  <si>
    <t>Colgate University; University of Waikato</t>
  </si>
  <si>
    <t>Levy, J (corresponding author), Colgate Univ, Dept Geol, Hamilton, NY 13346 USA.</t>
  </si>
  <si>
    <t>jlevy@colgate.edu</t>
  </si>
  <si>
    <t>lee, charles/AAW-6627-2021; Lee, Charles/AAC-9417-2019</t>
  </si>
  <si>
    <t>lee, charles/0000-0001-6906-4895; Lee, Charles/0000-0002-6562-4733; Cary, Stephen/0000-0002-2876-2387; Joy, Kurt/0000-0002-0803-2926</t>
  </si>
  <si>
    <t>New Zealand Ministry of Business, Innovation and Employment [UOWX1401]; Colgate University Faculty Development Council; NSF OPP award [1847067]; New Zealand Ministry of Business, Innovation &amp; Employment (MBIE) [UOWX1401] Funding Source: New Zealand Ministry of Business, Innovation &amp; Employment (MBIE)</t>
  </si>
  <si>
    <t>New Zealand Ministry of Business, Innovation and Employment(New Zealand Ministry of Business, Innovation and Employment (MBIE)); Colgate University Faculty Development Council; NSF OPP award; New Zealand Ministry of Business, Innovation &amp; Employment (MBIE)(New Zealand Ministry of Business, Innovation and Employment (MBIE))</t>
  </si>
  <si>
    <t>This work was supported by funding from the New Zealand Ministry of Business, Innovation and Employment to SCC and CKL (UOWX1401, the Dry Valley Ecosystem Resilience (DryVER) project). JL was supported in part by the Colgate University Faculty Development Council and by NSF OPP award 1847067.</t>
  </si>
  <si>
    <t>PII S0954102020000243</t>
  </si>
  <si>
    <t>10.1017/S0954102020000243</t>
  </si>
  <si>
    <t>WOS:000574566200005</t>
  </si>
  <si>
    <t>Voisine, E; Rolland, Y; Bernet, M; Carcaillet, J; Duclaux, G; Bascou, JM; Sue, C; Balvay, M; Ménot, RP</t>
  </si>
  <si>
    <t>Voisine, Encelyn; Rolland, Yann; Bernet, Matthias; Carcaillet, Julien; Duclaux, Guillaume; Bascou, Jerome; Sue, Christian; Balvay, Melanie; Menot, Rene-Pierre</t>
  </si>
  <si>
    <t>Antarctic erosion history reconstructed by Terre Adelie moraine geochronology</t>
  </si>
  <si>
    <t>cosmogenic nuclide dating; deglaciation; exhumation; fission-track dating; Late Palaeozoic Ice Age; subglacial incision</t>
  </si>
  <si>
    <t>NORTHERN VICTORIA LAND; EAST ANTARCTICA; ICE-SHEET; EXHUMATION HISTORY; EXPOSURE AGES; HALF-LIFE; MOUNTAINS; CRATON; INSIGHTS; GLACIER</t>
  </si>
  <si>
    <t>We report apatite fission-track and Be-10 terrestrial cosmogenic nuclide (TCN) dating of 14 moraine boulders originating from inland Terre Adelie, East Antarctica. These data show cooling of the Proterozoic Terre Adelie craton at &lt; similar to 120 degrees C between 350 and 300 Ma, suggesting &gt; 4 km temperate glacial erosion during the Late Palaeozoic Ice Age, followed by nearly null Mesozoic erosion and low glacial erosion (&lt; 2 km) in the Cenozoic. Based on glacial flux maps, the origin of the boulders may be located similar to 400 km upstream. Preliminary TCN (Be-10) datings of moraine boulders cluster within the last 30 ka. Cosmogenic ages from the Lacroix Nunatak suggest a main deglaciation after the Younger Dryas at c. 10 ka, while those of Cap Prud'homme mostly cluster at 0.6 ka, in agreement with an exhumation of boulders during the Little Ice Age.</t>
  </si>
  <si>
    <t>[Voisine, Encelyn; Rolland, Yann] Univ Savoie Mt Blanc, CNRS, EDYTEM, Le Bourget Du Lac, France; [Voisine, Encelyn; Rolland, Yann; Bernet, Matthias; Carcaillet, Julien; Balvay, Melanie] Univ Savoie Mt Blanc, Univ Grenoble Alpes, CNRS, IRD,IFSTTAR,ISTerre, Grenoble, France; [Duclaux, Guillaume] Univ Cote Azur, CNRS, Geoazur, 250 Rue Albert Einstein, Sophia Antipolis, France; [Bascou, Jerome; Menot, Rene-Pierre] Univ Jean Monnet, Univ Lyon, Lab Magmas &amp; Volcans, St Etienne, France; [Sue, Christian] Univ Bourgogne Franche Comte, Chronoenvironm, Besancon, France</t>
  </si>
  <si>
    <t>Centre National de la Recherche Scientifique (CNRS); Universite Savoie Mont Blanc; Universite Savoie Mont Blanc; Communaute Universite Grenoble Alpes; Universite Grenoble Alpes (UGA); Centre National de la Recherche Scientifique (CNRS); Institut de Recherche pour le Developpement (IRD); Universite Gustave-Eiffel; Universite Cote d'Azur; Observatoire de la Cote d'Azur; Centre National de la Recherche Scientifique (CNRS); Universite de Franche-Comte</t>
  </si>
  <si>
    <t>Rolland, Y (corresponding author), Univ Savoie Mt Blanc, CNRS, EDYTEM, Le Bourget Du Lac, France.;Rolland, Y (corresponding author), Univ Savoie Mt Blanc, Univ Grenoble Alpes, CNRS, IRD,IFSTTAR,ISTerre, Grenoble, France.</t>
  </si>
  <si>
    <t>yann.rolland@univ-smb.fr</t>
  </si>
  <si>
    <t>Duclaux, Guillaume/I-4391-2019; Rolland, yann/B-7588-2016</t>
  </si>
  <si>
    <t>Duclaux, Guillaume/0000-0002-9512-7252; Rolland, yann/0000-0001-9547-6092; sue, christian/0000-0002-2472-5001</t>
  </si>
  <si>
    <t>LABEX grant from Universite Grenoble Alpes; ISTerre</t>
  </si>
  <si>
    <t>This work was supported by a LABEX grant from Universite Grenoble Alpes and ISTerre. The Institut Paul-Emile Victor supported numerous field seasons in Terre Adelie through the Geologie du Craton de Terre Adelie (GEOLETA) and Architecture de la Lithosphere de la Terre Adelie (ARLITA) programmes.</t>
  </si>
  <si>
    <t>PII S095410202000036X</t>
  </si>
  <si>
    <t>10.1017/S095410202000036X</t>
  </si>
  <si>
    <t>WOS:000574566200006</t>
  </si>
  <si>
    <t>Unverfärth, J; Mörs, T; Bomfleur, B</t>
  </si>
  <si>
    <t>Unverfaerth, Jan; Mors, Thomas; Bomfleur, Benjamin</t>
  </si>
  <si>
    <t>Palynological evidence supporting widespread synchronicity of Early Jurassic silicic volcanism throughout the Transantarctic Basin</t>
  </si>
  <si>
    <t>VICTORIA LAND</t>
  </si>
  <si>
    <t>[Unverfaerth, Jan; Bomfleur, Benjamin] Westfal Wilhelms Univ Munster, Inst Geol &amp; Palaontol, Heisenbergstr 2, D-48147 Munster, Germany; [Mors, Thomas] Swedish Museum Nat Hist, Dept Palaeobiol, POB 50007, SE-10405 Stockholm, Sweden</t>
  </si>
  <si>
    <t>University of Munster; Swedish Museum of Natural History</t>
  </si>
  <si>
    <t>Mörs, T (corresponding author), Swedish Museum Nat Hist, Dept Palaeobiol, POB 50007, SE-10405 Stockholm, Sweden.</t>
  </si>
  <si>
    <t>thomas.moers@nrm.se</t>
  </si>
  <si>
    <t>Mors, Thomas/0000-0003-2268-5824; Unverfarth, Jan/0000-0002-8046-2226</t>
  </si>
  <si>
    <t>Ymer-80 Foundation; Deutsche Forschungsgemeinschaft (DFG) [BO3131/1-1]</t>
  </si>
  <si>
    <t>Ymer-80 Foundation; Deutsche Forschungsgemeinschaft (DFG)(German Research Foundation (DFG))</t>
  </si>
  <si>
    <t>We thank the Ymer-80 Foundation (to TM) and the Deutsche Forschungsgemeinschaft (DFG project BO3131/1-1 to BB) for financial support.</t>
  </si>
  <si>
    <t>PII S0954102020000346</t>
  </si>
  <si>
    <t>10.1017/S0954102020000346</t>
  </si>
  <si>
    <t>WOS:000574566200007</t>
  </si>
  <si>
    <t>da Rosa, KK; Perondi, C; Veettil, BK; Auger, JD; Simoes, JC</t>
  </si>
  <si>
    <t>da Rosa, Katia Kellem; Perondi, Cleiva; Veettil, Bijeesh Kozhikkodan; Auger, Jeffrey D.; Simoes, Jefferson Cardia</t>
  </si>
  <si>
    <t>Contrasting responses of land-terminating glaciers to recent climate variations in King George Island, Antarctica</t>
  </si>
  <si>
    <t>Admiralty Bay; climate change; multi-temporal analysis; proglacial systems</t>
  </si>
  <si>
    <t>PENINSULA</t>
  </si>
  <si>
    <t>In this study, we aim to analyse the glacier dynamics of land-terminating glaciers in King George Island (Antarctica) between 1956 and 2018. Glacial fluctuations are estimated using space-borne remote sensing data (SPOT, Landsat, PlanetScope, Sentinel-1, Sentinel-2, WorldView-2 and TanDEM-X). The eastern sector of Warszawa Icefield witnessed continuous glacier retreat during 1979-2018 (surface loss of 30%). The decreases in the ice-covered areas of the Tower, Windy, Ecology, Baranowski and Sphinx glaciers were 70%, 31%, 25%, 25% and 21%, respectively, with their accumulation area ratios (AARs) exhibiting negative mass balances. The winter air temperature was cooler during the 1970s with warming trends in the 1980s and early 2000s followed by a cooling trend until the present day. However, the annual time series has shown high interannual variability in air temperature during these periods. We show that the AAR, dimensions, length, frontal elevation, maximum elevation, slope and changes in the terminus position influence the glacier response to climate change at various timescales. Furthermore, three geomorphic activity intensity zones and a complete paraglacial sequence are identified while contrasting the proglacial systems. Overall, subglacial deposits predominate and indicate that meltwater flows on the bed, producing wet-based thermal regimes.</t>
  </si>
  <si>
    <t>[da Rosa, Katia Kellem; Perondi, Cleiva; Auger, Jeffrey D.; Simoes, Jefferson Cardia] Univ Fed Rio Grande Sul UFRGS, Inst Geociencias, Ctr Polar &amp; Climat, Porto Alegre, RS, Brazil; [da Rosa, Katia Kellem; Perondi, Cleiva] Univ Fed Rio Grande Sul UFRGS, Inst Geociencias, Programa Posgrad Geog, Porto Alegre, RS, Brazil; [da Rosa, Katia Kellem] Univ Fed Rio Grande Sul UFRGS, Programa Posgrad Sensoriamento Remoto, Porto Alegre, RS, Brazil; [Veettil, Bijeesh Kozhikkodan] Ton Duc Thang Univ, Dept Management Sci &amp; Technol Dev, Ho Chi Minh City, Vietnam; [Veettil, Bijeesh Kozhikkodan] Ton Duc Thang Univ, Fac Environm &amp; Lab Safety, Ho Chi Minh City, Vietnam</t>
  </si>
  <si>
    <t>Universidade Federal do Rio Grande do Sul; Universidade Federal do Rio Grande do Sul; Universidade Federal do Rio Grande do Sul; Ton Duc Thang University; Ton Duc Thang University</t>
  </si>
  <si>
    <t>Veettil, BK (corresponding author), Ton Duc Thang Univ, Dept Management Sci &amp; Technol Dev, Ho Chi Minh City, Vietnam.;Veettil, BK (corresponding author), Ton Duc Thang Univ, Fac Environm &amp; Lab Safety, Ho Chi Minh City, Vietnam.</t>
  </si>
  <si>
    <t>bijeesh.veettil@tdtu.edu.vn</t>
  </si>
  <si>
    <t>Kozhikkodan Veettil, Bijeesh/Q-6489-2017; da Rosa, Kátia Kellem/AAO-8367-2020; Simoes, Jefferson Cardia/D-7232-2013</t>
  </si>
  <si>
    <t>Kozhikkodan Veettil, Bijeesh/0000-0003-4158-4578; da Rosa, Kátia Kellem/0000-0003-0977-9658; Simoes, Jefferson Cardia/0000-0001-5555-3401</t>
  </si>
  <si>
    <t>Foundation for Research Support of the State of Rio Grande do Sul (FAPERGS); Brazilian Coordination for the Improvement of Higher Education Personnel (CAPES)</t>
  </si>
  <si>
    <t>Foundation for Research Support of the State of Rio Grande do Sul (FAPERGS)(Fundacao de Amparo a Ciencia e Tecnologia do Estado do Rio Grande do Sul (FAPERGS)); Brazilian Coordination for the Improvement of Higher Education Personnel (CAPES)(Coordenacao de Aperfeicoamento de Pessoal de Nivel Superior (CAPES))</t>
  </si>
  <si>
    <t>This work is a contribution of the Antarctic Science reviewers, Brazilian Antarctic Program (PROANTAR), and is supported by research grants from the Foundation for Research Support of the State of Rio Grande do Sul (FAPERGS). Cleiva Perondi is thankful to the Brazilian Coordination for the Improvement of Higher Education Personnel (CAPES) for a scholarship.</t>
  </si>
  <si>
    <t>PII S0954102020000279</t>
  </si>
  <si>
    <t>10.1017/S0954102020000279</t>
  </si>
  <si>
    <t>WOS:000574566200008</t>
  </si>
  <si>
    <t>Evtushevsky, OM; Kravchenko, VO; Grytsai, AV; Milinevsky, GP</t>
  </si>
  <si>
    <t>Evtushevsky, Oleksandr M.; Kravchenko, Volodymyr O.; Grytsai, Asen V.; Milinevsky, Gennadi P.</t>
  </si>
  <si>
    <t>Winter climate change on the northern and southern Antarctic Peninsula</t>
  </si>
  <si>
    <t>Annular Mode; El Nino; planetary waves; READER database; surface temperature; zonal and meridional wind</t>
  </si>
  <si>
    <t>SURFACE-TEMPERATURE; DECADAL VARIABILITY; ANNULAR MODE; HEMISPHERE; CIRCULATION; SIGNATURES; ENSO</t>
  </si>
  <si>
    <t>Differences in the decadal trend in the winter surface temperature in the northern and southern Antarctic Peninsula have been analysed. Time series from the two stations Esperanza and Faraday/Vernadsky since the early 1950s are used. The two time series are strongly correlated only during the 1980s and 1990s when their variability and trends are associated with both the Nino-4 region and Southern Annular Mode impacts. The winter cooling at the Faraday/Vernadsky station contrasts with the winter warming at the Esperanza station during the period of 2006-17. The different temperature trends are accompanied by weak correlations between the temperatures at these two stations. Linearly congruent components of the station temperature trends in 2006-17 indicate a dominant contribution of Southern Annular Mode (tropical sea surface temperature anomalies) to warming (cooling) in the northern (southern) Peninsula. Distinctive impacts of climate modes are observed in combination with the recent deepening of the negative sea-level pressure anomaly to the west of the peninsula and the related change in the zonal and meridional wind components. These factors apparently contribute to the occurrence of the boundary that crosses the peninsula and divides it into sub-regions with warming and cooling.</t>
  </si>
  <si>
    <t>[Evtushevsky, Oleksandr M.; Kravchenko, Volodymyr O.; Milinevsky, Gennadi P.] Taras Shevchenko Natl Univ Kyiv, Space Phys Lab, 64-13 Volodymyrska St, UA-01601 Kiev, Ukraine; [Grytsai, Asen V.] Taras Shevchenko Natl Univ Kyiv, Astron &amp; Space Phys Dept, 64-13 Volodymyrska St, UA-01601 Kiev, Ukraine; [Milinevsky, Gennadi P.] Jilin Univ, Int Ctr Future Sci, 2699 Qianjin St, Changchun 130012, Peoples R China; [Milinevsky, Gennadi P.] Natl Antarctic Sci Ctr, Dept Atmosphere Phys, 16 Taras Shevchenko Blvd, UA-01601 Kiev, Ukraine</t>
  </si>
  <si>
    <t>Ministry of Education &amp; Science of Ukraine; Taras Shevchenko National University of Kyiv; Ministry of Education &amp; Science of Ukraine; Taras Shevchenko National University of Kyiv; Jilin University; Ministry of Education &amp; Science of Ukraine; State Institution National Antarctic Scientific Center</t>
  </si>
  <si>
    <t>Evtushevsky, OM (corresponding author), Taras Shevchenko Natl Univ Kyiv, Space Phys Lab, 64-13 Volodymyrska St, UA-01601 Kiev, Ukraine.</t>
  </si>
  <si>
    <t>o_evtush@ukr.net</t>
  </si>
  <si>
    <t>Evtushevsky, Oleksandr O.M./F-2065-2017; Milinevsky, Gennadi/AAD-8801-2019</t>
  </si>
  <si>
    <t>Evtushevsky, Oleksandr O.M./0000-0003-0582-559X; Milinevsky, Gennadi/0000-0002-2342-2615; Grytsai, Asen/0000-0002-2545-9833</t>
  </si>
  <si>
    <t>project of Taras Shevchenko National University of Kyiv [19BF051-08]; National Antarctic Scientific Center of Ukraine; College of Physics, International Center of Future Science of Jilin University, China</t>
  </si>
  <si>
    <t>project of Taras Shevchenko National University of Kyiv; National Antarctic Scientific Center of Ukraine; College of Physics, International Center of Future Science of Jilin University, China</t>
  </si>
  <si>
    <t>This work was supported by the project of Taras Shevchenko National University of Kyiv, No. 19BF051-08, and partly supported by the National Antarctic Scientific Center of Ukraine and by College of Physics, International Center of Future Science of Jilin University, China.</t>
  </si>
  <si>
    <t>PII S0954102020000255</t>
  </si>
  <si>
    <t>10.1017/S0954102020000255</t>
  </si>
  <si>
    <t>WOS:000574566200009</t>
  </si>
  <si>
    <t>Acosta, I; Cabanne, GS; Noll, D; González-Acuña, D; Pliscoff, P; Vianna, JA</t>
  </si>
  <si>
    <t>Acosta, Ignacio; Cabanne, Gustavo S.; Noll, Daly; Gonzalez-Acuna, Daniel; Pliscoff, Patricio; Vianna, Juliana A.</t>
  </si>
  <si>
    <t>Patagonian glacial effects on the endemic Green-backed Firecrown, Sephanoides sephaniodes (Aves: Trochilidae): evidence from species distribution models and molecular data</t>
  </si>
  <si>
    <t>JOURNAL OF ORNITHOLOGY</t>
  </si>
  <si>
    <t>Patagonia; Glacial refugia; Valdivian temperate rainforest; Green-backed Firecrown</t>
  </si>
  <si>
    <t>PHYLOGEOGRAPHICAL PATTERNS; NATURAL-HISTORY; COASTAL RANGE; DNA; SELECTION; MAXIMUM; GENE; DIVERSIFICATION; DIFFERENTIATION; HUMMINGBIRDS</t>
  </si>
  <si>
    <t>Climate changes during the late Pleistocene influenced the demography and distribution of species in Patagonia. During the last glacial maximum (LGM), ice sheets covered a great extent of the temperate rainforest in the western Patagonian Andes. The persistence of forest species in refugia during the LGM has been debated for many vertebrates, but rarely for birds. The Green-backed Firecrown (Sephanoides sephaniodes) is an important avian pollinator distributed from the south of the Atacama Desert (28 degrees S) to Tierra del Fuego (54 degrees S) in South America. We evaluated the species' evolutionary history, combining molecular data and models for past and current species distribution. Our results show two distinct haplogroups: the genetically diverse North-South clade (NS) restricted to the Mediterranean and coastal temperate regions that exhibits a signature of population expansion after LGM, and the Austral-East clade (AE) confined to the temperate intermountain range, eastern temperate, and sub-Antarctic regions, with lower genetic diversity and evidence of a more recent population expansion. This AE clade and the past distribution models support the species survival in valleys and lowlands south of the ice sheets limit during LGM until the present. A secondary contact zone was observed with haplotypes from the AE clade distributed in low frequency along with the northern areas. Our results support the paleorefugia hypothesis during the LGM with postglacial secondary contact.</t>
  </si>
  <si>
    <t>[Acosta, Ignacio; Noll, Daly; Vianna, Juliana A.] Pontificia Univ Catolica Chile, Fac Agron &amp; Ingn Forestal, Dept Ecosistemas &amp; Medio Ambiente, Av Vicuna Mackenna, Santiago 4860, Chile; [Cabanne, Gustavo S.] Consejo Nacl Invest Cient &amp; Tecn, Museo Argentino Ciencias Nat Bernardino Rivadavia, Av Angel Gallardo 470,C1405DJR, Buenos Aires, DF, Argentina; [Gonzalez-Acuna, Daniel] Univ Concepcion, Fac Ciencias Vet, Dept Ciencia Anim, Av Vicente Mendez 595, Chillan 3780000, Chile; [Pliscoff, Patricio] Pontificia Univ Catolica Chile, Fac Ciencias Biol, Dept Ecol, Alameda 340, Santiago, Chile; [Pliscoff, Patricio] Pontificia Univ Catolica Chile, Inst Geog, Fac Hist Geog &amp; Ciencia Polit, Vicuna Mackenna 4860, Santiago, Chile</t>
  </si>
  <si>
    <t>Pontificia Universidad Catolica de Chile; Consejo Nacional de Investigaciones Cientificas y Tecnicas (CONICET); Museo Argentino de Ciencias Naturales Bernardino Rivadavia (MACN); Universidad de Concepcion; Pontificia Universidad Catolica de Chile; Pontificia Universidad Catolica de Chile</t>
  </si>
  <si>
    <t>Vianna, JA (corresponding author), Pontificia Univ Catolica Chile, Fac Agron &amp; Ingn Forestal, Dept Ecosistemas &amp; Medio Ambiente, Av Vicuna Mackenna, Santiago 4860, Chile.</t>
  </si>
  <si>
    <t>jvianna@uc.cl</t>
  </si>
  <si>
    <t>Pliscoff, Patricio/N-2000-2019; Vianna, Juliana/E-9847-2015</t>
  </si>
  <si>
    <t>Vianna, Juliana/0000-0003-2330-7825; Noll, Daly/0000-0003-3733-8817</t>
  </si>
  <si>
    <t>Fondecyt, Chile [1181677, 1170972]; CONICET, Argentina; European Union's H2020 research and innovation program under the Marie Sklodowska-Curie grant [691149]</t>
  </si>
  <si>
    <t>Fondecyt, Chile(Comision Nacional de Investigacion Cientifica y Tecnologica (CONICYT)CONICYT FONDECYT); CONICET, Argentina(Consejo Nacional de Investigaciones Cientificas y Tecnicas (CONICET)); European Union's H2020 research and innovation program under the Marie Sklodowska-Curie grant(European Union (EU)Marie Curie Actions)</t>
  </si>
  <si>
    <t>Financial support for this study was provided by Fondecyt 1181677 and 1170972, Chile, and by CONICET, Argentina. This research has received funding from the European Union's H2020 research and innovation program under the Marie Sklodowska-Curie grant agreement No. 691149 (SuFoRun), MSCA-RISE-2015 (H2020 Marie Skodowska-Curie Actions) . We thank Cynthia Wang-Claypool and Nicolas Segovia for the suggestions and the figure design. DNA sequences are available in GenBank (access number for Cytb MT640054-MT640101 and FIB7 MT636394-MT636457). Occurrence records table file and Maxent models in raster format have been deposited in the Zenodo online repository (10.5281/zenodo.3893976).</t>
  </si>
  <si>
    <t>2193-7192</t>
  </si>
  <si>
    <t>2193-7206</t>
  </si>
  <si>
    <t>J ORNITHOL</t>
  </si>
  <si>
    <t>J. Ornithol.</t>
  </si>
  <si>
    <t>10.1007/s10336-020-01822-4</t>
  </si>
  <si>
    <t>Ornithology</t>
  </si>
  <si>
    <t>PU9FL</t>
  </si>
  <si>
    <t>WOS:000574310500001</t>
  </si>
  <si>
    <t>Behrangi, A; Gardner, AS; Wiese, DN</t>
  </si>
  <si>
    <t>Behrangi, Ali; Gardner, Alex S.; Wiese, David N.</t>
  </si>
  <si>
    <t>Comparative analysis of snowfall accumulation over Antarctica in light of Ice discharge and gravity observations from space</t>
  </si>
  <si>
    <t>precipitation; remote sensing; GRACE; antarctica; GPM; CloudSat</t>
  </si>
  <si>
    <t>SURFACE MASS-BALANCE; ISOSTATIC-ADJUSTMENT MODEL; GLOBAL PRECIPITATION; CLIMATE; GRACE; SHEET; RADAR; TRENDS; IMPACT; MOTION</t>
  </si>
  <si>
    <t>The remote and cold Antarctic continent presents unique challenges to quantify precipitation rates from space andin situobservations. This has resulted in large uncertainties in current estimates. In this study, we quantify annual precipitation rates over seven Antarctic basins using a novel mass budget (MB) approach, by building on the recent Landsat based estimate of ice discharge and changes in total water storage from GRACE. The MB precipitation rates are compared with those from CloudSat, GPCP, the Arthern precipitation climatology, the GPM constellation sensors, a few popular reanalysis products, and a regional climate model for two periods: 2007-2010 and 2013-2015. The new estimates are bounded by CloudSat precipitation rates with and without adjustment for the unmeasured near surface precipitation. GPM products significantly underestimate Antarctic precipitation rate, but capture spatial variability that is valuable for bias-adjustment. We find variable performance between products at basin scale, suggesting that an in-depth regional study of precipitation rates is necessary.</t>
  </si>
  <si>
    <t>[Behrangi, Ali] Univ Arizona, Dept Hydrol &amp; Atmospher Sci, Tucson, AZ 85721 USA; [Behrangi, Ali] Univ Arizona, Dept Geosci, Tucson, AZ 85721 USA; [Gardner, Alex S.; Wiese, David N.] CALTECH, Jet Prop Lab, Pasadena, CA USA</t>
  </si>
  <si>
    <t>University of Arizona; University of Arizona; California Institute of Technology; National Aeronautics &amp; Space Administration (NASA); NASA Jet Propulsion Laboratory (JPL)</t>
  </si>
  <si>
    <t>Behrangi, A (corresponding author), Univ Arizona, Dept Hydrol &amp; Atmospher Sci, Tucson, AZ 85721 USA.;Behrangi, A (corresponding author), Univ Arizona, Dept Geosci, Tucson, AZ 85721 USA.</t>
  </si>
  <si>
    <t>Behrangi@email.arizona.edu</t>
  </si>
  <si>
    <t>Behrangi, Ali/V-8927-2019</t>
  </si>
  <si>
    <t>Behrangi, Ali/0000-0001-7594-8793; Wiese, David/0000-0001-7035-0514</t>
  </si>
  <si>
    <t>NASA MEaSUREs [NNH17ZDA001N-MEASURES]; NASA Weather and Atmospheric Dynamics [NNH19ZDA001N-ATDM]</t>
  </si>
  <si>
    <t>NASA MEaSUREs; NASA Weather and Atmospheric Dynamics</t>
  </si>
  <si>
    <t>Financial support for AB is made available from NASA MEaSUREs (NNH17ZDA001N-MEASURES) and NASA Weather and Atmospheric Dynamics (NNH19ZDA001N-ATDM) Grants. ASG's efforts were supported by NASA's Cryosphere and MEaSUREs programs.</t>
  </si>
  <si>
    <t>10.1088/1748-9326/ab9926</t>
  </si>
  <si>
    <t>NV4KE</t>
  </si>
  <si>
    <t>WOS:000574291900001</t>
  </si>
  <si>
    <t>Li, DY; Wigmore, O; Durand, MT; Vander-Jagt, B; Margulis, SA; Molotch, NP; Bales, RC</t>
  </si>
  <si>
    <t>Li, Dongyue; Wigmore, Oliver; Durand, Michael T.; Vander-Jagt, Benjamin; Margulis, Steven A.; Molotch, Noah P.; Bales, Roger C.</t>
  </si>
  <si>
    <t>Potential of Balloon Photogrammetry for Spatially Continuous Snow Depth Measurements</t>
  </si>
  <si>
    <t>IEEE GEOSCIENCE AND REMOTE SENSING LETTERS</t>
  </si>
  <si>
    <t>Snow; Cameras; Remote sensing; Drones; Photography; Manuals; Balloon remote sensing; photogrammetry; snow</t>
  </si>
  <si>
    <t>LOW-COST</t>
  </si>
  <si>
    <t>We carried out two aerial surveys using a weather balloon as the platform to measure the snow depth in the Wolverton watershed, CA, USA: one when the site was snow covered and the other one after the snow melted out. We reconstructed the 3-D surfaces of the site using the structure-from-motion (SfM) photogrammetry of the photographs taken in the surveys and differenced the heights of the two surfaces to obtain the snow depth. The snow depth estimates corresponded well with 32 manual measurements of snow depth, with R = 0.87 (p &lt; 0.05) and a root-mean-square error (RMSE) of 7.6 cm, the majority of which is a 6-cm systematic bias due to the vegetation rebound in the snow-off measurements. The relative depth error is 17% in the extremely dry year of sampling (i.e., 2015) and is expected to decrease for deeper snow because the absolute error of SfM is relatively static. The processed snow depth is able to capture the snow spatial variability at submeter scale. This study suggests that balloon photogrammetry is a repeatable, flexible, economical, and safe method for continuous snow depth measurement at small scales and could complement existing remote sensing platforms (e.g., aircrafts, satellites, and drones) for snow observations in open areas by providing spatial continuity, long observation time, and customizable resolution.</t>
  </si>
  <si>
    <t>[Li, Dongyue] Univ Calif Los Angeles, Dept Geog, Los Angeles, CA 90095 USA; [Wigmore, Oliver] Victoria Univ Wellington, Antarctic Res Ctr, Wellington 6012, New Zealand; [Durand, Michael T.] Ohio State Univ, Sch Earth Sci, Columbus, OH 43210 USA; [Vander-Jagt, Benjamin] PixElement Inc, Columbus, OH 43215 USA; [Margulis, Steven A.] Univ Calif Los Angeles, Dept Civil &amp; Environm Engn, Los Angeles, CA 90095 USA; [Molotch, Noah P.] Univ Colorado Boulder, Inst Arctic &amp; Alpine Res, Boulder, CO 80303 USA; [Bales, Roger C.] Univ Calif Merced, Sierra Nevada Res Inst, Merced, CA 95343 USA</t>
  </si>
  <si>
    <t>University of California System; University of California Los Angeles; Victoria University Wellington; University System of Ohio; Ohio State University; University of California System; University of California Los Angeles; University of Colorado System; University of Colorado Boulder; University of California System; University of California Merced</t>
  </si>
  <si>
    <t>Li, DY (corresponding author), Univ Calif Los Angeles, Dept Geog, Los Angeles, CA 90095 USA.</t>
  </si>
  <si>
    <t>dongyueli@ucla.edu</t>
  </si>
  <si>
    <t>Wigmore, Oliver/ABA-6795-2020; Margulis, Steve/HOH-0155-2023; Li, Dongyue/V-7975-2019; Durand, Michael/D-2885-2013</t>
  </si>
  <si>
    <t>Wigmore, Oliver/0000-0002-6813-3884; Li, Dongyue/0000-0002-2566-7851; MOLOTCH, NOAH/0000-0003-4733-8060; Durand, Michael/0000-0003-2682-6196</t>
  </si>
  <si>
    <t>Consortium of Universities for the Advancement of Hydrologic Science, Inc., (CUAHSI) Pathfinder Fellowship; Ohio State University Friends of Orton Hall Scholarship</t>
  </si>
  <si>
    <t>This work was supported in part by the Consortium of Universities for the Advancement of Hydrologic Science, Inc., (CUAHSI) Pathfinder Fellowship and in part by the Ohio State University Friends of Orton Hall Scholarship.</t>
  </si>
  <si>
    <t>1545-598X</t>
  </si>
  <si>
    <t>1558-0571</t>
  </si>
  <si>
    <t>IEEE GEOSCI REMOTE S</t>
  </si>
  <si>
    <t>IEEE Geosci. Remote Sens. Lett.</t>
  </si>
  <si>
    <t>10.1109/LGRS.2019.2953481</t>
  </si>
  <si>
    <t>Geochemistry &amp; Geophysics; Engineering, Electrical &amp; Electronic; Remote Sensing; Imaging Science &amp; Photographic Technology</t>
  </si>
  <si>
    <t>Geochemistry &amp; Geophysics; Engineering; Remote Sensing; Imaging Science &amp; Photographic Technology</t>
  </si>
  <si>
    <t>NU7GL</t>
  </si>
  <si>
    <t>WOS:000573808500002</t>
  </si>
  <si>
    <t>Nishimura, K; Kohma, M; Sato, K; Sato, T</t>
  </si>
  <si>
    <t>Nishimura, Koji; Kohma, Masashi; Sato, Kaoru; Sato, Toru</t>
  </si>
  <si>
    <t>Spectral Observation Theory and Beam Debroadening Algorithm for Atmospheric Radar</t>
  </si>
  <si>
    <t>IEEE TRANSACTIONS ON GEOSCIENCE AND REMOTE SENSING</t>
  </si>
  <si>
    <t>Radar antennas; Correlation; Atmospheric measurements; Wind speed; Radar remote sensing; Antarctica; Atmospheric radar; mesosphere-stratosphere-troposphere (MST) radar; beam broadening; debroadening; turbulence</t>
  </si>
  <si>
    <t>MIDDLE ATMOSPHERE; PARAMETERS; TURBULENCE; ENERGY; REGION; ECHOES</t>
  </si>
  <si>
    <t>In order to measure the variance of wind velocity, which is contributed from turbulence, via radar observations, it is necessary to remove the unwanted contribution from strong horizontal velocity components through the finite beamwidth of the radar. This effect is referred to as beam broadening. Although the amount of beam broadening has thus far been calculated based on the approximating assumption that the pattern of the beam is rotationally symmetric and has very low sidelobes, we need to take a more theoretical approach to radarone that does not have a simple beam pattern like the Antarctic Program of the Antarctic Syowa Station (PANSY) radar (69S, 39E). In this article, we clarify the theoretical relationship in a very simple form between the turbulence spectrum, which is directly associated with the variance of turbulence, two-way beam patterns, and the observed spectrum, using autocorrelation functions (ACFs). The theory is thoroughly universal and applicable to any type of atmospheric radar, such that we can quantitatively analyze radar observation systems. Furthermore, we propose a debroadening algorithm based directly on this theory and from calculations of the general maximum likelihood (ML). We performed numerical simulations that validate our theory and the algorithm.</t>
  </si>
  <si>
    <t>[Nishimura, Koji] Res Org Informat &amp; Syst, Tokyo 1050001, Japan; [Nishimura, Koji] Natl Inst Polar Res, Tachikawa, Tokyo 1908518, Japan; [Kohma, Masashi; Sato, Kaoru] Univ Tokyo, Dept Earth &amp; Planetary Sci, Tokyo 1130033, Japan; [Sato, Toru] Kyoto Univ, Dept Commun &amp; Comp Engn, Kyoto 6068501, Japan</t>
  </si>
  <si>
    <t>Research Organization of Information &amp; Systems (ROIS); Research Organization of Information &amp; Systems (ROIS); National Institute of Polar Research (NIPR) - Japan; University of Tokyo; Kyoto University</t>
  </si>
  <si>
    <t>Nishimura, K (corresponding author), Res Org Informat &amp; Syst, Tokyo 1050001, Japan.</t>
  </si>
  <si>
    <t>knish@nipr.ac.jp</t>
  </si>
  <si>
    <t>Sato, Kaoru/E-1693-2012; Kohma, Masashi/C-8055-2015</t>
  </si>
  <si>
    <t>Sato, Kaoru/0000-0002-6225-6066; Kohma, Masashi/0000-0001-9875-3032; Nishimura, Koji/0000-0001-8824-9844</t>
  </si>
  <si>
    <t>Japan Science and Technology Agency, Core Research for Evolutional Science and Technology (JST CREST) [JPMJCR1663]; Japan Society for the Promotion of Science [17H02969, 18H01276]; Grants-in-Aid for Scientific Research [17H02969, 18H01276, 20H02166] Funding Source: KAKEN</t>
  </si>
  <si>
    <t>Japan Science and Technology Agency, Core Research for Evolutional Science and Technology (JST CREST)(Japan Science &amp; Technology Agency (JST)Core Research for Evolutional Science and Technology (CREST)); 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</si>
  <si>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This work was supported in part by Japan Science and Technology Agency, Core Research for Evolutional Science and Technology (JST CREST) under Grant JPMJCR1663, and Japan Society for the Promotion of Science, Grants-in-Aid for Scientific Research (JSPS KAKENHI) under Grant 17H02969 and 18H01276.</t>
  </si>
  <si>
    <t>0196-2892</t>
  </si>
  <si>
    <t>1558-0644</t>
  </si>
  <si>
    <t>IEEE T GEOSCI REMOTE</t>
  </si>
  <si>
    <t>IEEE Trans. Geosci. Remote Sensing</t>
  </si>
  <si>
    <t>10.1109/TGRS.2020.2970200</t>
  </si>
  <si>
    <t>NU8YK</t>
  </si>
  <si>
    <t>WOS:000573923100002</t>
  </si>
  <si>
    <t>Hruby, K; Gerbi, C; Koons, P; Campbell, S; Martín, C; Hawley, R</t>
  </si>
  <si>
    <t>Hruby, Kate; Gerbi, Christopher; Koons, Peter; Campbell, Seth; Martin, Carlos; Hawley, Robert</t>
  </si>
  <si>
    <t>The impact of temperature and crystal orientation fabric on the dynamics of mountain glaciers and ice streams</t>
  </si>
  <si>
    <t>Anisotropic ice flow; glacier flow; glaciological model experiments; ice rheology; ice streams</t>
  </si>
  <si>
    <t>POLAR ICE; FLOW-LAW; CREEP; SHEET; SHEAR; DEFORMATION; RHEOLOGY; ANISOTROPY; BOREHOLE; MARGINS</t>
  </si>
  <si>
    <t>Streaming ice accounts for a major fraction of global ice flux, yet we cannot yet fully explain the dominant controls on its kinematics. In this contribution, we use an anisotropic full-Stokes thermomechanical flow solver to characterize how mechanical anisotropy and temperature distribution affect ice flux. For the ice stream and glacier geometries we explored, we found that the ice flux increases 1-3% per degrees C temperature increase in the margin. Glaciers and ice streams with crystallographic fabric oriented approximately normal to the shear plane increase by comparable amounts: an otherwise isotropic ice stream containing a concentrated transverse single maximum fabric in the margin flows 15% faster than the reference case. Fabric and temperature variations independently impact ice flux, with slightly nonlinear interactions. We find that realistic variations in temperature and crystallographic fabric both affect ice flux to similar degrees, with the exact effect a function of the local fabric and temperature distributions. Given this sensitivity, direct field-based measurements and models incorporating additional factors, such as water content and temporal evolution, are essential for explaining and predicting streaming ice dynamics.</t>
  </si>
  <si>
    <t>[Hruby, Kate; Gerbi, Christopher; Koons, Peter; Campbell, Seth] Univ Maine, Sch Earth &amp; Climate Sci, Orono, ME 04469 USA; [Koons, Peter; Campbell, Seth] Univ Maine, Ciimate Change Inst, Orono, ME USA; [Martin, Carlos] British Antarctic Survey, Cambridge, England; [Hawley, Robert] Dartmouth Coll, Dept Earth Sci, Hanover, NH 03755 USA</t>
  </si>
  <si>
    <t>University of Maine System; University of Maine Orono; University of Maine System; University of Maine Orono; UK Research &amp; Innovation (UKRI); Natural Environment Research Council (NERC); NERC British Antarctic Survey; Dartmouth College</t>
  </si>
  <si>
    <t>Gerbi, C (corresponding author), Univ Maine, Sch Earth &amp; Climate Sci, Orono, ME 04469 USA.</t>
  </si>
  <si>
    <t>christopher.gerbi@maine.edu</t>
  </si>
  <si>
    <t>Hawley, Robert/KHY-1082-2024</t>
  </si>
  <si>
    <t>Hawley, Robert/0000-0001-8466-0839; Gerbi, Christopher/0000-0002-0619-4833</t>
  </si>
  <si>
    <t>National Science Foundation [OPP-1503924]; NERC [bas0100034] Funding Source: UKRI</t>
  </si>
  <si>
    <t>National Science Foundation(National Science Foundation (NSF)); NERC(UK Research &amp; Innovation (UKRI)Natural Environment Research Council (NERC))</t>
  </si>
  <si>
    <t>National Science Foundation award OPP-1503924 supported this work. Steven Bernsen, Karl Kreutz and Nicholas Richmond provided helpful feedback and technical assistance. Ralf Greve, Sandra Piazolo and an anonymous reviewer provided feedback that improved the quality of this contribution.</t>
  </si>
  <si>
    <t>PII S0022143020000441</t>
  </si>
  <si>
    <t>10.1017/jog.2020.44</t>
  </si>
  <si>
    <t>WOS:000573265700005</t>
  </si>
  <si>
    <t>Carr, CG; Carmichael, JD; Pettit, EC; Truffer, M</t>
  </si>
  <si>
    <t>Carr, Chris G.; Carmichael, Joshua D.; Pettit, Erin C.; Truffer, Martin</t>
  </si>
  <si>
    <t>The influence of environmental microseismicity on detection and interpretation of small-magnitude events in a polar glacier setting</t>
  </si>
  <si>
    <t>Antarctic glaciology; seismicity; seismology</t>
  </si>
  <si>
    <t>MCMURDO DRY VALLEYS; TAYLOR GLACIER; BLOOD FALLS; ICEQUAKES; ICE; FRACTURE; MOULIN; TREMOR</t>
  </si>
  <si>
    <t>Glacial environments exhibit temporally variable microseismicity. To investigate how microseismicity influences event detection, we implement two noise-adaptive digital power detectors to process seismic data from Taylor Glacier, Antarctica. We add scaled icequake waveforms to the original data stream, run detectors on the hybrid data stream to estimate reliable detection magnitudes and compare analytical magnitudes predicted from an ice crack source model. We find that detection capability is influenced by environmental microseismicity for seismic events with source size comparable to thermal penetration depths. When event counts and minimum detectable event sizes change in the same direction (i.e. increase in event counts and minimum detectable event size), we interpret measured seismicity changes as 'true' seismicity changes rather than as changes in detection. Generally, one detector (two degree of freedom (2dof)) outperforms the other: it identifies more events, a more prominent summertime diurnal signal and maintains a higher detection capability. We conclude that real physical processes are responsible for the summertime diurnal inter-detector difference. One detector (3dof) identifies this process as environmental microseismicity; the other detector (2dof) identifies it as elevated waveform activity. Our analysis provides an example for minimizing detection biases and estimating source sizes when interpreting temporal seismicity patterns to better infer glacial seismogenic processes.</t>
  </si>
  <si>
    <t>[Carr, Chris G.; Truffer, Martin] Univ Alaska, Fairbanks, AK 99701 USA; [Carmichael, Joshua D.] Los Alamos Natl Lab, Los Alamos, NM USA; [Pettit, Erin C.] Oregon State Univ, Corvallis, OR 97331 USA</t>
  </si>
  <si>
    <t>University of Alaska System; University of Alaska Fairbanks; United States Department of Energy (DOE); Los Alamos National Laboratory; Oregon State University</t>
  </si>
  <si>
    <t>Carr, CG (corresponding author), Univ Alaska, Fairbanks, AK 99701 USA.</t>
  </si>
  <si>
    <t>cgcarr@alaska.edu</t>
  </si>
  <si>
    <t>Carr, Chris G./AAZ-4273-2021</t>
  </si>
  <si>
    <t>Carr, Chris G./0000-0002-9273-8584; Pettit, Erin Christine/0000-0002-6765-9841</t>
  </si>
  <si>
    <t>NSF Award [OPP 1144177]; Office of Nuclear Detonation Detection under Department of Energy [NA-22]</t>
  </si>
  <si>
    <t>NSF Award(National Science Foundation (NSF)); Office of Nuclear Detonation Detection under Department of Energy</t>
  </si>
  <si>
    <t>We thank Jessica Badgeley, Doug Bloomquist, Paul Carpenter, Tiffany Green, Jason Herbert, Cecelia Mortenson and Thomas Nylen for their field assistance. Seismometers were provided by IRIS PASSCAL. E.C.P. was funded by NSF Award OPP 1144177. Work by J.D.C. was supported by the Office of Nuclear Detonation Detection (NA-22) under the auspices of Department of Energy and approved by number LA-UR-19-31851. The authors thank Emilie Sinkler for discussions, and Hester Jiskoot and the two anonymous reviewers who provided feedback that greatly improved this manuscript.</t>
  </si>
  <si>
    <t>PII S0022143020000489</t>
  </si>
  <si>
    <t>10.1017/jog.2020.48</t>
  </si>
  <si>
    <t>WOS:000573265700008</t>
  </si>
  <si>
    <t>Gui, DW; Lei, RB; Pang, XP; Hutchings, JK; Zuo, GY; Zhai, MX</t>
  </si>
  <si>
    <t>Gui, Dawei; Lei, Ruibo; Pang, Xiaoping; Hutchings, Jennifer K.; Zuo, Guangyu; Zhai, Mengxi</t>
  </si>
  <si>
    <t>Validation of remote-sensing products of sea-ice motion: a case study in the western Arctic Ocean</t>
  </si>
  <si>
    <t>Ice drifter; Lagrangian trajectory; remote-sensing product; sea-ice motion; spatial-temporal variation; validation</t>
  </si>
  <si>
    <t>THICKNESS</t>
  </si>
  <si>
    <t>The accuracy of sea-ice motion products provided by the National Snow and Ice Data Center (NSIDC) and the Ocean and Sea Ice Satellite Application Facility (OSI-SAF) was validated with data collected by ice drifters that were deployed in the western Arctic Ocean in 2014 and 2016. Data from both NSIDC and OSI-SAF products exhibited statistically significant (p&lt; 0.001) correlation with drifter data. The OSI-SAF product tended to overestimate ice speed, while underestimation was demonstrated for the NSIDC product, especially for the melt season and the marginal ice zone. Monthly Lagrangian trajectories of ice floes were reconstructed using the products. Larger spatial variability in the deviation between NSIDC and drifter trajectories was observed than that of OSI-SAF, and seasonal variability in the deviation for NSIDC was observed. Furthermore, trajectories reconstructed using the NSIDC product were sensitive to variations in sea-ice concentration. The feasibility of using remote-sensing products to characterize sea-ice deformation was assessed by evaluating the distance between two arbitrary positions as estimated by the products. Compared with the OSI-SAF product, relative errors are lower (&lt;11.6%), and spatial-temporal resolutions are higher in the NSIDC product, which makes it more suitable for estimating sea-ice deformation.</t>
  </si>
  <si>
    <t>[Gui, Dawei; Lei, Ruibo; Pang, Xiaoping] Wuhan Univ, Chinese Antarctic Ctr Surveying &amp; Mapping, Wuhan, Peoples R China; [Gui, Dawei; Lei, Ruibo; Zhai, Mengxi] Polar Res Inst China, MNR Key Lab Polar Sci, Shanghai, Peoples R China; [Hutchings, Jennifer K.] Oregon State Univ, Coll Earth Ocean &amp; Atmospher Sci, Corvallis, OR 97331 USA; [Zuo, Guangyu] Taiyuan Univ Technol, Coll Elect &amp; Power Engn, Taiyuan, Peoples R China</t>
  </si>
  <si>
    <t>Wuhan University; Polar Research Institute of China; Oregon State University; Taiyuan University of Technology</t>
  </si>
  <si>
    <t>Lei, RB (corresponding author), Wuhan Univ, Chinese Antarctic Ctr Surveying &amp; Mapping, Wuhan, Peoples R China.;Lei, RB (corresponding author), Polar Res Inst China, MNR Key Lab Polar Sci, Shanghai, Peoples R China.</t>
  </si>
  <si>
    <t>leiruibo@pric.org.cn</t>
  </si>
  <si>
    <t>Hutchings, Jennifer K/P-6356-2017</t>
  </si>
  <si>
    <t>National Key Research and Development Program of China [2018YFA0605903, 2016YFC14003]; National Natural Science Foundation of China [41976219/41722605]; United States National Science Foundation [OPP 1722729, OPP 1740768]</t>
  </si>
  <si>
    <t>National Key Research and Development Program of China; National Natural Science Foundation of China(National Natural Science Foundation of China (NSFC)); United States National Science Foundation(National Science Foundation (NSF))</t>
  </si>
  <si>
    <t>This work was supported by the National Key Research and Development Program of China (2018YFA0605903 and 2016YFC14003) and the National Natural Science Foundation of China (41976219/41722605). J.H. is funded by the United States National Science Foundation (OPP 1722729 and OPP 1740768).</t>
  </si>
  <si>
    <t>PII S0022143020000490</t>
  </si>
  <si>
    <t>10.1017/jog.2020.49</t>
  </si>
  <si>
    <t>WOS:000573265700009</t>
  </si>
  <si>
    <t>Santora, JA; LaRue, MA; Ainley, DG</t>
  </si>
  <si>
    <t>Santora, Jarrod A.; LaRue, Michelle A.; Ainley, David G.</t>
  </si>
  <si>
    <t>Geographic structuring of Antarctic penguin populations</t>
  </si>
  <si>
    <t>biogeography; penguin colony; polynya; submarine canyon; trophic competition</t>
  </si>
  <si>
    <t>SOUTH SHETLAND ISLANDS; ROSS SEA; CHINSTRAP PENGUINS; ADELIE PENGUINS; TOP PREDATORS; COLONY SIZE; COMPETITION; MARINE; KRILL; ICE</t>
  </si>
  <si>
    <t>Aim We hypothesized that regional spatial organization of Antarctic penguin breeding populations was affected by social factors, that is, proximity and size of adjacent colonies, and by physical factors, that is, availability of breeding habitat and proximity of polynyas and submarine canyons where prey is abundant. The hypothesis of Furness and Birkhead (1984), that forage competition and density-dependence affect geographic structure of seabird populations, was tested previously for Antarctic penguins when biologging to quantify colony foraging areas was less common and when assessments of colony size reflected a compendium of historical counts. These data on foraging areas and colony size are now available following 20 years of frequent biologging and real-time satellite data on colony locations and sizes. Location Antarctica. Major taxa studied Penguin species. Time period Present day. Methods We prepared a literature summary on the basis of biologging studies to improve assessment of foraging ranges. We collated colony sizes from recent sources and integrated them with data on submarine canyon systems and polynyas. We used geospatial models to assess the relationships of the latter features to colony size, clustering, and distribution around Antarctica. Results The equal spacing of emperor penguin colonies was constant, with spacing a function of foraging range. In contrast, colonies of other penguin species were clustered, with small colonies adjacent to one another and within the outer edge of the foraging area of large colonies. Colonies and especially clusters occurred near polynyas and canyons around Antarctica. Main conclusions Density-dependent processes and geography explained penguin colony distribution. We conclude that inter- and intraspecific trophic competition affects the geographic structuring of colony distribution and size, although not necessarily in the same way among species. Results are relevant to assessing effects of climate, ecosystem dynamics, fisheries and other factors on penguin population trends at regional scales. We suggest that considering penguin colony distribution and abundance at the regional or cluster level is necessary to understand changes in these attributes.</t>
  </si>
  <si>
    <t>[Santora, Jarrod A.] Univ Calif Santa Cruz, Dept Appl Math, Santa Cruz, CA 95060 USA; [Santora, Jarrod A.; Ainley, David G.] HT Harvey &amp; Associates Ecol Consultants, Los Gatos, CA USA; [Santora, Jarrod A.] NOAA, Fisheries Ecol Div, Southwest Fisheries Sci Ctr, Natl Marine Fisheries Serv, 110 McAllister Way, Santa Cruz, CA 95060 USA; [LaRue, Michelle A.] Univ Minnesota, Dept Earth Sci, Minneapolis, MN USA; [LaRue, Michelle A.] Univ Canterbury, Dept Geog, Gateway Antarctica, Christchurch, New Zealand</t>
  </si>
  <si>
    <t>University of California System; University of California Santa Cruz; National Oceanic Atmospheric Admin (NOAA) - USA; University of Minnesota System; University of Minnesota Twin Cities; University of Canterbury</t>
  </si>
  <si>
    <t>Santora, JA (corresponding author), Univ Calif Santa Cruz, Dept Appl Math, Santa Cruz, CA 95060 USA.</t>
  </si>
  <si>
    <t>jsantora@ucsc.edu</t>
  </si>
  <si>
    <t>10.1111/geb.13144</t>
  </si>
  <si>
    <t>NT8FV</t>
  </si>
  <si>
    <t>WOS:000573170400008</t>
  </si>
  <si>
    <t>Pure, LR; Leonard, GS; Townsend, DB; Wilson, CJ; Calvert, AT; Cole, RP; Conway, CE; Gamble, JA; Smith, T</t>
  </si>
  <si>
    <t>Pure, Leo R.; Leonard, Graham S.; Townsend, Dougal B.; Wilson, Colin Jn; Calvert, Andrew T.; Cole, Rosie P.; Conway, Chris E.; Gamble, John A.; Smith, T. 'Bubs'</t>
  </si>
  <si>
    <t>A high resolution 40Ar/39Ar lava chronology and edifice construction history for Tongariro volcano, New Zealand</t>
  </si>
  <si>
    <t>JOURNAL OF VOLCANOLOGY AND GEOTHERMAL RESEARCH</t>
  </si>
  <si>
    <t>Tongariro; Ar/Ar dating; Eruptive history; Composite volcano; Glaciovolcanism; Andesite volcanism</t>
  </si>
  <si>
    <t>PYROCLASTIC ERUPTION SEQUENCE; LAST GLACIAL MAXIMUM; SAN-PEDRO COMPLEX; NORTH-ISLAND; RUAPEHU VOLCANO; MOUNT-RAINIER; MAGMATIC EVOLUTION; NGAURUHOE VOLCANO; WHAKAMARU GROUP; ARC SYSTEM</t>
  </si>
  <si>
    <t>Detailed mapping and geochronological investigations of edifice-forming materials reconstruct the growth history of Tongariro volcano, New Zealand, and subdivide the edifice into thirty six distinct units which are organised into twelve formations and constituent members. Twenty nine new 40Ar/39Ar age determinations, along with published K/Ar ages combined with volume estimates, petrographic observations and rock chemistry provide an integrated history of the volcano's growth through edifice-forming lavas and pyroclastic deposits. The oldest lava (512 +/- 59 ka, 2 s.d.) is a small inlier of basaltic-andesite on Tongariro's NW sector that may reflect a nearly buried independent volcano. The next oldest material that can be confidently attributed to a Tongariro source is 304 +/- 11 ka andesite, incorporated as boulders in late Pleistocene ejecta from the Tama Lakes area. In-situ lavas at Tongariro date from 230 ka to present, including numerous flows erupted during glacial periods and building the edifice unevenly due to emplacement against valley-filling ice bodies. Tongariro has a total edifice volume of similar to 90 km(3), 19 km(3) of which is represented by exposed map units, with glacial deposits amounting to &lt;1 km(3). The ring plain volume immediately adjacent to the volcano contains similar to 60 km(3) of material. Sequential eruptive records, from 230 ka to present, reveal an irregular cyclicity in MgO concentrations over similar to 10-70 kyr intervals. During these cycles, rapid (&lt;= 10 kyr) increases in MgO concentrations to &gt;= 5-9 wt% are inferred to reflect episodes of enhanced mafic magma replenishment, with maxima at -230, -160, -117, similar to 88, similar to 56, similar to 35, similar to 17.5 ka and during the Holocene, which are each followed by gradual declines to similar to 2-5 wt %. Field evidence, including extensive moraines and U-shaped valleys, and lava textures, implies repeated occupation of valleys on Tongariro by major glaciers and possibly ice caps. During periods of major ice coverage, which generally correlate with global cold climate/glacial Marine Isotope Stages, edifice building rates on Tongariro were only 17-26% of those during warmer climatic periods. Because the changes in edifice-building rates do not coincide with changes in the magmatic system, these contrasts are inferred to reflect a preservation bias whereby materials erupted onto ice were contemporaneously (or subsequently, as ice masses melted) conveyed to the ring plain as debris rather than building the edifice. Although the Tongariro edifice is smaller than that of neighbouring Ruapehu (similar to 150 km(3)), the exposed edifice materials on Tongariro record a longer and more complex growth history. The wider geographic distribution of &lt;50 ka vent locations at Tongariro reflects greater rifting rates than at Ruapehu. (C) 2020 Elsevier B.V. All rights reserved.</t>
  </si>
  <si>
    <t>[Pure, Leo R.; Wilson, Colin Jn; Gamble, John A.] Victoria Univ Wellington, Sch Geog Environm &amp; Earth Sci, POB 600, Wellington 6140, New Zealand; [Leonard, Graham S.; Townsend, Dougal B.] Avalon Res Ctr, GNS Sci, POB 30368, Lower Hutt 5010, New Zealand; [Calvert, Andrew T.] US Geol Survey, 345 Middlefield Rd,MS-937, Menlo Pk, CA 94025 USA; [Cole, Rosie P.] Univ Otago, Dept Geol, POB 56, Dunedin 9054, New Zealand; [Conway, Chris E.] AIST, Geol Survey Japan, 1-1-1 Higashi, Tsukuba, Ibaraki 3058567, Japan; [Gamble, John A.] Univ Coll Cork, Sch Biol Earth &amp; Environm Sci, Eire, Ireland; [Smith, T. 'Bubs'] Ngati Tuwharetoa, Turangi, New Zealand</t>
  </si>
  <si>
    <t>Victoria University Wellington; GNS Science - New Zealand; United States Department of the Interior; United States Geological Survey; University of Otago; National Institute of Advanced Industrial Science &amp; Technology (AIST); University College Cork</t>
  </si>
  <si>
    <t>Pure, LR (corresponding author), Victoria Univ Wellington, Sch Geog Environm &amp; Earth Sci, POB 600, Wellington 6140, New Zealand.</t>
  </si>
  <si>
    <t>leo.r.pure@tutamail.com</t>
  </si>
  <si>
    <t>Leonard, Graham/B-5617-2012; Conway, Chris E./AAC-8667-2020; Wilson, Colin/E-9457-2011</t>
  </si>
  <si>
    <t>Leonard, Graham/0000-0002-4859-0180; Conway, Chris E./0000-0002-2790-0178; Wilson, Colin/0000-0001-7565-0743</t>
  </si>
  <si>
    <t>Victoria University of Wellington (VUW); GNS Science; ECLIPSE Programme - New Zealand Ministry of Business, Innovation and Employment; Earthquake Commission of New Zealand [16/U735]; Antarctic Research Centre at VUW; International Arctic Research Center at the University of Alaska, Fairbanks</t>
  </si>
  <si>
    <t>Victoria University of Wellington (VUW); GNS Science; ECLIPSE Programme - New Zealand Ministry of Business, Innovation and Employment(New Zealand Ministry of Business, Innovation and Employment (MBIE)); Earthquake Commission of New Zealand; Antarctic Research Centre at VUW; International Arctic Research Center at the University of Alaska, Fairbanks</t>
  </si>
  <si>
    <t>LRP was supported by a PhD Scholarship from Victoria University of Wellington (VUW), with additional support from GNS Science and the ECLIPSE Programme funded by the New Zealand Ministry of Business, Innovation and Employment. Permission to undertake scientific samplingwas granted by the Ngati Tuwharetoa iwi through theDepartment of Conservation to GNS Science. Analytical costs were supported by the Earthquake Commission of New Zealand grant 16/U735. We thank Andrew Galloway for assistance with field and lab work (pictured in Fig. 7a) and Drew Downs for help in the USGS dating facilities. LRP thanks the Antarctic Research Centre at VUWand the International Arctic Research Center at the University of Alaska, Fairbanks, for receipt of the S. T. Lee Travel Award. Anita Grunder, Jim Cole, Kevin Norton and four anonymous reviewers are thanked for their constructive comments which improved this manuscript. Any use of trade, firm or product names is for descriptive purposes only and does not imply endorsement by the U.S. Government.</t>
  </si>
  <si>
    <t>0377-0273</t>
  </si>
  <si>
    <t>1872-6097</t>
  </si>
  <si>
    <t>J VOLCANOL GEOTH RES</t>
  </si>
  <si>
    <t>J. Volcanol. Geotherm. Res.</t>
  </si>
  <si>
    <t>10.1016/j.jvolgeores.2020.106993</t>
  </si>
  <si>
    <t>NT5LU</t>
  </si>
  <si>
    <t>WOS:000572983100006</t>
  </si>
  <si>
    <t>Galushkin, YI; Leitchenkov, GL; Dubinin, EP</t>
  </si>
  <si>
    <t>Galushkin, Y. I.; Leitchenkov, G. L.; Dubinin, E. P.</t>
  </si>
  <si>
    <t>NUMERICAL MODELLING OF THE AUSTRALIA - ANTARCTICA CONJUGATE MARGINS USING THE GALO SYSTEM: PART 2. THERMAL AND MATURATION HISTORY OF THE MAWSON SEA BASIN, EAST ANTARCTICA</t>
  </si>
  <si>
    <t>JOURNAL OF PETROLEUM GEOLOGY</t>
  </si>
  <si>
    <t>Antarctica; passive margin; Mawson Sea Basin; basin modelling; tectonic subsidence; lithosphere stretching; vitrinite reflectance; heavy oil; light oil</t>
  </si>
  <si>
    <t>GENERATION; LAND; FLOW</t>
  </si>
  <si>
    <t>The thermal evolution of the Mawson Sea Basin, offshore East Antarctic, was modelled using the GALO basin modelling programme. As there exist no deep temperature or vitrinite reflectance data for the Mawson Sea Basin, the simulation was based on a limited nonthermal database. This includes the present-day sedimentary section along a multichannel seismic profile which crosses the western part of the Mawson Sea along with geophysical assessments of the depth of the Moho. An analysis of the variations in tectonic subsidence was used to estimate the duration and magnitude of thermal activation or stretching of the lithosphere. This analysis suggested that a proportion of the lithospheric stretching took place before the start of synrift sediment deposition at about 160 Ma (Late Jurassic). This pre-sedimentation lithospheric stretching has been ignored in previous studies, resulting in significant underestimation of the total stretching which has occurred. The analysis also suggests that the thermal maturity of Lower Jurassic potential source rocks along the profile may reach and even exceed the onset of the oil generation window, whereas source rocks in less deeply buried parts of the profile are less mature. In general, the results of the modelling indicate that the Mawson Sea Basin is a promising area for future oil and gas exploration.</t>
  </si>
  <si>
    <t>[Galushkin, Y. I.; Dubinin, E. P.] Lomonosov Moscow State Univ, Earth Sci Museum, Ul Leninskie Gory 1, Moscow 119991, Russia; [Leitchenkov, G. L.] Gramberg VNII Oceanol, St Petersburg, Russia; [Leitchenkov, G. L.] St Petersburg State Univ, Inst Earth Sci, St Petersburg, Russia</t>
  </si>
  <si>
    <t>Lomonosov Moscow State University; Saint Petersburg State University</t>
  </si>
  <si>
    <t>Galushkin, YI (corresponding author), Lomonosov Moscow State Univ, Earth Sci Museum, Ul Leninskie Gory 1, Moscow 119991, Russia.</t>
  </si>
  <si>
    <t>yu_gal@mail.ru</t>
  </si>
  <si>
    <t>Russian Science Foundation [16-17-10139]; Russian Science Foundation [16-17-10139] Funding Source: Russian Science Foundation</t>
  </si>
  <si>
    <t>Russian Science Foundation(Russian Science Foundation (RSF)); Russian Science Foundation(Russian Science Foundation (RSF))</t>
  </si>
  <si>
    <t>The work was supported by the Russian Science Foundation (grant no. 16-17-10139). The authors are grateful to the journal reviewers (John. D. Pigott, University of Oklahoma; and Ralf Littke, RWTH Aachen University) for their valuable comments on a previous version which improved the content and clarity of the article. They acknowledge assistance from JPG editorial staff with the English language presentation.</t>
  </si>
  <si>
    <t>0141-6421</t>
  </si>
  <si>
    <t>1747-5457</t>
  </si>
  <si>
    <t>J PETROL GEOL</t>
  </si>
  <si>
    <t>J. Pet. Geol.</t>
  </si>
  <si>
    <t>10.1111/jpg.12773</t>
  </si>
  <si>
    <t>NS0MK</t>
  </si>
  <si>
    <t>WOS:000571954200004</t>
  </si>
  <si>
    <t>Alexander, KA; Amundsen, VS; Osmundsen, TC</t>
  </si>
  <si>
    <t>Alexander, Karen A.; Amundsen, Vilde S.; Osmundsen, Tonje C.</t>
  </si>
  <si>
    <t>'Social stuff' and all that jazz: Understanding the residual category of social sustainability</t>
  </si>
  <si>
    <t>ENVIRONMENTAL SCIENCE &amp; POLICY</t>
  </si>
  <si>
    <t>Sustainability; Certification; Social; Indicators; Aquaculture</t>
  </si>
  <si>
    <t>RESPONSIBILITY CSR; SALMON AQUACULTURE; FOOD SYSTEMS; LICENSE; OPERATE; ACCEPTABILITY; INDICATORS; BUSINESS; DIALOGUE; SECTOR</t>
  </si>
  <si>
    <t>Recently we have seen a substantial increase in pressure for industries, such as aquaculture, to become more sustainable. When it comes to practical attempts to operationalise sustainable development, however, the 'social stuff' is often neglected. In this paper, we provide a detailed exploration of how the concept of social sustainability is operationalised (and therefore understood) within the aquaculture certification context. We found that a) certification schemes do address social sustainability, but relevant indicators mostly focus on workers' rights, or link directly back to environmental sustainability (through the consequences of environmental impact on humans); and b) the actions required often add little over and above existing legal requirements. Essentially, aquaculture sustainability certification schemes have not (yet) taken the opportunity to further shape our understanding of what social sustainability means, or how it is practiced. The consequence of this may be the impression that industries are truly sustainable, just because they have obtained sustainability certification.</t>
  </si>
  <si>
    <t>[Alexander, Karen A.] Univ Tasmania, Ctr Marine Socioecol, Private Bag 49, Hobart, Tas 7000, Australia; [Alexander, Karen A.] Univ Tasmania, Inst Marine &amp; Antarctic Studies, Private Bag 49, Hobart, Tas 7000, Australia; [Amundsen, Vilde S.] Norwegian Univ Sci &amp; Technol, Dept Sociol &amp; Polit Sci, Trondheim, Norway; [Amundsen, Vilde S.; Osmundsen, Tonje C.] NTNU Samfunnsforskning, Studio Apertura, Dragvoll Alle 38 B, N-7049 Trondheim, Norway</t>
  </si>
  <si>
    <t>University of Tasmania; University of Tasmania; Norwegian University of Science &amp; Technology (NTNU)</t>
  </si>
  <si>
    <t>Alexander, KA (corresponding author), Univ Tasmania, Ctr Marine Socioecol, Private Bag 49, Hobart, Tas 7000, Australia.</t>
  </si>
  <si>
    <t>Alexander, Karen/O-7042-2017</t>
  </si>
  <si>
    <t>Alexander, Karen/0000-0001-8801-413X; Osmundsen, Tonje/0000-0002-5776-6694</t>
  </si>
  <si>
    <t>Norwegian Research Council [254841, 295114]</t>
  </si>
  <si>
    <t>This work has been conducted as part of the SustainFish project (grant no. 254841) and the SoLic project (grant no. 295114), both funded by the Norwegian Research Council.</t>
  </si>
  <si>
    <t>1462-9011</t>
  </si>
  <si>
    <t>1873-6416</t>
  </si>
  <si>
    <t>ENVIRON SCI POLICY</t>
  </si>
  <si>
    <t>Environ. Sci. Policy</t>
  </si>
  <si>
    <t>10.1016/j.envsci.2020.06.003</t>
  </si>
  <si>
    <t>NR3DZ</t>
  </si>
  <si>
    <t>WOS:000571444200007</t>
  </si>
  <si>
    <t>Moore, BR; Adams, T; Allain, V; Bell, JD; Bigler, M; Bromhead, D; Clark, S; Davies, C; Evans, K; Faasili, U; Farley, J; Fitchett, M; Grewe, PM; Hampton, J; Hyde, J; Leroy, B; Lewis, A; Lorrain, A; Macdonald, JI; Marie, AD; Minte-Vera, C; Natasha, J; Nicol, S; Obregon, P; Peatman, T; Pecoraro, C; Phillip, NB; Pilling, GM; Rico, C; Sanchez, C; Scott, R; Phillips, JS; Stockwell, B; Tremblay-Boyer, L; Usu, T; Williams, AJ; Smith, N</t>
  </si>
  <si>
    <t>Moore, Bradley R.; Adams, Tim; Allain, Valerie; Bell, Johann D.; Bigler, Mark; Bromhead, Don; Clark, Sangaa; Davies, Campbell; Evans, Karen; Faasili, Ueta; Farley, Jessica; Fitchett, Mark; Grewe, Peter M.; Hampton, John; Hyde, John; Leroy, Bruno; Lewis, Antony; Lorrain, Anne; Macdonald, Jed, I; Marie, Amandine D.; Minte-Vera, Carolina; Natasha, Janice; Nicol, Simon; Obregon, Pablo; Peatman, Thomas; Pecoraro, Carlo; Phillip, N. Bradley; Pilling, Graham M.; Rico, Ciro; Sanchez, Caroline; Scott, Robert; Phillips, Joe Scutt; Stockwell, Brian; Tremblay-Boyer, Laura; Usu, Thomas; Williams, Ashley J.; Smith, Neville</t>
  </si>
  <si>
    <t>Defining the stock structures of key commercial tunas in the Pacific Ocean II: Sampling considerations and future directions</t>
  </si>
  <si>
    <t>FISHERIES RESEARCH</t>
  </si>
  <si>
    <t>Tuna; Pacific Ocean; Movement; Spatial dynamics; Stock structure; Fisheries management</t>
  </si>
  <si>
    <t>SKIPJACK TUNA; KATSUWONUS-PELAMIS; THUNNUS-ALALUNGA; YELLOWFIN TUNA; BIGEYE TUNA; OTOLITH CHEMISTRY; SOUTH-PACIFIC; POPULATION CONNECTIVITY; REPRODUCTIVE-BIOLOGY; FISH OTOLITHS</t>
  </si>
  <si>
    <t>Delineating the stock structure of highly-mobile, wide-ranging fishes subject to exploitation is a challenging task, yet one that is fundamental to optimal fisheries management. A case in point are stocks of skipjack tuna (Katsuwonus pelamis), yellowfin tuna (Thunnus albacares), bigeye tuna (Thunnus obesus) and albacore tuna (Thunnus alalunga) in the Pacific Ocean, which support important commercial, artisanal, subsistence, and recreational fisheries, and contribute roughly 70 % of global commercial tuna catches. Although some spatial and temporal structuring is recognised within these stocks, growing evidence from a range of approaches suggests that the stock structure of each tuna species is more complex than is currently assumed in both stock assessment and climate change models, and in management regimes. In a move towards improving understanding of the stock structure of skipjack, yellowfin, bigeye and South Pacific albacore tunas in the Pacific Ocean, an international workshop was held in Noumea, New Caledonia, in October 2018 to review knowledge about their movement and stock structure in the region, define and discuss the main knowledge gaps and uncertainties concerning their stock structure, and develop biological sampling approaches to support the provision of this information. Here, we synthesise the discussions of this latter component. For each tuna species, we identify several general sampling considerations needed to reduce uncertainty, including i) the need for broadscale sampling in space, ideally covering each species' distribution, targeting adults in spawning condition and adopting a phased approach; ii) the need for temporally-repeated sampling of the same geographical areas to assess stability in observed patterns over time; iii) the need to resolve patterns in spatial dynamics, such as those resulting from movements associated with the seasonal extensions of poleward flowing currents, from underlying stock structure, iv) the importance of adopting a multidisciplinary approach to stock identification, and v) the need for careful planning of logistics and coordination of sampling efforts across agencies. Finally, we present potential sampling designs that could be adopted to help overcome uncertainties around the initial identification of stocks and the provenance, mixing and proportional contributions of individuals in harvested assemblages, as well as how these uncertainties could be accounted for in fisheries management via the use of management strategy evaluation.</t>
  </si>
  <si>
    <t>[Moore, Bradley R.] Natl Inst Water &amp; Atmospher Res, Nelson 7010, New Zealand; [Moore, Bradley R.] Univ Tasmania, Inst Marine &amp; Antarctic Studies, Hobart, Tas 7001, Australia; [Adams, Tim] Forum Fisheries Agcy, Fisheries Management Div, Honiara, Solomon Islands; [Allain, Valerie; Hampton, John; Leroy, Bruno; Macdonald, Jed, I; Nicol, Simon; Peatman, Thomas; Pilling, Graham M.; Sanchez, Caroline; Scott, Robert; Phillips, Joe Scutt; Smith, Neville] Pacific Community SPC, Ocean Fisheries Programme, BP D5 98848, Noumea, New Caledonia; [Bell, Johann D.; Obregon, Pablo] Ctr Oceans, Conservat Int, 2011 Crystal Dr,Suite 600, Arlington, VA 22202 USA; [Bell, Johann D.] Univ Wollongong, Australian Natl Ctr Ocean Resources &amp; Secur, Wollongong, NSW 2522, Australia; [Bigler, Mark] Marshall Isl Marine Resources Author, Majuro, Marshall Island; [Bromhead, Don] Australian Fisheries Management Author, Canberra, ACT 2609, Australia; [Clark, Sangaa] Parties Nauru Agreement PNA Off, Majuro 96960, Marshall Island; [Davies, Campbell; Evans, Karen; Farley, Jessica; Grewe, Peter M.] CSIRO Oceans &amp; Atmosphere, GPO Box 1538, Hobart, Tas 7001, Australia; [Faasili, Ueta] Minist Agr &amp; Fisheries, Apia, Samoa; [Fitchett, Mark] Western Pacific Reg Fishery Management Council, Honolulu, HI 96813 USA; [Hyde, John] NOAA, Natl Marine Fisheries Serv, Southwest Fisheries Sci Ctr, 8901 La Jolla Shores Dr, La Jolla, CA 92037 USA; [Lewis, Antony] Ultramarine Consulting, Brisbane, Qld 4068, Australia; [Lorrain, Anne] Univ Brest, Inst Rech Dev IRD, LEMAR, IFREMER,CNRS, F-29280 Plouzane, France; [Marie, Amandine D.] INRAE, Agrocampus Ouest, Ecol &amp; Ecosyst Hlth, ESE, F-35042 Rennes, France; [Minte-Vera, Carolina] Interamer Trop Tuna Commiss, La Jolla, CA 92037 USA; [Natasha, Janice; Rico, Ciro; Stockwell, Brian] Univ South Pacific, Sch Marine Studies, Suva, Fiji; [Nicol, Simon] Univ Canberra, Inst Appl Ecol, Bruce, ACT 2617, Australia; [Pecoraro, Carlo] Physalia Courses, D-10249 Berlin, Germany; [Phillip, N. Bradley] FSM Natl Govt, Natl Ocean Resource Management Author, Kolonia, Pohnpei, Micronesia; [Rico, Ciro] CSIC, Inst Ciencias Marinas Andalucia ICMAN, Campus Univ Rio San Pedro, Cadiz 11510, Spain; [Tremblay-Boyer, Laura] Dragonfly Data Sci, Wellington 6011, New Zealand; [Usu, Thomas] Natl Fisheries Author, Port Moresby, Papua N Guinea; [Williams, Ashley J.] Australian Bur Agr &amp; Resource Econ &amp; Sci, Dept Agr, Canberra, ACT 2601, Australia; [Williams, Ashley J.] James Cook Univ, Coll Sci &amp; Engn, Ctr Sustainable Trop Fisheries &amp; Aquaculture, Townsville, Qld 4811, Australia</t>
  </si>
  <si>
    <t>National Institute of Water &amp; Atmospheric Research (NIWA) - New Zealand; University of Tasmania; Conservation International; University of Wollongong; Commonwealth Scientific &amp; Industrial Research Organisation (CSIRO); National Oceanic Atmospheric Admin (NOAA) - USA; Universite de Bretagne Occidentale; Centre National de la Recherche Scientifique (CNRS); Ifremer; Institut de Recherche pour le Developpement (IRD); Institut Agro; Agrocampus Ouest; INRAE; University of the South Pacific; University of Canberra; Consejo Superior de Investigaciones Cientificas (CSIC); CSIC - Instituto de Ciencias Marinas de Andalucia (ICMAN); James Cook University</t>
  </si>
  <si>
    <t>Moore, BR (corresponding author), Natl Inst Water &amp; Atmospher Res, Nelson 7010, New Zealand.</t>
  </si>
  <si>
    <t>bradley.moore@niwa.co.nz</t>
  </si>
  <si>
    <t>Williams, Ashley/ABA-5921-2020; Williams, Ashley/G-2017-2014; Lorrain, Anne/A-4152-2009; Rico, Ciro/P-9750-2019; Farley, Jessica/E-4957-2014; Davies, Campbell R/N-8086-2013; Grewe, Peter/AAJ-5227-2021; Williams, Ashley/JAX-9689-2023; Allain, Valerie/AAE-1449-2019</t>
  </si>
  <si>
    <t>Williams, Ashley/0000-0002-5530-0073; Williams, Ashley/0000-0002-5530-0073; Rico, Ciro/0000-0002-0822-336X; Farley, Jessica/0000-0002-5047-746X; Grewe, Peter/0000-0001-7111-4150; Allain, Valerie/0000-0002-9874-3077; Stockwell, Brian/0000-0001-9983-4723; Bell, Johann/0000-0003-2152-536X; Nicol, Simon/0000-0001-8193-8719; Moore, Bradley/0000-0001-8645-6778; Adams, Timothy/0000-0002-0164-7514</t>
  </si>
  <si>
    <t>Conservation International as part of the GEF</t>
  </si>
  <si>
    <t>The 'Identifying the spatial structure of Pacific tuna stocks' workshop was graciously hosted by the Oceanic Fisheries Programme of the Pacific Community (SPC), Noumea, New Caledonia. We thank those involved with organising the logistics for this workshop, in particular Helene Ixeko and Nathalie Lemesle from the Pacific Community (SPC). Funding support for the workshop was provided by Conservation International as part of the GEF-funded, World Bank-implemented Ocean Partnerships for sustainable fisheries and biodiversity conservation (OPP), a sub-project of the Common Oceans ABNJ Program led by UN-FAO. Francois Roupsard (SPC) provided additional comments on the sampling designs. The constructive comments and suggestions provided by two anonymous reviewers and the Guest Editor are greatly appreciated.</t>
  </si>
  <si>
    <t>0165-7836</t>
  </si>
  <si>
    <t>1872-6763</t>
  </si>
  <si>
    <t>FISH RES</t>
  </si>
  <si>
    <t>Fish Res.</t>
  </si>
  <si>
    <t>10.1016/j.fishres.2020.105524</t>
  </si>
  <si>
    <t>MR1XZ</t>
  </si>
  <si>
    <t>WOS:000553385900001</t>
  </si>
  <si>
    <t>Moore, BR; Bell, JD; Evans, K; Farley, J; Grewe, PM; Hampton, J; Marie, AD; Minte-Vera, C; Nicol, S; Pilling, GM; Phillips, JS; Tremblay-Boyer, L; Williams, AJ; Smith, N</t>
  </si>
  <si>
    <t>Moore, Bradley R.; Bell, Johann D.; Evans, Karen; Farley, Jessica; Grewe, Peter M.; Hampton, John; Marie, Amandine D.; Minte-Vera, Carolina; Nicol, Simon; Pilling, Graham M.; Phillips, Joe Scutt; Tremblay-Boyer, Laura; Williams, Ashley J.; Smith, Neville</t>
  </si>
  <si>
    <t>Defining the stock structures of key commercial tunas in the Pacific Ocean I: Current knowledge and main uncertainties</t>
  </si>
  <si>
    <t>GENETIC POPULATION-STRUCTURE; YELLOWFIN TUNA; SKIPJACK TUNA; THUNNUS-ALBACARES; BIGEYE TUNA; KATSUWONUS-PELAMIS; EASTERN PACIFIC; WESTERN PACIFIC; ALBACORE TUNA; SOUTH-PACIFIC</t>
  </si>
  <si>
    <t>Tunas are the focus of significant fisheries in the Pacific Ocean, where landings of four species - skipjack tuna (Katsuwonus pelamis), yellowfin tuna (Thunnus albacares), bigeye tuna (Thunnus obesus) and albacore tuna (Thunnus alalunga) - constitute approximately 70 % of the global tuna catch. Stock assessments for skipjack, yellowfin and bigeye tunas in the Pacific Ocean currently assume eastern and western stocks. For albacore tuna, separate North Pacific Ocean and South Pacific Ocean stocks are currently assumed. In each case, these geographic definitions reflect the historical development of fisheries management across the Pacific rather than biological considerations. There is widespread agreement that uncertainties surrounding the stock structures of these four tuna species could have important impacts on the population dynamics models used to assess their status and inform management options. Knowledge of stock structure is also essential for improved modelling of the effects of climate change on tuna distribution and abundance and associated implications for fisheries. This paper reviews current knowledge and understanding of the stock structures of skipjack, yellowfin, bigeye and South Pacific albacore tunas in the Pacific Ocean, by exploring available literature relating to their biology, movement and spatial dynamics. As a guide for future research in this area, we identify the main uncertainties in defining the stock structure of these four tunas in the Pacific, including i) spawning dynamics; ii) the degree of spawning area fidelity and localised residency; iii) the provenance of individuals in, and proportional contributions of self-replenishing populations to, fishery catches within the Pacific Ocean; iv) linkages with adjacent 'stocks', v) the effects of climate change on stock structure and proportional contributions of self-replenishing populations to fisheries; and vi) the implications of improved knowledge of tuna stock structure for stock assessment and climate change model assumptions and fisheries management. We also briefly propose some approaches that future studies could use to address these uncertainties.</t>
  </si>
  <si>
    <t>[Moore, Bradley R.] Natl Inst Water &amp; Atmospher Res, Nelson 7010, New Zealand; [Moore, Bradley R.] Univ Tasmania, Inst Marine &amp; Antarctic Studies, Hobart, Tas 7001, Australia; [Bell, Johann D.] Ctr Oceans, Conservat Int, 2011 Crystal Dr,Suite 500, Arlington, VA 22202 USA; [Bell, Johann D.] Univ Wollongong, Australian Natl Ctr Ocean Resources &amp; Secur, Wollongong, NSW 2522, Australia; [Evans, Karen; Farley, Jessica; Grewe, Peter M.] CSIRO Oceans &amp; Atmosphere, GPO Box 1538, Hobart, Tas 7001, Australia; [Hampton, John; Nicol, Simon; Pilling, Graham M.; Phillips, Joe Scutt; Smith, Neville] Pacific Community SPC, Ocean Fisheries Programme, BP D5 98848, Noumea, New Caledonia; [Marie, Amandine D.] INRAE, Agrocampus Ouest, Ecol &amp; Ecosyst Hlth, ESE, F-35042 Rennes, France; [Minte-Vera, Carolina] Interamer Trop Tuna Commiss, La Jolla, CA 92037 USA; [Nicol, Simon] Univ Canberra, Inst Appl Ecol, Bruce, ACT 2617, Australia; [Tremblay-Boyer, Laura] Dragonfly Data Sci, Wellington 6011, New Zealand; [Williams, Ashley J.] Australian Bur Agr &amp; Resource Econ &amp; Sci, Dept Agr, Canberra, ACT 2601, Australia; [Williams, Ashley J.] James Cook Univ, Coll Sci &amp; Engn, Ctr Sustainable Trop Fisheries &amp; Aquaculture, Townsville, Qld 4811, Australia</t>
  </si>
  <si>
    <t>National Institute of Water &amp; Atmospheric Research (NIWA) - New Zealand; University of Tasmania; Conservation International; University of Wollongong; Commonwealth Scientific &amp; Industrial Research Organisation (CSIRO); INRAE; Institut Agro; Agrocampus Ouest; University of Canberra; James Cook University</t>
  </si>
  <si>
    <t>Williams, Ashley/ABA-5921-2020; Grewe, Peter/AAJ-5227-2021; Williams, Ashley/G-2017-2014; Williams, Ashley/JAX-9689-2023; Farley, Jessica/E-4957-2014</t>
  </si>
  <si>
    <t>Williams, Ashley/0000-0002-5530-0073; Grewe, Peter/0000-0001-7111-4150; Williams, Ashley/0000-0002-5530-0073; Farley, Jessica/0000-0002-5047-746X; Nicol, Simon/0000-0001-8193-8719; Moore, Bradley/0000-0001-8645-6778; Bell, Johann/0000-0003-2152-536X</t>
  </si>
  <si>
    <t>We thank participants at the 'Identifying the spatial structure of Pacific tuna stocks' workshop held in Noumea, 8-12 October 2018, in particular Tim Adams, Valerie Allain, Mark Bigler, Don Bromhead, Sangaa Clark, Campbell Davies, Ueta Faasili Jr., Mark Fitchett, John Hyde, Bruno Leroy, Antony Lewis, Anne Lorrain, Janice Natasha, Pablo Obregon, Thomas Peatman, Carlo Pecoraro, Naiten Bradley Phillip Jr., Ciro Rico, Caroline Sanchez, Brian Stockwell and Thomas Usu, for constructive discussions that greatly sharpened this paper. Sylvain Caillot, Bruno Leroy and Thomas Peatman provided the tagging data. Peter Horn, two anonymous reviewers and the Guest Editor provided useful comments on an earlier draft of the manuscript. Development of this review was supported by Conservation International as part of the GEF-funded, World Bank-implemented Ocean Partnerships for sustainable fisheries and biodiversity conservation (OPP), a sub-project of the Common Oceans ABNJ Program led by UN-FAO, as well as the respective research agencies of the authors.</t>
  </si>
  <si>
    <t>10.1016/j.fishres.2020.105525</t>
  </si>
  <si>
    <t>hybrid, Green Accepted, Green Published</t>
  </si>
  <si>
    <t>WOS:000553385900002</t>
  </si>
  <si>
    <t>Garmestani, A; Twidwell, D; Angeler, DG; Sundstrom, S; Barichievy, C; Chaffin, BC; Eason, T; Graham, N; Granholm, D; Gunderson, L; Knutson, M; Nash, KL; Nelson, RJ; Nystrom, M; Spanbauer, TL; Stow, CA; Allen, CR</t>
  </si>
  <si>
    <t>Garmestani, Ahjond; Twidwell, Dirac; Angeler, David G.; Sundstrom, Shana; Barichievy, Chris; Chaffin, Brian C.; Eason, Tarsha; Graham, Nick; Granholm, Dean; Gunderson, Lance; Knutson, Melinda; Nash, Kirsty L.; Nelson, R. John; Nystrom, Magnus; Spanbauer, Trisha L.; Stow, Craig A.; Allen, Craig R.</t>
  </si>
  <si>
    <t>Panarchy: opportunities and challenges for ecosystem management</t>
  </si>
  <si>
    <t>FRONTIERS IN ECOLOGY AND THE ENVIRONMENT</t>
  </si>
  <si>
    <t>RESILIENCE; CONSEQUENCES; GOVERNANCE; CONVERSION; GRASSLAND</t>
  </si>
  <si>
    <t>Addressing unexpected events and uncertainty represents one of the grand challenges of the Anthropocene, yet ecosystem management is constrained by existing policy and laws that were not formulated to deal with today's accelerating rates of environmental change. In many cases, managing for simple regulatory standards has resulted in adverse outcomes, necessitating innovative approaches for dealing with complex social-ecological problems. We highlight a project in theUSGreat Plains where panarchy - a conceptual framework that emerged from resilience - was implemented at project onset to address the continued inability to halt large-scale transition from grass-to-tree dominance in central North America. We review how panarchy was applied, the initial outcomes and evidence for policy reform, and the opportunities and challenges for which it could serve as a useful model to contrast with traditional ecosystem management approaches.</t>
  </si>
  <si>
    <t>[Garmestani, Ahjond; Eason, Tarsha] US EPA, Off Res &amp; Dev, Gulf Breeze, FL 32561 USA; [Garmestani, Ahjond] Univ Utrecht, Utrecht Ctr Water Oceans &amp; Sustainabil Law, Sch Law, Utrecht, Netherlands; [Twidwell, Dirac] Univ Nebraska, Dept Agron &amp; Hort, Lincoln, NE USA; [Twidwell, Dirac; Allen, Craig R.] Univ Nebraska, Ctr Resilience Agr Working Lands, Lincoln, NE USA; [Angeler, David G.] Swedish Univ Agr Sci, Dept Aquat Sci &amp; Assessment, Uppsala, Sweden; [Sundstrom, Shana; Allen, Craig R.] Univ Nebraska, Sch Nat Resources, Lincoln, NE USA; [Barichievy, Chris] Univ Cape Town, Inst Commun &amp; Wildlife Africa, Cape Town, South Africa; [Chaffin, Brian C.] Univ Montana, Coll Forestry &amp; Conservat, Dept Soc &amp; Conservat, Missoula, MT 59812 USA; [Graham, Nick] Univ Lancaster, Lancaster Environm Ctr, Lancaster, England; [Granholm, Dean] US Fish &amp; Wildlife Serv USFWS, Bloomington, MN USA; [Gunderson, Lance] Emory Univ, Dept Environm Sci, Atlanta, GA 30322 USA; [Knutson, Melinda] USFWS, RegRefuges 3, La Crosse, WI USA; [Nash, Kirsty L.] Univ Tasmania, Ctr Marine Socioecol, Hobart, Tas, Australia; [Nash, Kirsty L.] Univ Tasmania, Inst Marine &amp; Antarctic Studies, Hobart, Tas, Australia; [Nelson, R. John] Univ Victoria, Ctr Biomed Res, Dept Biol, Victoria, BC, Canada; [Nystrom, Magnus] Stockholm Univ, Stockholm Resilience Ctr, Stockholm, Sweden; [Spanbauer, Trisha L.] Univ Toledo, Dept Environm Sci, 2801 W Bancroft St, Toledo, OH 43606 USA; [Stow, Craig A.] NOAA, Great Lakes Environm Res Lab, 2205 Commonwealth Blvd, Ann Arbor, MI 48105 USA</t>
  </si>
  <si>
    <t>United States Environmental Protection Agency; Utrecht University; University of Nebraska System; University of Nebraska Lincoln; University of Nebraska System; University of Nebraska Lincoln; Swedish University of Agricultural Sciences; University of Nebraska System; University of Nebraska Lincoln; University of Cape Town; University of Montana System; University of Montana; Lancaster University; Emory University; United States Department of the Interior; US Fish &amp; Wildlife Service; University of Tasmania; University of Tasmania; University of Victoria; Stockholm University; University System of Ohio; University of Toledo; National Oceanic Atmospheric Admin (NOAA) - USA</t>
  </si>
  <si>
    <t>Garmestani, A (corresponding author), US EPA, Off Res &amp; Dev, Gulf Breeze, FL 32561 USA.;Garmestani, A (corresponding author), Univ Utrecht, Utrecht Ctr Water Oceans &amp; Sustainabil Law, Sch Law, Utrecht, Netherlands.</t>
  </si>
  <si>
    <t>garmestani.ahjond@epa.gov</t>
  </si>
  <si>
    <t>Spanbauer, Trisha/P-6916-2019; Allen, Craig R/J-4464-2012; Nash, Kirsty L/B-5456-2015; Twidwell, Dirac/D-3334-2012</t>
  </si>
  <si>
    <t>Nash, Kirsty L/0000-0003-0976-3197; Stow, Craig/0000-0001-6171-7855; Garmestani, Ahjond/0000-0001-5678-7293; Nystrom, Magnus/0000-0003-3608-2426; Sundstrom, Shana/0000-0003-0823-8008; Spanbauer, Trisha/0000-0002-4014-4995</t>
  </si>
  <si>
    <t>US Geological Survey Powell Center for Analysis and Synthesis; Nebraska Game &amp; Parks Commission [W-125-R-1]; US Strategic Environmental Research and Development Program (SERDP) [W912HQ-15-C-0018]; US National Science Foundation [OIA-1920938]; Swedish Research Council Formas [2014-1193]; VR [2014-5828]; August T Larsson Foundation of the Swedish University of Agricultural Sciences</t>
  </si>
  <si>
    <t>US Geological Survey Powell Center for Analysis and Synthesis; Nebraska Game &amp; Parks Commission; US Strategic Environmental Research and Development Program (SERDP); US National Science Foundation(National Science Foundation (NSF)); Swedish Research Council Formas(Swedish Research Council Formas); VR(Swedish Research Council); August T Larsson Foundation of the Swedish University of Agricultural Sciences</t>
  </si>
  <si>
    <t>The findings and conclusions in this manuscript have not been formally disseminated by the US Environmental Protection Agency and should not be construed to represent any agency determination or policy. Any use of trade names is for descriptive purposes only and does not imply endorsement by the US Government. Funding was provided by the US Geological Survey Powell Center for Analysis and Synthesis; Nebraska Game &amp; Parks Commission (W-125-R-1); US Strategic Environmental Research and Development Program (SERDP; W912HQ-15-C-0018); the US National Science Foundation (OIA-1920938); the August T Larsson Foundation of the Swedish University of Agricultural Sciences; and the Swedish Research Council Formas (2014-1193) and VR (2014-5828). This is Great Lakes Environmental Research Laboratory (GLERL) contribution number 1942.</t>
  </si>
  <si>
    <t>1540-9295</t>
  </si>
  <si>
    <t>1540-9309</t>
  </si>
  <si>
    <t>FRONT ECOL ENVIRON</t>
  </si>
  <si>
    <t>Front. Ecol. Environ.</t>
  </si>
  <si>
    <t>10.1002/fee.2264</t>
  </si>
  <si>
    <t>OY8MM</t>
  </si>
  <si>
    <t>Green Accepted, Green Published</t>
  </si>
  <si>
    <t>WOS:000573958700001</t>
  </si>
  <si>
    <t>Bergstrom, E; Ordoñez, A; Ho, M; Hurd, C; Fry, B; Diaz-Pulido, G</t>
  </si>
  <si>
    <t>Bergstrom, Ellie; Ordonez, Alexandra; Ho, Maureen; Hurd, Catriona; Fry, Brian; Diaz-Pulido, Guillermo</t>
  </si>
  <si>
    <t>Inorganic carbon uptake strategies in coralline algae: Plasticity across evolutionary lineages under ocean acidification and warming</t>
  </si>
  <si>
    <t>Algae; Crustose coralline algae; Dissolved inorganic carbon; Fractionation; Inorganic carbon uptake; Isotopes; Ocean acidification; Ocean warming; C-13/C-12</t>
  </si>
  <si>
    <t>GREAT-BARRIER-REEF; CONCENTRATING MECHANISMS; ISOTOPIC COMPOSITION; CLIMATE-CHANGE; ELEVATED CO2; MACROALGAE; RESPONSES; PATTERNS; GROWTH; PHOTOSYNTHESIS</t>
  </si>
  <si>
    <t>Dissolved inorganic carbon (DIC) assimilation is essential to the reef-building capacity of crustose coralline algae (CCA). Little is known, however, about the DIC uptake strategies and their potential plasticity under ongoing ocean acidification (OA) and warming. The persistence of CCA lineages throughout historical oscillations of pCO(2) and temperature suggests that evolutionary history may play a role in selecting for adaptive traits. We evaluated the effects of pCO(2) and temperature on the plasticity of DIC uptake strategies and associated energetic consequences in reef-building CCA from different evolutionary lineages. We simulated past, present, moderate (IPCC RCP 6.0) and high pCO(2) (RCP 8.5) and present and high (RCP 8.5) temperature conditions and quantified stable carbon isotope fractionation ((13)epsilon), organic carbon content, growth and photochemical efficiency. All investigated CCA species possess CO2-concentrating mechanisms (CCMs) and assimilate CO2 via diffusion to varying degrees. Under OA and warming, CCA either increased or maintained CCM capacity, which was associated with overall neutral effects on metabolic performance. More basal taxa, Sporolithales and Hapalidiales, had greater capacity for diffusive CO2 use than Corallinales. We suggest that CCMs are an adaptation that supports a robust carbon physiology and are likely responsible for the endurance of CCA in historically changing oceans.</t>
  </si>
  <si>
    <t>[Bergstrom, Ellie; Ordonez, Alexandra; Ho, Maureen; Fry, Brian; Diaz-Pulido, Guillermo] Griffith Univ, Sch Environm &amp; Sci, Nathan Campus,170 Kessels Rd, Nathan, Qld 4111, Australia; [Bergstrom, Ellie; Ordonez, Alexandra; Ho, Maureen; Fry, Brian; Diaz-Pulido, Guillermo] Griffith Univ, Australian Rivers Inst, Nathan Campus,170 Kessels Rd, Nathan, Qld 4111, Australia; [Hurd, Catriona] Univ Tasmania, Inst Marine &amp; Antarctic Studies IMAS, 28 Morrison St, Hobart, Tas 7000, Australia</t>
  </si>
  <si>
    <t>Griffith University; Griffith University; University of Tasmania</t>
  </si>
  <si>
    <t>Bergstrom, E; Diaz-Pulido, G (corresponding author), Griffith Univ, Sch Environm &amp; Sci, Nathan Campus,170 Kessels Rd, Nathan, Qld 4111, Australia.;Bergstrom, E; Diaz-Pulido, G (corresponding author), Griffith Univ, Australian Rivers Inst, Nathan Campus,170 Kessels Rd, Nathan, Qld 4111, Australia.</t>
  </si>
  <si>
    <t>ellie.bergstrom@griffithuni.edu.au; g.diaz-pulido@griffith.edu.au</t>
  </si>
  <si>
    <t>Diaz-Pulido, Guillermo/B-3648-2013; Hurd, Catriona/J-2411-2013</t>
  </si>
  <si>
    <t>Hurd, Catriona/0000-0001-9965-4917; Diaz-Pulido, Guillermo/0000-0002-0901-3727</t>
  </si>
  <si>
    <t>Australian Research Council [DP160103071]; Griffith University School of Environment and Science; Australian Rivers Institute</t>
  </si>
  <si>
    <t>Australian Research Council(Australian Research Council); Griffith University School of Environment and Science; Australian Rivers Institute</t>
  </si>
  <si>
    <t>This study was supported by the Australian Research Council (Discovery grant DP160103071); Griffith University School of Environment and Science (postgraduate funding); and the Australian Rivers Institute. This research was conducted under permit G14/36625.1 from the Great Barrier Reef Marine Park Authority. Thanks to LIRS staff, Anne Hoggett and Lyle Vail, for greatly facilitating fieldwork and to Vanessa Fry and Rad Bak for their assistance with isotope analyses. Additional thanks to Juan C. Braga for discussions on CCA origins.</t>
  </si>
  <si>
    <t>10.1016/j.marenvres.2020.105107</t>
  </si>
  <si>
    <t>WOS:000579495700038</t>
  </si>
  <si>
    <t>Daane, JM; Auvinet, J; Stoebenau, A; Yergeau, D; Harris, MP; Detrich, HW</t>
  </si>
  <si>
    <t>Daane, Jacob M.; Auvinet, Juliette; Stoebenau, Alicia; Yergeau, Donald; Harris, Matthew P.; Detrich, H. William, III</t>
  </si>
  <si>
    <t>Developmental constraint shaped genome evolution and erythrocyte loss in Antarctic fishes following paleoclimate change</t>
  </si>
  <si>
    <t>PLOS GENETICS</t>
  </si>
  <si>
    <t>CHAENOCEPHALUS-ACERATUS LONNBERG; BLOOD-CELLS; HEMOGLOBIN; MYOGLOBIN; EXPRESSION; GENE; OLIGOCENE; ULTRASTRUCTURE; ADAPTATIONS; METABOLISM</t>
  </si>
  <si>
    <t>Author summary Our climate is rapidly changing. To better understand how species can adapt to major climate disturbance, we looked back into the past at a group of fishes that have encountered dramatic climate upheavals and thrived: Antarctic notothenioid fishes. In particular, we focus on the icefishes, which lost the ability to produce red blood cells in the frigid environment of the Southern Ocean. By integrating past climate records with a large genetic dataset of Antarctic fishes, we show that the loss of red blood cells occurred only after sustained cooling of the Southern Ocean. As cooling continued into the modern era, we discover that even some of the red-blooded relatives of the icefishes show early genetic and morphological signs of erythrocyte loss. This cooling event left a non-random imprint on the genome of icefishes. With few exceptions, the genetic toolkit underlying red cell development has remained intact in icefishes because many erythroid genes perform important functions in other tissues. Rather, mutations have accumulated in gene regulatory regions near genes that control terminal erythroid maturation, such that icefishes continue to produce red cell progenitors but not mature erythrocytes. These results show that the genetic constraints regulating embryonic development shaped the evolutionary response of this fish group to climate change. In the frigid, oxygen-rich Southern Ocean (SO), Antarctic icefishes (Channichthyidae; Notothenioidei) evolved the ability to survive without producing erythrocytes and hemoglobin, the oxygen-transport system of virtually all vertebrates. Here, we integrate paleoclimate records with an extensive phylogenomic dataset of notothenioid fishes to understand the evolution of trait loss associated with climate change. In contrast to buoyancy adaptations in this clade, we find relaxed selection on the genetic regions controlling erythropoiesis evolved only after sustained cooling in the SO. This pattern is seen not only within icefishes but also occurred independently in other high-latitude notothenioids. We show that one species of the red-blooded dragonfish clade evolved a spherocytic anemia that phenocopies human patients with this disease via orthologous mutations. The genomic imprint of SO climate change is biased toward erythrocyte-associated conserved noncoding elements (CNEs) rather than to coding regions, which are largely preserved through pleiotropy. The drift in CNEs is specifically enriched near genes that are preferentially expressed late in erythropoiesis. Furthermore, we find that the hematopoietic marrow of icefish species retained proerythroblasts, which indicates that early erythroid development remains intact. Our results provide a framework for understanding the interactions between development and the genome in shaping the response of species to climate change.</t>
  </si>
  <si>
    <t>[Daane, Jacob M.; Auvinet, Juliette; Stoebenau, Alicia; Detrich, H. William, III] Northeastern Univ, Ctr Marine Sci, Dept Marine &amp; Environm Sci, Nahant, MA 01908 USA; [Daane, Jacob M.; Harris, Matthew P.] Boston Childrens Hosp, Dept Orthopaed Surg, Orthopaed Res Labs, Boston, MA 02115 USA; [Daane, Jacob M.; Harris, Matthew P.] Harvard Med Sch, Dept Genet, Boston, MA 02115 USA; [Yergeau, Donald; Detrich, H. William, III] Northeastern Univ, Dept Biol, Boston, MA 02115 USA; [Yergeau, Donald] Univ Buffalo, Genom &amp; Bioinformat Core, New York State Ctr Excellence Bioinformat &amp; Life, Buffalo, NY USA</t>
  </si>
  <si>
    <t>Northeastern University; Harvard University; Boston Children's Hospital; Harvard University; Harvard Medical School; Northeastern University; State University of New York (SUNY) System; State University of New York (SUNY) Buffalo</t>
  </si>
  <si>
    <t>Daane, JM; Detrich, HW (corresponding author), Northeastern Univ, Ctr Marine Sci, Dept Marine &amp; Environm Sci, Nahant, MA 01908 USA.;Daane, JM (corresponding author), Boston Childrens Hosp, Dept Orthopaed Surg, Orthopaed Res Labs, Boston, MA 02115 USA.;Daane, JM (corresponding author), Harvard Med Sch, Dept Genet, Boston, MA 02115 USA.;Detrich, HW (corresponding author), Northeastern Univ, Dept Biol, Boston, MA 02115 USA.</t>
  </si>
  <si>
    <t>j.daane@northeastern.edu; w.detrich@northeastern.edu</t>
  </si>
  <si>
    <t>Stoebenau, Alicia/0000-0002-6472-9533; Harris, Matthew/0000-0002-7201-4693; Daane, Jacob/0000-0003-3631-4514; Yergeau, Donald/0000-0002-5713-5243</t>
  </si>
  <si>
    <t>American Heart Association Postdoctoral Fellowship [17POST33660801]; Harvard Medical School Fund for Genetics of Climate Change; John Simon Guggenheim Fellowship; US National Science Foundation [OPP-2001584, PLR-1444167, OPP-1955368]; Milton Foundation funds</t>
  </si>
  <si>
    <t>American Heart Association Postdoctoral Fellowship(American Heart Association); Harvard Medical School Fund for Genetics of Climate Change; John Simon Guggenheim Fellowship; US National Science Foundation(National Science Foundation (NSF)); Milton Foundation funds</t>
  </si>
  <si>
    <t>This work was supported by American Heart Association Postdoctoral Fellowship (No. 17POST33660801; www.heart.org) and by the Harvard Medical School Fund for Genetics of Climate Change (no URL) to J.M.D., by a John Simon Guggenheim Fellowship (www.gf.org), the US National Science Foundation (OPP-2001584; www.nsf.gov) and by Milton Foundation funds (www.miltonfoundationforeducation.org) to M.P. H., and by US National Science Foundation grants (PLR-1444167 and OPP-1955368; www.nsf.gov) to H.W.D. The funders had no role in study design, data collection and analysis, decision to publish, or preparation of the manuscript.</t>
  </si>
  <si>
    <t>1553-7404</t>
  </si>
  <si>
    <t>PLOS GENET</t>
  </si>
  <si>
    <t>PLoS Genet.</t>
  </si>
  <si>
    <t>e1009173</t>
  </si>
  <si>
    <t>10.1371/journal.pgen.1009173</t>
  </si>
  <si>
    <t>OP8ST</t>
  </si>
  <si>
    <t>WOS:000588361700001</t>
  </si>
  <si>
    <t>Guillaumot, C; Moreau, C; Danis, B; Saucède, T</t>
  </si>
  <si>
    <t>Guillaumot, Charlene; Moreau, Camille; Danis, Bruno; Saucede, Thomas</t>
  </si>
  <si>
    <t>Extrapolation in species distribution modelling. Application to Southern Ocean marine species</t>
  </si>
  <si>
    <t>Multivariate Environmental Similarity Surface (MESS); Marine species; Antarctic; Modelling relevance; Conservation issues</t>
  </si>
  <si>
    <t>DISTRIBUTION MODELS IMPLICATIONS; GEOGRAPHICAL-DISTRIBUTION; POTENTIAL DISTRIBUTION; ECOLOGICAL THEORY; CLIMATE-CHANGE; NICHE MODELS; SAMPLE-SIZE; UNCERTAINTY; HABITAT; SCALE</t>
  </si>
  <si>
    <t>Species distribution modelling (SDM) has been increasingly applied to Southern Ocean case studies over the past decades, to map the distribution of species and highlight environmental settings driving species distribution. Predictive models have been commonly used for conservation purposes and supporting the delineation of marine protected areas, but model predictions are rarely associated with extrapolation uncertainty maps. In this study, we used the Multivariate Environmental Similarity Surface (MESS) index to quantify model uncertainty associated to extrapolation. Considering the reference dataset of environmental conditions for which species presence-only records are modelled, extrapolation corresponds to the part of the projection area for which one environmental value at least falls outside of the reference dataset. Six abundant and common sea star species of marine benthic communities of the Southern Ocean were used as case studies. Results show that up to 78% of the projection area is extrapolation, i.e. beyond conditions used for model calibration. Restricting the projection space by the known species ecological requirements (e.g. maximal depth, upper temperature tolerance) and increasing the size of presence datasets were proved efficient to reduce the proportion of extrapolation areas. We estimate that multiplying sampling effort by 2 or 3-fold should help reduce the proportion of extrapolation areas down to 10% in the six studied species. Considering the unexpectedly high levels of extrapolation uncertainty measured in SDM predictions, we strongly recommend that studies report information related to the level of extrapolation. Waiting for improved datasets, adapting modelling methods and providing such uncertainy information in distribution modelling studies are a necessity to accurately interpret model outputs and their reliability.</t>
  </si>
  <si>
    <t>[Guillaumot, Charlene; Moreau, Camille; Danis, Bruno] Univ Libre Bruxelles, Lab Biol Marine, Ave FD Roosevelt 50,CP 160-15, B-1050 Brussels, Belgium; [Guillaumot, Charlene; Moreau, Camille; Saucede, Thomas] Univ Bourgogne Franche Comte, UMR Biogeosci 6282, CNRS, EPHE, 6 Bd Gabriel, F-21000 Dijon, France</t>
  </si>
  <si>
    <t>Universite Libre de Bruxelles; Centre National de la Recherche Scientifique (CNRS); Universite de Bourgogne; Universite PSL; Ecole Pratique des Hautes Etudes (EPHE)</t>
  </si>
  <si>
    <t>Guillaumot, C (corresponding author), Univ Libre Bruxelles, Lab Biol Marine, Ave FD Roosevelt 50,CP 160-15, B-1050 Brussels, Belgium.;Guillaumot, C (corresponding author), Univ Bourgogne Franche Comte, UMR Biogeosci 6282, CNRS, EPHE, 6 Bd Gabriel, F-21000 Dijon, France.</t>
  </si>
  <si>
    <t>charleneguillaumot21@gmail.com</t>
  </si>
  <si>
    <t>Danis, Bruno/AAS-8444-2021</t>
  </si>
  <si>
    <t>Danis, Bruno/0000-0002-9037-7623; Moreau, Camille/0000-0002-0981-7442</t>
  </si>
  <si>
    <t>Fonds pour la formation `a la Recherche dans l'Industrie et l'Agriculture (FRIA); Bourse fondation de la mer grants; Belgian Science Policy Office (BELSPO) [BR/132/A1/vERSO]; Refugia and Ecosystem Tolerance in the Southern Ocean project (RECTO) - Belgian Science Policy Office (BELSPO) [BR/154/A1/RECTO]</t>
  </si>
  <si>
    <t>Fonds pour la formation `a la Recherche dans l'Industrie et l'Agriculture (FRIA)(Fonds de la Recherche Scientifique - FNRS); Bourse fondation de la mer grants; Belgian Science Policy Office (BELSPO)(Belgian Federal Science Policy Office); Refugia and Ecosystem Tolerance in the Southern Ocean project (RECTO) - Belgian Science Policy Office (BELSPO)</t>
  </si>
  <si>
    <t>This work was supported by a Fonds pour la formation `a la Recherche dans l'Industrie et l'Agriculture (FRIA) and Bourse fondation de la mer grants to C. Guillaumot.; This is contribution no. 46 to the vERSO project (www.versoproject.be), funded by the Belgian Science Policy Office (BELSPO, contract n.BR/132/A1/vERSO). Research was also financed by the Refugia and Ecosystem Tolerance in the Southern Ocean project (RECTO; BR/154/A1/RECTO) funded by the Belgian Science Policy Office (BELSPO), this study being contribution number 23.</t>
  </si>
  <si>
    <t>1873-4472</t>
  </si>
  <si>
    <t>10.1016/j.pocean.2020.102438</t>
  </si>
  <si>
    <t>WOS:000582696800017</t>
  </si>
  <si>
    <t>Akçar, N; Yesilyurt, S; Hippe, K; Christl, M; Vockenhuber, C; Yavuz, V; Özsoy, B</t>
  </si>
  <si>
    <t>Akcar, Naki; Yesilyurt, Serdar; Hippe, Kristina; Christl, Marcus; Vockenhuber, Christof; Yavuz, Vural; Ozsoy, Burcu</t>
  </si>
  <si>
    <t>Build-up and chronology of blue ice moraines in Queen Maud Land, Antarctica</t>
  </si>
  <si>
    <t>QUATERNARY SCIENCE ADVANCES</t>
  </si>
  <si>
    <t>Blue ice moraine; Surface exposure dating; Cosmogenic nuclide; Inheritance; Sor rondane</t>
  </si>
  <si>
    <t>Blue ice moraines are common supraglacial landforms in Antarctica and they are considered to record the ice volume fluctuations. In this study, we use photogrammetry and the analysis of multiple cosmogenic nuclides (Be-10, Al-26, and in-situ C-14) in boulders on three blue ice moraines to explore the timing of ice volume fluctuations in the Sor Rondane Mountains, Queen Maud Land, and provide insights into the role of sediment sources in the reconstruction of their chronology. In the field, we observe that the blue ice moraines are composed of subglacially and supraglacially transported sediments. Cosmogenic Be-10 and Al-26 exposure ages of 14 surface samples, collected from boulders on three blue ice moraines, range from 15.4 +/- 1.1 to 659.5 +/- 33.9 ka. Al-26/Be-10 ratios vary between 3.53 +/- 0.20 and 7.01 +/- 0.32, and many of these ratios indicate complex exposure histories. In contrast, among nine in-situ C-14 exposure ages, five vary between 4.2 +/- 0.1 and 22.0 +/- 1.3 ka, and four are saturated. We conclude that the accumulation of these blue ice moraines commenced before or during the global Last Glacial Maximum. Our results indicate that surficial sediment sources can yield exposure ages that are older than real exposure age, and exhibit a wider scatter. This can alter the reconstructed chronology of these landforms. The analysis of in-situ C-14 has a high potential in tracking the pace of their evolution, especially since the Last Glacial Maximum.</t>
  </si>
  <si>
    <t>[Akcar, Naki; Yesilyurt, Serdar] Univ Bern, Inst Geol Sci, Baltzerstr 1-3, CH-3012 Bern, Switzerland; [Akcar, Naki; Ozsoy, Burcu] TUBITAK Marmara Res Ctr, Polar Res Inst, Istanbul, Turkey; [Yesilyurt, Serdar] Ankara Univ, Dept Geog, TR-06100 Ankara, Turkey; [Hippe, Kristina; Christl, Marcus; Vockenhuber, Christof] Swiss Fed Inst Technol, Lab Ion Beam Phys LIP, Otto Stern Weg 5, CH-8093 Zurich, Switzerland; [Yavuz, Vural] Turkish German Univ, Fac Engn, TR-34820 Istanbul, Turkey; [Ozsoy, Burcu] Istanbul Tech Univ, Maritime Fac, Tuzla Campus, Istanbul, Turkey</t>
  </si>
  <si>
    <t>University of Bern; Turkiye Bilimsel ve Teknolojik Arastirma Kurumu (TUBITAK); Ankara University; Swiss Federal Institutes of Technology Domain; ETH Zurich; Turkish German University; Istanbul Technical University</t>
  </si>
  <si>
    <t>Akçar, N (corresponding author), Univ Bern, Inst Geol Sci, Baltzerstr 1-3, CH-3012 Bern, Switzerland.</t>
  </si>
  <si>
    <t>akcar@geo.unibe.ch</t>
  </si>
  <si>
    <t>Christl, Marcus/J-4769-2016; Yeşilyurt, Serdar/AAS-2723-2020; Ozsoy, Burcu/AAH-5348-2020</t>
  </si>
  <si>
    <t>Christl, Marcus/0000-0002-3131-6652; Yeşilyurt, Serdar/0000-0002-2896-9644; Ozsoy, Burcu/0000-0003-4320-1796; Hippe, Kristina/0000-0003-0946-9772; Vockenhuber, Christof/0000-0002-2141-0733</t>
  </si>
  <si>
    <t>Turkish Republic Presidency - Ministry of Science, Industry and Technology; ITU PolRec; Swiss National Science Foundation [200021-172475]; Swiss Polar Institute; University of Bern; Swiss National Science Foundation (SNF) [200021_172475] Funding Source: Swiss National Science Foundation (SNF)</t>
  </si>
  <si>
    <t>Turkish Republic Presidency - Ministry of Science, Industry and Technology; ITU PolRec; Swiss National Science Foundation(Swiss National Science Foundation (SNSF)); Swiss Polar Institute; University of Bern; Swiss National Science Foundation (SNF)(Swiss National Science Foundation (SNSF))</t>
  </si>
  <si>
    <t>We would like to thank Polar Research Center team at the Istanbul Technical University for organizing our participation in the BELARE 2017-2018 Expedition within the bilateral scientific collaboration program of the second Turkish Antarctic Expedition, TAE-II 2017-2018. We are grateful to thank Alain Hubert, Nighat Amin, and Michel de Wouters at the International Polar Foundation for their support both in the logistics and field. We would also like to thank the Princess Elisabeth Antarctica Research Station Team for their support during our field campaign. We are also grateful to the Laboratory of Ion Beam Physics accelerator mass spectrometry facility operated by the Swiss Federal Institute of Technology, Zurich, Switzerland. This study was carried out under the auspices of the Turkish Republic Presidency, supported by the Ministry of Science, Industry and Technology, and coordinated by Istanbul Technical University Polar Research Center (ITU PolRec). It was financed by the ITU PolRec, Swiss National Science Foundation [grant number 200021-172475], Swiss Polar Institute, and University of Bern.</t>
  </si>
  <si>
    <t>2666-0334</t>
  </si>
  <si>
    <t>QUAT SCI ADV</t>
  </si>
  <si>
    <t>Quat. Sci. Adv.</t>
  </si>
  <si>
    <t>10.1016/j.qsa.2020.100012</t>
  </si>
  <si>
    <t>VL6NZ</t>
  </si>
  <si>
    <t>WOS:000903528000006</t>
  </si>
  <si>
    <t>Zhu, YG; Zheng, SY; Reygondeau, G; Zhang, ZX; Chu, JS; Hong, XG; Wang, YF; Cheung, WWL</t>
  </si>
  <si>
    <t>Zhu, Yugui; Zheng, Shiyao; Reygondeau, Gabriel; Zhang, Zhixin; Chu, Jiansong; Hong, Xuguang; Wang, Yunfeng; Cheung, William W. L.</t>
  </si>
  <si>
    <t>Modelling spatiotemporal trends in range shifts of marine commercial fish species driven by climate change surrounding the Antarctic Peninsula</t>
  </si>
  <si>
    <t>Climate change; Species richness; Abundance and redistribution; Range shift; Extinction and invasion; DBEM</t>
  </si>
  <si>
    <t>MACKEREL ICEFISH; OXYGEN LIMITATION; GLOBAL OCEAN; IMPACTS; FISHERIES; SCALE; TEMPERATURE; KRILL; SIZE; UNCERTAINTIES</t>
  </si>
  <si>
    <t>In recent decades, the relationships between species distributional shifts and climate change have been investigated at various geographic scales, yet there is still a gap in understanding the impacts of climate change on marine commercial fish species surrounding the Antarctic Peninsula. The dynamic bioclimate envelope model (DBEM) is a mechanistic model that encompass species distribution model and population dynamic model approaches to project the spatiotemporal change of marine commercial fish species driven by various climate change scenarios in the Southern Ocean. This paper focuses on the spatiotemporal changes of marine commercial fish species surrounding the Antarctic Peninsula under a high emissions scenario (RCP8.5) and a low emissions scenario (REP2.6) from 1970 W 2060 following three different Earth System Models (ESMs), namely, the GFDL-ESM 2G, IPSL-CM5A-MR and MPI-ESM-MR. Results reveal that: i) The general latitudinal gradient patterns in species richness shifts poleward associated with a global abundance decrease ii) The Spp. richness in Eastern Antarctic Peninsula (EAP) is higher than in the Western Antarctic Peninsula (WAP) at the same latitude (&gt;6.5 degrees S latitude). iii) The reasons are that the krill-dependent predators in WAP could face a higher risk of depletion than that in EAP clue to ocean warming and anthropogenic activities. (C) 2020 Elsevier B.V. All rights reserved.</t>
  </si>
  <si>
    <t>[Zhu, Yugui; Zheng, Shiyao] Ocean Univ China, Coll Fisheries, Qingdao 266003, Peoples R China; [Reygondeau, Gabriel] Yale Univ, Yale Ctr Biodivers Movement &amp; Global Change, Dept Ecol &amp; Evolutionary Biol Max Planck, New Haven, CT USA; [Reygondeau, Gabriel; Cheung, William W. L.] Univ British Columbia, Inst Oceans &amp; Fisheries, Changing Ocean Res Unit, Vancouver, BC, Canada; [Zhang, Zhixin] Tokyo Univ Marine Sci &amp; Technol, Grad Sch Marine Sci &amp; Technol, Minato Ku, Tokyo 1088477, Japan; [Chu, Jiansong] Ocean Univ China, Coll Marine Life Sci, Qingdao 266003, Shandong, Peoples R China; [Hong, Xuguang] Minist Nat Resources, Inst Oceanog 1, Qingdao 266061, Shandong, Peoples R China; [Wang, Yunfeng] Chinese Acad Sci, Inst Oceanol, Qingdao 266071, Shandong, Peoples R China; [Zhu, Yugui; Chu, Jiansong] Southern Marine Sci &amp; Engn Guangdong Lab, Guangzhou 511458, Guangdong, Peoples R China</t>
  </si>
  <si>
    <t>Ocean University of China; Yale University; University of British Columbia; Tokyo University of Marine Science &amp; Technology; Ocean University of China; Ministry of Natural Resources of the People's Republic of China; First Institute of Oceanography, Ministry of Natural Resources; Chinese Academy of Sciences; Institute of Oceanology, CAS; Southern Marine Science &amp; Engineering Guangdong Laboratory; Southern Marine Science &amp; Engineering Guangdong Laboratory (Guangzhou)</t>
  </si>
  <si>
    <t>Cheung, WWL (corresponding author), Univ British Columbia, Inst Oceans &amp; Fisheries, Changing Ocean Res Unit, Vancouver, BC, Canada.;Chu, JS (corresponding author), Ocean Univ China, Coll Marine Life Sci, Qingdao 266003, Shandong, Peoples R China.;Chu, JS (corresponding author), Southern Marine Sci &amp; Engn Guangdong Lab, Guangzhou 511458, Guangdong, Peoples R China.</t>
  </si>
  <si>
    <t>oucjs@ouc.edu.cn; w.cheung@oceans.ubc.ca</t>
  </si>
  <si>
    <t>Reygondeau, Gabriel/G-1903-2017; Cheung, William/F-5104-2013</t>
  </si>
  <si>
    <t>Zhu, Yugui/0000-0003-0682-7917; Hong, Xuguang/0000-0001-7975-1218</t>
  </si>
  <si>
    <t>Chinese Arctic and Antarctic Administration; Key Special Project for Introduced Talents Team of Southern Marine Science and Engineering Guangdong Laboratory Guangzhou [GML2019ZD0402]</t>
  </si>
  <si>
    <t>Chinese Arctic and Antarctic Administration; Key Special Project for Introduced Talents Team of Southern Marine Science and Engineering Guangdong Laboratory Guangzhou</t>
  </si>
  <si>
    <t>This study was supported by the Chinese Arctic and Antarctic Administration) and the Key Special Project for Introduced Talents Team of Southern Marine Science and Engineering Guangdong Laboratory Guangzhou) (GML2019ZD0402. There is no conflict of interest declared in this article.</t>
  </si>
  <si>
    <t>10.1016/j.scitotenv.2020.140258</t>
  </si>
  <si>
    <t>MR6QC</t>
  </si>
  <si>
    <t>WOS:000553716900007</t>
  </si>
  <si>
    <t>Hogg, J; Fonoberova, M; Mezic, I</t>
  </si>
  <si>
    <t>Hogg, James; Fonoberova, Maria; Mezic, Igor</t>
  </si>
  <si>
    <t>Exponentially decaying modes and long-term prediction of sea ice concentration using Koopman mode decomposition</t>
  </si>
  <si>
    <t>SPECTRAL PROPERTIES; SYSTEMS</t>
  </si>
  <si>
    <t>Sea ice cover in the Arctic and Antarctic is an important indicator of changes in the climate, with important environmental, economic and security consequences. The complexity of the spatio-temporal dynamics of sea ice makes it difficult to assess the temporal nature of the changes-e.g. linear or exponential-and their precise geographical loci. In this study, Koopman Mode Decomposition (KMD) is applied to satellite data of sea ice concentration for the Northern and Southern hemispheres to gain insight into the temporal and spatial dynamics of the sea ice behavior and to predict future sea ice behavior. We observe spatial modes corresponding to the mean and annual variation of Arctic and Antarctic sea ice concentration and observe decreases in the mean sea ice concentration from early to later periods, as well as corresponding shifts in the locations that undergo significant annual variation in sea ice concentration. We discover exponentially decaying spatial modes in both hemispheres and discuss their precise spatial extent, and also perform predictions of future sea ice concentration. The Koopman operator-based, data-driven decomposition technique gives insight into spatial and temporal dynamics of sea ice concentration not apparent in traditional approaches.</t>
  </si>
  <si>
    <t>[Hogg, James; Fonoberova, Maria; Mezic, Igor] Aimdyn Inc, Santa Barbara, CA 93101 USA; [Mezic, Igor] Univ Calif Santa Barbara, Santa Barbara, CA 93106 USA</t>
  </si>
  <si>
    <t>University of California System; University of California Santa Barbara</t>
  </si>
  <si>
    <t>Fonoberova, M (corresponding author), Aimdyn Inc, Santa Barbara, CA 93101 USA.</t>
  </si>
  <si>
    <t>mfonoberova@aimdyn.com</t>
  </si>
  <si>
    <t>ONR [N00014-18-P-2004, N00014-19-C-1053]</t>
  </si>
  <si>
    <t>ONR(Office of Naval Research)</t>
  </si>
  <si>
    <t>This work was supported by ONR contracts N00014-18-P-2004 and N00014-19-C-1053 (Program Managers: Dr. Reza Malek-Madani and Dr. Behzad Kamgar-Parsi).</t>
  </si>
  <si>
    <t>10.1038/s41598-020-73211-z</t>
  </si>
  <si>
    <t>NZ5LG</t>
  </si>
  <si>
    <t>WOS:000577143400076</t>
  </si>
  <si>
    <t>Lewis, PJ; McGrath, TJ; Chiaradia, A; McMahon, CR; Emmerson, L; Allinson, G; Shimeta, J</t>
  </si>
  <si>
    <t>Lewis, Phoebe J.; McGrath, Thomas J.; Chiaradia, Andre; McMahon, Clive R.; Emmerson, Louise; Allinson, Graeme; Shimeta, Jeff</t>
  </si>
  <si>
    <t>A baseline for POPs contamination in Australian seabirds: little penguins vs. short-tailed shearwaters</t>
  </si>
  <si>
    <t>POPs; PCBs; little penguins; short-tailed shearwaters; PBDEs; Seabirds</t>
  </si>
  <si>
    <t>PERSISTENT ORGANIC POLLUTANTS; POLYBROMINATED DIPHENYL ETHERS; BROMINATED FLAME RETARDANTS; BREEDING GLAUCOUS GULLS; POLYCHLORINATED-BIPHENYLS; EUDYPTULA-MINOR; ORGANOCHLORINE CONTAMINANTS; SPHENISCUS-MAGELLANICUS; SPATIAL-DISTRIBUTION; ANTARCTIC SEABIRDS</t>
  </si>
  <si>
    <t>While globally distributed throughout the world's ecosystems, there is little baseline information on persistent organic pollutants (POPs) in marine environments in Australia and, more broadly, the Southern Hemisphere. To fill this knowledge gap, we collected baseline information on POPs in migratory short-tailed shearwaters (Ardenna tenuirostris) from Fisher Island, Tasmania, and resident little penguins (Eudyptula minor) from Phillip Island, Victoria. Levels of polychlorinated biphenyls (PCBs), organochlorine pesticides (OCPs) and brominated flame retardants (BFRs) were determined from blood samples, with total contamination ranging 7.6-47.7 ng/g ww for short-tailed shearwaters and 0.12-46.9 ng/g ww for little penguins. In both species contamination followed the same pattern where PCBs &gt; OCPs &gt; BFRs. BFR levels included the presence of the novel flame retardant hexabromobenzene (HBB). These novel results of POPs in seabirds in southeast Australia provide important information on the local (penguins) and global (shearwaters) distribution of POPs in the marine environment.</t>
  </si>
  <si>
    <t>[Lewis, Phoebe J.; Allinson, Graeme; Shimeta, Jeff] RMIT Univ, Sch Sci, Ctr Environm Sustainabil &amp; Remediat EnSuRe, GPO Box 2476, Melbourne, Vic 3001, Australia; [McGrath, Thomas J.] Univ Antwerp, Toxicol Ctr, Univ Pl 1, B-2610 Antwerp, Belgium; [Chiaradia, Andre] Phillip Isl Nat Pk, Conservat Dept, Newhaven, Vic 3925, Australia; [McMahon, Clive R.] Sydney Inst Marine Sci, IMOS Anim Tagging, 19 Chowder Bay, Mosman, NSW 2088, Australia; [Lewis, Phoebe J.; Emmerson, Louise] Australian Antarctic Div, 203 Channel Highway, Kingston, Tas 7050, Australia</t>
  </si>
  <si>
    <t>Melbourne Genomics Health Alliance; Royal Melbourne Institute of Technology (RMIT); University of Antwerp; Sydney Institute of Marine Science; Australian Antarctic Division</t>
  </si>
  <si>
    <t>Lewis, PJ (corresponding author), RMIT Univ, Sch Sci, Ctr Environm Sustainabil &amp; Remediat EnSuRe, GPO Box 2476, Melbourne, Vic 3001, Australia.</t>
  </si>
  <si>
    <t>phoebe.lewis@rmit.edu.au</t>
  </si>
  <si>
    <t>Chiaradia, Andre/AFK-6634-2022; McMahon, Clive R/D-5713-2013; Chiaradia, Andre/AAG-4928-2022; Shimeta, Jeff/AAR-9642-2021</t>
  </si>
  <si>
    <t>Chiaradia, Andre/0000-0002-6178-4211; McMahon, Clive R/0000-0001-5241-8917; Chiaradia, Andre/0000-0002-6178-4211; Shimeta, Jeff/0000-0002-7003-7832; McGrath, Thomas/0000-0002-7358-9253; Lewis, Phoebe/0000-0002-6162-850X</t>
  </si>
  <si>
    <t>Australian Antarctic Science project [4087]; Australian Government Research Training Program Scholarship; Australian Antarctic Division (AAD)</t>
  </si>
  <si>
    <t>Australian Antarctic Science project; Australian Government Research Training Program Scholarship(Australian GovernmentDepartment of Industry, Innovation and Science); Australian Antarctic Division (AAD)</t>
  </si>
  <si>
    <t>This work was partially funded through, and in support of Australian Antarctic Science project number 4087, the Australian Antarctic Division (AAD), and supported by receipt of an Australian Government Research Training Program Scholarship. We are also very grateful for the essential sampling assistance from Paula Wasiak, Marjolein Van Polanen Petel, and Peter and Alona Charuvi from Phillip Island Nature Parks (under Phillip Island Nature Parks Animal Ethics Committee approval number 7.2017 and Victorian Department of Environment, Land, Water and Planning (DELWP) permit: 10008506) as well as Ricardo De Paoli and Fernando Arce from Institute for Marine and Antarctic Science (IMAS), and Andrea Polanowski from the AAD (under Tasmanian Department of Primary Industries, Parks, Water and Environment (DPIPWE) permit: FA17340 and University of Tasmania Animal Ethics Committee permits A0016107).</t>
  </si>
  <si>
    <t>10.1016/j.marpolbul.2020.111488</t>
  </si>
  <si>
    <t>NN3OK</t>
  </si>
  <si>
    <t>WOS:000568700500011</t>
  </si>
  <si>
    <t>Perold, V; Schoombie, S; Ryan, PG</t>
  </si>
  <si>
    <t>Perold, Vonica; Schoombie, Stefan; Ryan, Peter G.</t>
  </si>
  <si>
    <t>Decadal changes in plastic litter regurgitated by albatrosses and giant petrels at sub-Antarctic Marion Island</t>
  </si>
  <si>
    <t>Procellariiformes; Plastic ingestion; Fishery by-catch; Long-term monitoring; Nest pollutants; Prince Edward Islands</t>
  </si>
  <si>
    <t>SOUTHERN-OCEAN; INDIAN-OCEAN; DEBRIS; INGESTION; SEABIRDS; ATLANTIC; TRENDS; ENTANGLEMENT; ACCUMULATION; PARTICLES</t>
  </si>
  <si>
    <t>Plastic ingestion by seabirds is an efficient way to monitor marine plastics. We report temporal variation in the characteristics of marine litter regurgitated by albatrosses and giant petrels on sub-Antarctic Marion Island between 1996 and 2018. Both fishery and other litter peaked during the height of the Patagonian toothfish fishery around the island (1997-1999). Comparing the two subsequent decades of reduced fishing effort (1999-2008 and 2009-2018), fishing litter decreased while other litter increased across all species. Litter increased most in grey-headed albatrosses, followed by giant petrels and wandering albatrosses. Similar ranked responses were found in the same species at South Georgia, but non-fishery-related litter has increased faster in the Indian Ocean than the southwest Atlantic, indicating regional changes in litter growth rates. These seabirds' regurgitations provide an easy, non-invasive way to track changes in oceanic litter in a remote area that is otherwise difficult to monitor.</t>
  </si>
  <si>
    <t>[Perold, Vonica; Schoombie, Stefan; Ryan, Peter G.] Univ Cape Town, DST NRF Ctr Excellence, FitzPatrick Inst African Ornithol, ZA-7701 Rondebosch, South Africa</t>
  </si>
  <si>
    <t>National Research Foundation - South Africa; University of Cape Town</t>
  </si>
  <si>
    <t>Perold, V (corresponding author), Univ Cape Town, DST NRF Ctr Excellence, FitzPatrick Inst African Ornithol, ZA-7701 Rondebosch, South Africa.</t>
  </si>
  <si>
    <t>vperold@gmail.com</t>
  </si>
  <si>
    <t>South African National Antarctic Program (SANAP); National Research Foundation; University of Cape Town; Department of Environmental Affairs</t>
  </si>
  <si>
    <t>We thank all Marion Island field assistants between 1996 and 2019 for collecting the data used in this study, especially Deon and Jeanne Nel, and Janine Schoombie for sorting many of the samples. We thank Dr. Adil Bakir and Fiona Preston-Whyte from the UK's Centre for Environment Fisheries &amp; Aquaculture (CEFAS) for their generous support with FT-IR analyses. The Department of Environmental Affairs, the South African National Antarctic Program (SANAP), the National Research Foundation and the University of Cape Town provided funding and logistical support.</t>
  </si>
  <si>
    <t>10.1016/j.marpolbul.2020.111471</t>
  </si>
  <si>
    <t>WOS:000568700500009</t>
  </si>
  <si>
    <t>Poulsen, C; Egede, U; Robbins, D; Sandeford, B; Tazi, K; Zhu, T</t>
  </si>
  <si>
    <t>Poulsen, C.; Egede, U.; Robbins, D.; Sandeford, B.; Tazi, K.; Zhu, T.</t>
  </si>
  <si>
    <t>Evaluation and comparison of a machine learning cloud identification algorithm for the SLSTR in polar regions</t>
  </si>
  <si>
    <t>SLSTR; Sentinel-3; Cloud mask; Poles; Neural net</t>
  </si>
  <si>
    <t>IMAGERY; RETRIEVAL; AATSR</t>
  </si>
  <si>
    <t>A Feed Forward Neural Net (NN) approach to distinguish between clouds and the surface has been applied to the Sea and Land Surface Temperature Radiometer in polar regions. The masking algorithm covers the Arctic, Antarctic and regions typically classified as the cryosphere such as northern hemisphere permafrost. The mask has been trained using collocations with the CALIOP active lidar, which in narrow strips provide more accurate detection of cloud, and was subsequently evaluated as a function of cloud type and surface type. The mask was compared with the existing operational Bayesian and Empirical cloud masks by eye and also statistically using CALIOP data. It was found to perform exceptionally well in the polar regions. The Kuiper skill score improved from 0.28, for the operational Bayesian and 0.17 for the Empirical masks to 0.77 for the NN. The NN algorithm also has a much more homogeneous performance over all surface types. The key improvement came from better identification of clear scenes; for the NN mask, the same performance in terms of contamination of cloudy pixels in the sample of identified clear pixels can be achieved while retaining 40% of the clear pixels compared with 10% for the operational cloud identification. The algorithm performed with almost the same skill over sea and land. The best performance was achieved for opaque clouds while transparent and broken clouds showed slightly reduced accuracy.</t>
  </si>
  <si>
    <t>[Poulsen, C.; Egede, U.; Robbins, D.] Monash Univ, Melbourne, Vic, Australia; [Egede, U.; Sandeford, B.; Tazi, K.; Zhu, T.] Imperial Coll London, London, England; [Poulsen, C.] STFC, RAL Space, Swindon, Wilts, England</t>
  </si>
  <si>
    <t>Monash University; Imperial College London; UK Research &amp; Innovation (UKRI); Science &amp; Technology Facilities Council (STFC)</t>
  </si>
  <si>
    <t>Egede, U (corresponding author), Monash Univ, Melbourne, Vic, Australia.</t>
  </si>
  <si>
    <t>ulrik.egede@monash.edu</t>
  </si>
  <si>
    <t>Zhu, Tao/JEF-1129-2023; zhu, tao/KHY-3114-2024</t>
  </si>
  <si>
    <t>Zhu, Tao/0009-0001-1499-8700; Tazi, Kenza/0000-0002-8169-6673; Egede, Ulrik/0000-0001-5493-0762; Poulsen, Caroline/0000-0003-1846-7234; Robbins, Daniel/0000-0002-2452-8219</t>
  </si>
  <si>
    <t>European Space Agency (ESA) [4000109870/13/INB]; STFC [ST/N000242/1]</t>
  </si>
  <si>
    <t>European Space Agency (ESA)(European Space Agency); STFC(UK Research &amp; Innovation (UKRI)Science &amp; Technology Facilities Council (STFC))</t>
  </si>
  <si>
    <t>The authors would like to thank Ed Polehampton and Caroline Cox at STFC RALSpace for help understanding the SLSTR cloud mask and Helen Brindley for additional insights. For Caroline Poulsen, this work was partly undertaken in the Cloud_cci project (contract No.: 4000109870/13/INB) as part of the European Space Agency (ESA) CCI program. Ulrik Egede would like to acknowledge the support of STFC via grant number ST/N000242/1.</t>
  </si>
  <si>
    <t>10.1016/j.rse.2020.111999</t>
  </si>
  <si>
    <t>NN3UU</t>
  </si>
  <si>
    <t>WOS:000568717100001</t>
  </si>
  <si>
    <t>Fan, P; Pang, XP; Zhao, X; Shokr, M; Lei, RB; Qu, M; Ji, Q; Ding, MH</t>
  </si>
  <si>
    <t>Fan, Pei; Pang, Xiaoping; Zhao, Xi; Shokr, Mohammed; Lei, Ruibo; Qu, Meng; Ji, Qing; Ding, Minghu</t>
  </si>
  <si>
    <t>Sea ice surface temperature retrieval from Landsat 8/TIRS: Evaluation of five methods against in situ temperature records and MODIS IST in Arctic region</t>
  </si>
  <si>
    <t>Ice surface temperature; Landsat 8; Arctic sea ice; Buoy; MODIS IST</t>
  </si>
  <si>
    <t>SPLIT-WINDOW ALGORITHM; STRAY LIGHT CORRECTION; SENSITIVITY-ANALYSIS; SNOW; VALIDATION; DERIVATION; THICKNESS; IMAGERY; COVER; AVHRR</t>
  </si>
  <si>
    <t>Accurate and high-resolution sea ice surface temperature (IST) data is of great importance for Arctic climate studies. However, the validation of high-resolution IST data using in situ measurements in polar sea ice regions is lacking. This study assesses the accuracy of three split-window (SW) and two single-channel (SC) methods, based on Landsat 8 thermal infrared imagery at 100 m resolution over Arctic sea ice regions. The SW methods are proposed by Jin et al. (2015) (SW-Jin), Jimenez-Munoz et al. (2014) (SW-JM), and Du et al. (2015) (SW-Du). The SC methods are proposed by Jimenez-Munoz et al. (2014) (SC-JM) and Barsi et al. (2003, 2005) (SC-Barsi). IST data derived from 58 scenes of the Landsat 8 images were compared with coincident in situ ice skin temperatures and near-surface air temperatures, as measured by a combination of Ice Mass Balance (IMB) buoys, Snow and Ice Mass Balance Array (SIMBA) buoys, and automatic weather stations. SW-Du offers the best accuracy when compared with the skin temperature (bias: -1.06 K; root mean square error (RMSE): 2.08 K) and near-surface air temperature (bias:-0.98 K; RMSE: 2.17 K). SC-Barsi ranks second, with a bias of -1.55 K and RMSE of 2.40 K for the skin temperature. As for precision, IST from the Moderate Resolution Imaging Spectrometer (MODIS) has best performance (standard deviation (STD): 1.69 K), followed by SW-Du, SW-JM, and SC-Barsi (STD: 1.80 K, 1.82 K, and 1.85 K, respectively). The Landsat IST outperforms the MODIS IST in narrow lead areas, owing to its better spatial resolution, and SW-JM and SC-Barsi methods agree best with the MODIS IST in leads and marginal ice zone scenes, respectively. As all three SW methods are constrained by banding effects with different degrees in a lead scene, they are not recommended to be applied on an image scene with severe banding artifacts. The small bias (1.26 K) and high correlation (0.99) between skin temperature and near-surface air temperature prove the capability of using near-surface air temperature as a substitute for validating a satellite IST data if skin temperature data are not available.</t>
  </si>
  <si>
    <t>[Fan, Pei; Pang, Xiaoping; Zhao, Xi; Qu, Meng; Ji, Qing] Wuhan Univ, Chinese Antarctic Ctr Surveying &amp; Mapping, Wuhan 430079, Peoples R China; [Shokr, Mohammed] Environm &amp; Climate Change Canada, Meteorol Res Div, Toronto, ON M3H 5T4, Canada; [Lei, Ruibo] Polar Res Inst China, SOA Key Lab Polar Sci, Shanghai 200136, Peoples R China; [Ding, Minghu] Chinese Acad Meteorol Sci, State Key Lab Severe Weather, Beijing 100081, Peoples R China</t>
  </si>
  <si>
    <t>Wuhan University; Environment &amp; Climate Change Canada; Polar Research Institute of China; China Meteorological Administration; Chinese Academy of Meteorological Sciences (CAMS)</t>
  </si>
  <si>
    <t>Zhao, X (corresponding author), Wuhan Univ, Chinese Antarctic Ctr Surveying &amp; Mapping, Wuhan 430079, Peoples R China.</t>
  </si>
  <si>
    <t>xi.zhao@whu.edu.cn</t>
  </si>
  <si>
    <t>Ding, Minghu/AFU-3600-2022; zhao, xi/HJY-6017-2023</t>
  </si>
  <si>
    <t>Ding, Minghu/0000-0002-1142-6598; Fan, Pei/0000-0002-9539-705X; Zhao, Xi/0000-0003-2274-891X; Qu, Meng/0000-0002-0036-917X</t>
  </si>
  <si>
    <t>National Key Research and Development Program of China [2018YFC1407100, 2018YFA0605903]; National Natural Science Foundation of China [41876223]</t>
  </si>
  <si>
    <t>National Key Research and Development Program of China; National Natural Science Foundation of China(National Natural Science Foundation of China (NSFC))</t>
  </si>
  <si>
    <t>This research has been supported by the National Key Research and Development Program of China (grant nos. 2018YFC1407100, 2018YFA0605903) and the National Natural Science Foundation of China (grant nos. 41876223). We would like to acknowledge the U.S. Geological Survey (USGS), NASA National Snow and Ice Data Center and Goddard Space Flight Center for providing Landsat images and MODIS products used in this study, and Cold Regions Research and Engineering Laboratory, Norwegian Polar Institute for providing buoy datasets. Last but not least we would like to thank the two anonymous reviewers for the detailed and valuable comments that helped to improve the manuscript.</t>
  </si>
  <si>
    <t>10.1016/j.rse.2020.111975</t>
  </si>
  <si>
    <t>NN3UL</t>
  </si>
  <si>
    <t>WOS:000568716200001</t>
  </si>
  <si>
    <t>Straume, EO; Gaina, C; Medvedev, S; Nisancioglu, KH</t>
  </si>
  <si>
    <t>Straume, E. O.; Gaina, C.; Medvedev, S.; Nisancioglu, K. H.</t>
  </si>
  <si>
    <t>Global Cenozoic Paleobathymetry with a focus on the Northern Hemisphere Oceanic Gateways</t>
  </si>
  <si>
    <t>GONDWANA RESEARCH</t>
  </si>
  <si>
    <t>Oceanic Gateways; Paleobathymetry; Paleotopography; Marine geophysics; Plate tectonics; Ocean circulation</t>
  </si>
  <si>
    <t>DEEP-WATER CIRCULATION; CENTRAL-AMERICAN SEAWAY; SEDIMENT THICKNESS; ICELAND PLUME; BARENTS SEA; PRODUCTION COINCIDENT; BOUNDARY-CONDITIONS; MANTLE CONVECTION; CLIMATE-CHANGE; TETHYS SEAWAY</t>
  </si>
  <si>
    <t>The evolution of the Northern Hemisphere oceanic gateways has facilitated ocean circulation changes and may have influenced climatic variations in the Cenozoic time (66 Ma-0 Ma). However, the timing of these oceanic gateway events is poorly constrained and is often neglected in global paleobathymetric reconstructions. We have therefore re-evaluated the evolution of the Northern hemisphere oceanic gateways (i.e. the Fram Strait, Greenland-Scotland Ridge, the Central American Seaway, and the Tethys Seaway) and embedded their tectonic histories in a new global paleobathymetry and topography model for the Cenozoic time. Our new paleobathymetry model incorporates Northeast Atlantic paleobathymetric variations due to Iceland mantle plume activity, updated regional plate kinematics, and models for the oceanic lithospheric age, sediment thickness, and reconstructed oceanic plateaus and microcontinents. We also provide a global paleotopography model based on new and previously published regional models. In particular, the new model documents important bathymetric changes in the Northeast Atlantic and in the Tethys Seaway near the Eocene-Oligocene transition (similar to 34 Ma), the time of the first glaciations of Antarctica, believed to be triggered by the opening of the Southern Ocean gateways (i.e. the Drake Passage and the Tasman Gateway) and subsequent Antarctic Circumpolar Current initiation. Our new model can be used to test whether the Northern Hemisphere gateways could have also played an important role modulating ocean circulation and climate at that time. In addition, we provide a set of realistic global bathymetric and topographic reconstructions for the Cenozoic time at one million-year interval for further use in paleo-ocean circulation and climate models. (c) 2020 The Authors. Published by Elsevier B.V. on behalf of International Association for Gondwana Research. This is an open access article under the CC BY license (http://creativecommons.org/licenses/by/4.0/).</t>
  </si>
  <si>
    <t>[Straume, E. O.; Gaina, C.; Medvedev, S.; Nisancioglu, K. H.] Univ Oslo, Dept Geosci, Ctr Earth Evolut &amp; Dynam, Oslo, Norway; [Nisancioglu, K. H.] Univ Bergen, Dept Earth Sci, Bergen, Norway; [Nisancioglu, K. H.] Univ Bergen, Bjerknes Ctr Climate Res, Bergen, Norway</t>
  </si>
  <si>
    <t>University of Oslo; University of Bergen; University of Bergen; Bjerknes Centre for Climate Research</t>
  </si>
  <si>
    <t>Straume, EO (corresponding author), Univ Oslo, Dept Geosci, Ctr Earth Evolut &amp; Dynam, Oslo, Norway.</t>
  </si>
  <si>
    <t>e.o.straume@geo.uio.no</t>
  </si>
  <si>
    <t>Nisancioglu, Kerim/AAW-9315-2021</t>
  </si>
  <si>
    <t>Nisancioglu, Kerim/0000-0002-5737-5765; Straume, Eivind/0000-0003-2787-0906</t>
  </si>
  <si>
    <t>Research Council of Norway through its Centers of Excellence funding scheme [223272, 246929]; MatNat Faculty at the University of Oslo</t>
  </si>
  <si>
    <t>Research Council of Norway through its Centers of Excellence funding scheme(Research Council of Norway); MatNat Faculty at the University of Oslo</t>
  </si>
  <si>
    <t>E. S., C. G., S. M., and K.H.N. acknowledge support from the Research Council of Norway through its Centers of Excellence funding scheme, project 223272, and project 246929 (ClimVoTe). E. S. acknowledges support from the MatNat Faculty at the University of Oslo. We thank two anonymous reviewers for their constructive comments. The maps were generated using Generic Mapping Tools (GMT; Wessel et al., 2013), and perceptually uniform color maps were used in this study to prevent visual distortion of the data (Crameri, 2018a; Crameri, 2018b). For visualizing tectonic reconstructions, we have used the freely available software GPlates (gplates.org). The Cenozoic reconstructions are available here: https://doi.org/10.5281/zenodo.3820664.</t>
  </si>
  <si>
    <t>1342-937X</t>
  </si>
  <si>
    <t>1878-0571</t>
  </si>
  <si>
    <t>GONDWANA RES</t>
  </si>
  <si>
    <t>Gondwana Res.</t>
  </si>
  <si>
    <t>10.1016/j.gr.2020.05.011</t>
  </si>
  <si>
    <t>NK9GT</t>
  </si>
  <si>
    <t>WOS:000567037800007</t>
  </si>
  <si>
    <t>Haas, B; Phillipov, M; Gale, F</t>
  </si>
  <si>
    <t>Haas, Bianca; Phillipov, Michelle; Gale, Fred</t>
  </si>
  <si>
    <t>Media representations of seafood certification in Australia: Mobilising sustainability standards to attack or defend the value of an industry</t>
  </si>
  <si>
    <t>Media; Certification; Sustainability; Standards; Fisheries; Aquaculture</t>
  </si>
  <si>
    <t>SOCIAL LICENSE; AQUACULTURE; GOVERNANCE; FISHERIES; FUTURE</t>
  </si>
  <si>
    <t>Certification schemes respond to increasing environmental and social concerns about sustainability by encouraging consumer demand for 'sustainable' products. Such schemes have been a focus of much media coverage and the seafood sector is no exception with many seafood sustainability issues, including those related to both fisheries and aquaculture management, being widely reported on. This paper analyses how the certification schemes of the two best-known seafood sustainability standards organizations, the Marine Stewardship Council (MSC) and the Aquaculture Stewardship Council (ASC) certification, were presented in news media coverage during a period of conflict surrounding the sustainable production and management of seafood in Australia. Employing a content analysis of Australian online and print news media published between 2015 and 2018, we find that the MSC label was used to highlight the sustainability of fisheries all around Australia, while the ASC label was mainly used in the context of the Tasmanian salmon aquaculture industry, with both labels presented as 'gold standards' . While we also find that ASC certification was used by ENGOs to attack the Tasmanian salmon industry and to question the validity of the ASC label, our data highlight that ASC and MSC certification was primarily used by industry as a tool to demonstrate its sustainability credentials, with the specifics of the certification schemes themselves receiving very little media attention.</t>
  </si>
  <si>
    <t>[Haas, Bianca] Inst Marine &amp; Antarctic Studies, Private Bag 129, Hobart, Tas 7001, Australia; [Haas, Bianca] Univ Tasmania, Ctr Marine Socioecol, Private Bag 129, Hobart, Tas 7001, Australia; [Phillipov, Michelle] Univ Adelaide, Dept Media, Adelaide, SA 5000, Australia; [Gale, Fred] Univ Tasmania, Sch Social Sci, Locked Bag 1450, Launceston, Tas 7250, Australia</t>
  </si>
  <si>
    <t>University of Tasmania; University of Tasmania; University of Adelaide; University of Tasmania</t>
  </si>
  <si>
    <t>Haas, B (corresponding author), Inst Marine &amp; Antarctic Studies, Private Bag 129, Hobart, Tas 7001, Australia.</t>
  </si>
  <si>
    <t>Bianca.Haas@utas.edu.au</t>
  </si>
  <si>
    <t>Gale, Fred Peter/A-2591-2010</t>
  </si>
  <si>
    <t>Gale, Fred Peter/0000-0001-6759-6759; Haas, Bianca/0000-0002-7322-2929</t>
  </si>
  <si>
    <t>Fisheries Research and Development Corporation on behalf of the Australian Government</t>
  </si>
  <si>
    <t>Fisheries Research and Development Corporation on behalf of the Australian Government(Fisheries R&amp;D Corp)</t>
  </si>
  <si>
    <t>2017-131 'Media Messages About Sustainable Seafood: How Do Media Influencers Affect Consumer Attitudes?' was supported by funding from the Fisheries Research and Development Corporation on behalf of the Australian Government.</t>
  </si>
  <si>
    <t>10.1016/j.marpol.2020.104126</t>
  </si>
  <si>
    <t>NL5GS</t>
  </si>
  <si>
    <t>WOS:000567444700013</t>
  </si>
  <si>
    <t>Scherelis, C; Penesis, I; Hemer, MA; Cossu, R; Wright, JT; Guihen, D</t>
  </si>
  <si>
    <t>Scherelis, Constantin; Penesis, Irene; Hemer, Mark A.; Cossu, Remo; Wright, Jeffrey T.; Guihen, Damien</t>
  </si>
  <si>
    <t>Investigating biophysical linkages at tidal energy candidate sites: a case study for combining environmental assessment and resource characterisation</t>
  </si>
  <si>
    <t>RENEWABLE ENERGY</t>
  </si>
  <si>
    <t>Environmental monitoring; Fish aggregations; Current speed; Hydroacoustics; Resource assessment; Australian tidal energy</t>
  </si>
  <si>
    <t>SPECIES IDENTIFICATION; STREAM TRANSPORT; FISH; BEHAVIOR; TURBINE; VARIABILITY; STRENGTH; FLOW</t>
  </si>
  <si>
    <t>As the tidal energy industry looks to expand into commercial-scale array installations, uncertainty in methodology and outcome for environmental impact assessments can encumber tidal energy developments. Incorporating environmental monitoring measures into site characterisation campaigns can provide baseline information about biophysical relationships and help recognise potential impacts to the marine environment early in the development process. Concurrent measurements of fish and tidal currents were taken at a tidal energy candidate site in Australia over-2.5 months during its tidal resource assessment. Fish aggregation metrics (density, abundance, centre-of-mass (CM), dispersion, %-water column occupied, evenness, and relative aggregation) were investigated for their relation to environmental conditions (current speed, shear, temperature, diel stage, and tidal stage). Diel stage was the most significant indicator for fish density, abundance, and %-water column occupied. Fish density and abundance were elevated during strong currents, with vertical fish distribution (CM and dispersion) also influenced by current speed. Environmental conditions were able to explain up to 25% of variation in fish aggregation metrics using linear models. This study shows that early-stage environmental monitoring can successfully provide baseline information about fish aggregation responses to prevailing environmental conditions, thus reducing uncertainty risks for stakeholders of tidal energy developments. (C) 2020 Elsevier Ltd. All rights reserved.</t>
  </si>
  <si>
    <t>[Scherelis, Constantin; Penesis, Irene; Guihen, Damien] Univ Tasmania, Australian Maritime Coll, Newnham, Tas 7248, Australia; [Hemer, Mark A.] CSIRO Oceans &amp; Atmosphere, Hobart, Tas 7001, Australia; [Cossu, Remo] Univ Queensland, Sch Civil Engn, St Lucia, Qld 4072, Australia; [Wright, Jeffrey T.] Univ Tasmania, Inst Marine &amp; Antarctic Studies, Hobart, Tas 7001, Australia</t>
  </si>
  <si>
    <t>University of Tasmania; Australian Maritime College; Commonwealth Scientific &amp; Industrial Research Organisation (CSIRO); University of Queensland; University of Tasmania</t>
  </si>
  <si>
    <t>Scherelis, C (corresponding author), Univ Tasmania, Australian Maritime Coll, Natl Ctr Maritime Engn &amp; Hydrodynam, Newnham, Tas, Australia.</t>
  </si>
  <si>
    <t>constantin.scherelis@utas.edu.au; i.penesis@utas.edu.au; Mark.Hemer@csiro.au; r.cossu@uq.edu.au; jeffrey.wright@utas.edu.au; damien.guihen@utas.edu.au</t>
  </si>
  <si>
    <t>Cossu, Remo/C-6085-2016; Wright, Jeffrey/J-7536-2014; Hemer, Mark/M-1905-2013</t>
  </si>
  <si>
    <t>Cossu, Remo/0000-0002-1712-6692; Wright, Jeffrey/0000-0002-1085-4582; Hemer, Mark/0000-0002-7725-3474</t>
  </si>
  <si>
    <t>Australian Renewable Energy Agency (ARENA) through the Advancing Renewables Programme [G00902]; Australian Maritime College (University of Tasmania); University of Queensland; CSIRO; MAKO Tidal Turbines; Sabella; SIMEC Atlantis Energy; Australian Research Council's Special Research Initiative for Antarctic Gateway Partnership [SR140300001]</t>
  </si>
  <si>
    <t>Australian Renewable Energy Agency (ARENA) through the Advancing Renewables Programme(Australian Renewable Energy Agency (ARENA)); Australian Maritime College (University of Tasmania); University of Queensland(University of Queensland); CSIRO(Commonwealth Scientific &amp; Industrial Research Organisation (CSIRO)); MAKO Tidal Turbines; Sabella; SIMEC Atlantis Energy; Australian Research Council's Special Research Initiative for Antarctic Gateway Partnership(Australian Research Council)</t>
  </si>
  <si>
    <t>We acknowledge the support of Camille Couzi, Dr Jean-Roch Nadar, Dr Haley A Viehman, Dr Simon Wotherspoon, Echoview (R) support and the Dell Richey II crew. This project is co-funded by the Australian Renewable Energy Agency (ARENA) through the Advancing Renewables Programme (grant G00902), the Australian Maritime College (University of Tasmania), the University of Queensland, CSIRO, our industry partners MAKO Tidal Turbines, Sabella, and SIMEC Atlantis Energy, and our international collaborators Prof. Richard Karstens from Acadia University, Canada, and Dr Matt Lewis from Bangor University, UK. Author Guihen's time was supported under the Australian Research Council's Special Research Initiative for Antarctic Gateway Partnership (Project ID SR140300001).</t>
  </si>
  <si>
    <t>0960-1481</t>
  </si>
  <si>
    <t>1879-0682</t>
  </si>
  <si>
    <t>RENEW ENERG</t>
  </si>
  <si>
    <t>Renew. Energy</t>
  </si>
  <si>
    <t>10.1016/j.renene.2020.05.109</t>
  </si>
  <si>
    <t>Green &amp; Sustainable Science &amp; Technology; Energy &amp; Fuels</t>
  </si>
  <si>
    <t>Science &amp; Technology - Other Topics; Energy &amp; Fuels</t>
  </si>
  <si>
    <t>NI8AY</t>
  </si>
  <si>
    <t>WOS:000565571000002</t>
  </si>
  <si>
    <t>Ye, RW; Liang, HY; Chen, T; Zhang, J; Yang, FL; Chen, XT; Li, XY; Gao, SY; Yang, Y; Wang, YQ; Tao, F; Zhang, J; Xiao, L</t>
  </si>
  <si>
    <t>Ye, Ruiwei; Liang, Hongyu; Chen, Ting; Zhang, Jie; Yang, Fengling; Chen, Xintong; Li, Xiaoya; Gao, Songyu; Yang, Ying; Wang, Yongqiang; Tao, Feng; Zhang, Jing; Xiao, Liang</t>
  </si>
  <si>
    <t>A combined analysis of transcriptomics and proteomics of a novel Antarctic Salpa sp. and its potential toxin screenings</t>
  </si>
  <si>
    <t>INTERNATIONAL JOURNAL OF BIOLOGICAL MACROMOLECULES</t>
  </si>
  <si>
    <t>Antarctic; Salpa; Transcriptome; Proteome; Toxin</t>
  </si>
  <si>
    <t>IDENTIFICATION; TUNICATE; GENE</t>
  </si>
  <si>
    <t>Background: We successfully captured a kind of gelatinous organism DA-6 from Antarctic water, extracted its total RNAs and proteins, and performed species identification through a combination of transcriptomics and proteomics in this study. Methods: The gelatinous organism DA-6 was captured 200 m underwater in Antarctica. Total RNA was extracted to construct the transcriptome and the proteins were identified by LC-MS/MS. Results: DA-6 was identified as an Antarctic Salpa sp. through morphological examination and MT-CO1 phylogenetic analysis. A total of 47,183 unigenes were harvested through transcriptome. We also successfully annotated 11,954 (25.34%),10,006 (22.21%), 4469 (9.47%) and 4901 (9.71%) unigenes with NR, SwissProt, GO and KEGG databases, respectively. In the proteomic analysis, a total of 4680 peptides and 1280 proteins were harvested using the transcriptome as the reference database. A number of both 549 (31.98%) proteins reannotated against the GO and KEGG databases. Moreover, a number of 5 toxic proteins matched from the 89 toxin-related unigenes were successfully screened, including 2 metalloproteinases, 1 serine protease, 1 serine protease inhibitor and 1 aflatoxin. Conclusion: Our study is the first to identify an Antarctic Salpa sp. according to the combination of de novo transcriptomics and proteomics, which can further be served as a public database for the identification of potential polar Salpa-derived lead compounds. In addition to morphology and CO1, the combined analysis of transcriptome and proteome can also be used as a value method for new species identify e.g. Salpa sp. (C) 2020 Elsevier B.V. All rights reserved.</t>
  </si>
  <si>
    <t>[Ye, Ruiwei; Liang, Hongyu; Yang, Fengling; Zhang, Jing] Jilin Agr Univ, Coll Tradit Chinese Med, Changchun 130118, Peoples R China; [Ye, Ruiwei; Liang, Hongyu; Yang, Fengling; Chen, Xintong; Li, Xiaoya; Gao, Songyu; Yang, Ying; Tao, Feng; Xiao, Liang] Second Mil Med Univ, Naval Med Univ, Fac Naval Med, Shanghai 200433, Peoples R China; [Chen, Ting] Second Mil Med, Dept Cardiol, Changzheng Hosp, Affiliated Hosp 2,Naval Med Univ, Shanghai 200003, Peoples R China; [Zhang, Jie] Res Inst China, Polar Res Inst ChinaPolar, Shanghai 200433, Peoples R China; [Yang, Ying] Shanxi Agr Univ, Coll Anim Sci &amp; Vet Med, Taigu 030801, Shanxi, Peoples R China; [Wang, Yongqiang] Chinese Acad Sci, Inst Oceanol, Qingdao 266071, Peoples R China</t>
  </si>
  <si>
    <t>Jilin Agricultural University; Naval Medical University; Naval Medical University; Shanxi Agricultural University; Chinese Academy of Sciences; Institute of Oceanology, CAS</t>
  </si>
  <si>
    <t>Zhang, J (corresponding author), Jilin Agr Univ, Coll Tradit Chinese Med, Changchun 130118, Peoples R China.;Tao, F; Xiao, L (corresponding author), Second Mil Med Univ, Naval Med Univ, Fac Naval Med, Shanghai 200433, Peoples R China.</t>
  </si>
  <si>
    <t>zhangjie@pric.org.cn; tf850706@163.com; zhjing0701@163.com; hormat830713@hotmail.com</t>
  </si>
  <si>
    <t>Zhang, Tingting/JHT-3402-2023; Zhang, Jing/GXN-4147-2022; LIANG, Hongyu/AAC-6069-2020; Gao, Songyu/HLH-2185-2023</t>
  </si>
  <si>
    <t>Zhang, Tingting/0000-0003-2675-2836; Zhang, Jing/0000-0002-8449-6554; LIANG, Hongyu/0000-0002-6410-1631; Gao, Songyu/0000-0002-3514-3381</t>
  </si>
  <si>
    <t>Excellent Youth Talent Program from Shanghai Municipal Commission of Health and Family Planning [2017YQ007]; Military Youth Training Program Talent Project [18QNP016]; National Natural Science Foundation of China [81770329]</t>
  </si>
  <si>
    <t>Excellent Youth Talent Program from Shanghai Municipal Commission of Health and Family Planning; Military Youth Training Program Talent Project; National Natural Science Foundation of China(National Natural Science Foundation of China (NSFC))</t>
  </si>
  <si>
    <t>This work was supported by the Excellent Youth Talent Program from Shanghai Municipal Commission of Health and Family Planning (Grant numbers: 2017YQ007, L.X,), Military Youth Training Program Talent Project (Grant numbers: 18QNP016, L.X.), and the General Project fromtheNational Natural Science Foundation of China (Grant numbers: 81770329, L.X.).</t>
  </si>
  <si>
    <t>0141-8130</t>
  </si>
  <si>
    <t>1879-0003</t>
  </si>
  <si>
    <t>INT J BIOL MACROMOL</t>
  </si>
  <si>
    <t>Int. J. Biol. Macromol.</t>
  </si>
  <si>
    <t>10.1016/j.ijbiomac.2020.05.144</t>
  </si>
  <si>
    <t>Biochemistry &amp; Molecular Biology; Chemistry, Applied; Polymer Science</t>
  </si>
  <si>
    <t>Biochemistry &amp; Molecular Biology; Chemistry; Polymer Science</t>
  </si>
  <si>
    <t>NH6AU</t>
  </si>
  <si>
    <t>WOS:000564751600007</t>
  </si>
  <si>
    <t>Burgay, F; Abollino, O; Buoso, S; Costa, E; Giacomino, A; La Gioia, C; Garofalo, SF; Pecoraro, G; Malandrino, M</t>
  </si>
  <si>
    <t>Burgay, F.; Abollino, O.; Buoso, S.; Costa, E.; Giacomino, A.; La Gioia, C.; Garofalo, S. Fraterrigo; Pecoraro, G.; Malandrino, M.</t>
  </si>
  <si>
    <t>Geochemical characterization of a marine sediment core from the Joides Basin, Ross Sea, Antarctica</t>
  </si>
  <si>
    <t>Antarctica; Ross sea; Marine sediment; Sequential extraction procedure; Sediment diagenesis</t>
  </si>
  <si>
    <t>EXTRACTION PROCEDURES; BIOGENIC SILICA; TRACE-ELEMENTS; METAL CONTENTS; HUMIC ACIDS; IRON; MANGANESE; CADMIUM; SPECIATION; CARBONATE</t>
  </si>
  <si>
    <t>The chemical fractionation of ten metals (Al, Ti, Cr, Fe, Cd, Cu, Mn, Pb, Zn and Ni) is reported for a marine sediment collected in the Joides Basin, Ross Sea, Antarctica. To evaluate their mobility and availability, the BCR sequential extraction procedure was applied on 11 sections of the sediment. The analyses, performed both by ICP-OES and GF-AAS, highlighted that most of the elements were in the residual phase, showing a strong binding with the matrix and a low availability. The BCR sequential procedure allowed us to have an insight into the chemical properties of the sediment and provided useful information about the redox state of the sediment itself and important indication on the availability and partitioning of different metals. A chemometric treatment was applied on the dataset and it showed a separation between the superficial and the deep sections of the core, the first being more influenced by the presence of Mn and the second by an increase in Al, Ti, Fe, Cr and Pb concentrations.</t>
  </si>
  <si>
    <t>[Burgay, F.] CNR, Inst Polar Sci, Via Torino 155, Venice, Italy; [Burgay, F.] Ca Foscari Univ Venice, Dept Environm Sci Informat &amp; Stat, Via Torino 155, Venice, Italy; [Abollino, O.; Giacomino, A.] Univ Torino, Dept Drug Sci &amp; Technol, Via Giuria 9, Turin, Italy; [Buoso, S.; La Gioia, C.; Malandrino, M.] Univ Torino, Dept Chem, Via Giuria 9, Turin, Italy; [Costa, E.] Univ Torino, Dept Earth Sci, Via Valperga Caluso 35, Turin, Italy; [Garofalo, S. Fraterrigo] Polytech Univ Turin, Dept Appl Sci &amp; Technol, Corso Duca Abruzzi 24, Turin, Italy; [Pecoraro, G.] Sea Marconi Technol, Via Ungheria 20, Turin, Italy</t>
  </si>
  <si>
    <t>Consiglio Nazionale delle Ricerche (CNR); Istituto di Scienze Polari (ISP-CNR); Universita Ca Foscari Venezia; University of Turin; University of Turin; University of Turin; Polytechnic University of Turin</t>
  </si>
  <si>
    <t>Burgay, F (corresponding author), CNR, Inst Polar Sci, Via Torino 155, Venice, Italy.</t>
  </si>
  <si>
    <t>francois.burgay@unive.it</t>
  </si>
  <si>
    <t>Burgay, Francois/0000-0002-2657-6900; GIACOMINO, AGNESE/0000-0001-6089-7751</t>
  </si>
  <si>
    <t>Italian National Antarctic Research Program (PNRA)</t>
  </si>
  <si>
    <t>This work was financially supported by the Italian National Antarctic Research Program (PNRA). We are grateful to Dr. Leonardo Langone for the precious support in providing us data from the oceanographic campaigns performed in the Ross Sea. We are also thankful to the two anonymous reviewers that contributed to the improvement of the overall manuscript.</t>
  </si>
  <si>
    <t>10.1016/j.margeo.2020.106286</t>
  </si>
  <si>
    <t>NC4XB</t>
  </si>
  <si>
    <t>WOS:000561216500017</t>
  </si>
  <si>
    <t>Jiang, S; Cole-Dai, J; An, CL; Shi, GT; Yu, JH; Sun, B</t>
  </si>
  <si>
    <t>Jiang, Su; Cole-Dai, Jihong; An, Chunlei; Shi, Guitao; Yu, Jinhai; Sun, Bo</t>
  </si>
  <si>
    <t>Spatial variability of perchlorate in East Antarctic surface snow: Implications for atmospheric production</t>
  </si>
  <si>
    <t>ATMOSPHERIC ENVIRONMENT</t>
  </si>
  <si>
    <t>Perchlorate; Atmospheric production; Stratosphere; Troposphere; Spatial variability; Antarctic snow</t>
  </si>
  <si>
    <t>DRONNING-MAUD-LAND; ISOTOPIC COMPOSITION; NATURAL PERCHLORATE; TRAVERSE ROUTE; ICE CORE; ZHONGSHAN STATION; OZONE OXIDATION; MASS-BALANCE; DOME C; NITRATE</t>
  </si>
  <si>
    <t>Surface snow along a 1250-km transect from the coast to the East Antarctic ice sheet summit Dome Argus are used to investigate factors influencing spatial variability of perchlorate (ClO4-) production and deposition, and to explore contributions from tropospheric and stratospheric sources to ClO4- in Antarctic snow. The average ClO4- concentration of 104.3 +/- 33.3 ng kg(-1) is in the range of previously reported ClO4- concentrations in Antarctic snow, and one to two orders of magnitude higher than those in Arctic snow. The transect profile of ClO4- concentration shows relatively small spatial variability and no single consistent trend, with apparently high concentrations at locations with low accumulation rate. In the coastal region, strong correlation between ClO4- and troposphere-produced nitrate (NO3-) is observed. This may indicate that ClO4- in the coastal region is formed predominantly in the troposphere during summer, and the contribution from the stratosphere may be negligibly small. The lack of apparent correlation between ClO4- and NO3- in snow in interior East Antarctica suggests that a significant amount of ClO4- may be of stratospheric origin, with some tropospheric production. No significant correlation is found between sea-salt chloride (Cl-) and ClO4- in the coastal region, suggesting that tropospheric sea-salt Cl- is probably not an important precursor of ClO4- in snow in this region. In the inland Dome A region, part of Cl- might be converted into ClO4-.</t>
  </si>
  <si>
    <t>[Jiang, Su; An, Chunlei; Shi, Guitao; Yu, Jinhai; Sun, Bo] Polar Res Inst China, MNR Key Lab Polar Sci, Shanghai 200136, Peoples R China; [Cole-Dai, Jihong] South Dakota State Univ, Avera Hlth &amp; Sci Ctr, Dept Chem &amp; Biochem, Box 2202, Brookings, SD 57007 USA; [Shi, Guitao] East China Normal Univ, Sch Geog Sci, Key Lab Geog Informat Sci, Shanghai 200241, Peoples R China; [Shi, Guitao] East China Normal Univ, State Key Lab Estuarine &amp; Coastal Res, Shanghai 200241, Peoples R China; [Yu, Jinhai] Nanjing Univ, Sch Geog &amp; Ocean Sci, Nanjing 210023, Peoples R China</t>
  </si>
  <si>
    <t>Polar Research Institute of China; South Dakota State University; East China Normal University; East China Normal University; Nanjing University</t>
  </si>
  <si>
    <t>Jiang, S (corresponding author), Polar Res Inst China, MNR Key Lab Polar Sci, Shanghai 200136, Peoples R China.</t>
  </si>
  <si>
    <t>jiangsu@pric.org.cn</t>
  </si>
  <si>
    <t>Cole-Dai, Jihong/B-2510-2009; sun, bo/JFA-9978-2023</t>
  </si>
  <si>
    <t>Cole-Dai, Jihong/0000-0003-0921-5916; Jiang, Su/0000-0001-6712-7979</t>
  </si>
  <si>
    <t>National Key Research and Development Program of China [2019YFC1509103]; National Natural Science Foundation of China [41941005, 41922046, 41476169]; U.S. National Science foundation [1203533, 1443663]</t>
  </si>
  <si>
    <t>National Key Research and Development Program of China; National Natural Science Foundation of China(National Natural Science Foundation of China (NSFC)); U.S. National Science foundation(National Science Foundation (NSF))</t>
  </si>
  <si>
    <t>This work was supported by the National Key Research and Development Program of China (2019YFC1509103) and National Natural Science Foundation of China (41941005, 41922046, 41476169). J. Cole-Dai acknowledges financial support from the U.S. National Science foundation (Awards 1203533 and 1443663). We thank all the members of the CHINARE inland traverse (2014/2015 and 2015/2016) for their contribution in collecting the snow samples.</t>
  </si>
  <si>
    <t>1352-2310</t>
  </si>
  <si>
    <t>1873-2844</t>
  </si>
  <si>
    <t>ATMOS ENVIRON</t>
  </si>
  <si>
    <t>Atmos. Environ.</t>
  </si>
  <si>
    <t>10.1016/j.atmosenv.2020.117743</t>
  </si>
  <si>
    <t>MY6QK</t>
  </si>
  <si>
    <t>WOS:000558539100016</t>
  </si>
  <si>
    <t>Kharitonov, VV</t>
  </si>
  <si>
    <t>Kharitonov, Victor V.</t>
  </si>
  <si>
    <t>On the results of studying ice ridges in the Shokal'skogo Strait, part III: New data</t>
  </si>
  <si>
    <t>COLD REGIONS SCIENCE AND TECHNOLOGY</t>
  </si>
  <si>
    <t>Ice ridge; Thermal drilling; Internal structure; Consolidated layer; Porosity</t>
  </si>
  <si>
    <t>INTERNAL STRUCTURE; SEA; MORPHOLOGY</t>
  </si>
  <si>
    <t>The paper presents information on the studies of the first-year ice ridges conducted by the AARI experts in April-May 2018 in the fast ice of the Shokal'skogo Strait (Severnaya Zemlya Archipelago) using hot water drilling with computer recording of the penetration rate. Boreholes were drilled along the cross-section of the ridge crest at 0.25 m intervals mainly. One of the ice ridges had an unusual configuration: the sail crest was on the edge of the perpendicular extended keel crest. Cross-sectional profiles of ice ridges are illustrated. The records of thermodrilling rate revealed the presence of residual ice fragments in the keel of the ice ridges. The sail height varied from 2.9 up to 3.2 m, the keel depth varied from 8.5 up to 9.6 m. The average keel depth to sail height ratio varied from 2.8 to 3.3, and the thickness of the consolidated layer was 2.5-3.5 m. The porosity of the unconsolidated part of the keel was about 23-27%. The distributions of porosity versus depth for all ice ridges are presented and discussed.</t>
  </si>
  <si>
    <t>[Kharitonov, Victor V.] State Inst Arctic &amp; Antarctic Res Inst, St Petersburg, Russia</t>
  </si>
  <si>
    <t>Kharitonov, VV (corresponding author), State Inst Arctic &amp; Antarctic Res Inst, St Petersburg, Russia.</t>
  </si>
  <si>
    <t>sogra.kharitonov@mail.ru</t>
  </si>
  <si>
    <t>Kharitonov, Victor/0000-0003-1847-9980</t>
  </si>
  <si>
    <t>0165-232X</t>
  </si>
  <si>
    <t>1872-7441</t>
  </si>
  <si>
    <t>COLD REG SCI TECHNOL</t>
  </si>
  <si>
    <t>Cold Reg. Sci. Tech.</t>
  </si>
  <si>
    <t>10.1016/j.coldregions.2020.103124</t>
  </si>
  <si>
    <t>Engineering, Environmental; Engineering, Civil; Geosciences, Multidisciplinary</t>
  </si>
  <si>
    <t>Engineering; Geology</t>
  </si>
  <si>
    <t>MX7TD</t>
  </si>
  <si>
    <t>WOS:000557922900011</t>
  </si>
  <si>
    <t>Thompson, SS; Cook, S; Kulessa, B; Winberry, JP; Fraser, AD; Galton-Fenzi, BK</t>
  </si>
  <si>
    <t>Thompson, S. S.; Cook, S.; Kulessa, B.; Winberry, J. P.; Fraser, A. D.; Galton-Fenzi, B. K.</t>
  </si>
  <si>
    <t>Comparing satellite and helicopter-based methods for observing crevasses, application in East Antarctica</t>
  </si>
  <si>
    <t>Ground-penetrating radar; Synthetic Aperture Radar (SAR); Crevasses; Field safety</t>
  </si>
  <si>
    <t>GROUND-PENETRATING RADAR; ICE STREAM-B; GLACIER; GPR; SURFACE; LAND; EXAMPLES; FEATURES; MODEL</t>
  </si>
  <si>
    <t>Knowing where crevasses are is critical for planning safe on-ice field operations. Previous methods have ranged from real-time imaging of subsurface structures using ground penetrating radar, to mapping of crevasses over large areas using satellite imagery, with each method having it's own strengths and weaknesses. In this paper we compare the detection of crevasses at the Totten Glacier, East Antarctica, from helicopter-borne ground penetrating radar with satellite-based microwave synthetic aperture radar imagery. Our results show that the 80 MHz helicopter-borne ground penetrating radar was able to detect crevasses up to a depth of 70 m, with snow bridge thickness of 30 m. Comparison with TerraSAR-X (X-band, 9.6 GHz) satellite imagery indicates that the latter is highly effective, detecting 100% of crevasses with snow bridges of up to 4m thick and detecting 95% of crevasses with snow bridges up to 10 m thick. The ability of both methods to identify individual crevasses is affected by several factors including crevasse geometry, survey or satellite orientation and snow moisture content, and further experiments are planned to investigate performance under a wider range of conditions.</t>
  </si>
  <si>
    <t>[Thompson, S. S.; Cook, S.; Fraser, A. D.; Galton-Fenzi, B. K.] Univ Tasmania, Inst Marine &amp; Antarctic Studies, Hobart, Tas 7001, Australia; [Kulessa, B.] Swansea Univ, Coll Sci, Glaciol Grp, Singleton Pk, Swansea SA2 8PP, W Glam, Wales; [Kulessa, B.] Univ Tasmania, Sch Technol Environm &amp; Design, Hobart, Tas 7001, Australia; [Winberry, J. P.] Cent Washington Univ, Dept Geol Sci, Ellensburg, WA 98926 USA; [Galton-Fenzi, B. K.] Australian Antarctic Div, Kingston, Tas 7050, Australia</t>
  </si>
  <si>
    <t>University of Tasmania; Swansea University; University of Tasmania; Central Washington University; Australian Antarctic Division</t>
  </si>
  <si>
    <t>Thompson, SS (corresponding author), Univ Tasmania, Inst Marine &amp; Antarctic Studies, Hobart, Tas 7001, Australia.</t>
  </si>
  <si>
    <t>ss.thompson@utas.edu.au</t>
  </si>
  <si>
    <t>Fraser, Alexander/AFO-7186-2022; Winberry, Paul/HLQ-2673-2023; Cook, Sue/E-8390-2018</t>
  </si>
  <si>
    <t>Fraser, Alexander/0000-0003-1924-0015; Winberry, Paul/0000-0003-1205-0745; Cook, Sue/0000-0001-9878-4218; Thompson, Sarah S/0000-0001-9112-6933</t>
  </si>
  <si>
    <t>Australian Research Council's Special Research Initiative for the Antarctic Gateway Partnership [SR140300001]; Australian Government's Australian Antarctic Program [AAS 5145]; DLR [HYD3606]</t>
  </si>
  <si>
    <t>Australian Research Council's Special Research Initiative for the Antarctic Gateway Partnership(Australian Research Council); Australian Government's Australian Antarctic Program; DLR(Helmholtz AssociationGerman Aerospace Centre (DLR))</t>
  </si>
  <si>
    <t>This work was funded by the Australian Research Council's Special Research Initiative for the Antarctic Gateway Partnership (project ID SR140300001). Geophysical data collection was supported through the Australian Government's Australian Antarctic Program under project AAS 5145. TerraSAR-X satellite data were provided by DLR under project HYD3606, thanks to Erhard Diedrich, Paul Wachter and Ursula Marschalk for help in setting this up.</t>
  </si>
  <si>
    <t>10.1016/j.coldregions.2020.103128</t>
  </si>
  <si>
    <t>WOS:000557922900001</t>
  </si>
  <si>
    <t>Gabis, IP</t>
  </si>
  <si>
    <t>Gabis, I. P.</t>
  </si>
  <si>
    <t>Quasi-biennial oscillation of the equatorial total ozone: A seasonal dependence and forecast for 2019-2021</t>
  </si>
  <si>
    <t>Quasi-biennial oscillation (QBO); Total column ozone (TOZ); Ozone QBO; Seasonal dependence; Equatorial stratosphere</t>
  </si>
  <si>
    <t>ANNUAL CYCLE; STRATOSPHERIC QBO; SPATIAL-PATTERNS; ZONAL WINDS; GLOBAL QBO; SYNCHRONIZATION; CIRCULATION; MODEL; TRENDS; CLIMATOLOGY</t>
  </si>
  <si>
    <t>The interannual variability of the total ozone (TOZ) in the equatorial region (5 degrees S - 5 degrees N) has been studied using the satellite daily and monthly data in 1978-2018. The coupling of the equatorial TOZ changes to the quasi-biennial oscillation (QBO) of the zonal wind in the equatorial stratosphere has long been known. However, the detailed analysis of the daily deseasonalized TOZ data over the course of 15 complete wind QBO cycles convincingly showed some new important features of the ozone QBO (Delta TOZ). The key points of the equatorial TOZ variations are clearly linked with the certain time moments during the downward propagation from similar to 10 to similar to 70 hPa of the easterly and westerly regimes of the wind QBO. The equatorial Delta TOZ distinctly maximizes when the westerly regime reaches similar to 70 hPa and the easterly regime appears at similar to 10 hPa, which occur simultaneously. The times of minima of the equatorial Delta TOZ are less obvious due to the westerly regime appearance at similar to 10 hPa on the background of the unfinished descent of the easterly regime. Furthermore, the seasonal regularities of the wind QBO causes the seasonal dependence of the ozone QBO in the equatorial region. Maxima of the equatorial Delta TOZ are definitely observed near solstice months (June or December). This result contradicts to the general belief about lack of the seasonal synchronization of the equatorial ozone QBO in contrast to the seasonally synchronized extratropical ozone. However, the coincidence of the equatorial TOZ maxima with solstices and, consequently, their recurrence every 2 or 2.5 years allow a prediction of the equatorial TOZ, based on the long-term forecast of the wind QBO. The ozone QBO forecast for subsequent about two years (2019-2021) is presented.</t>
  </si>
  <si>
    <t>[Gabis, I. P.] Arctic &amp; Antarctic Res Inst, 38 Str Bering, St Petersburg 199397, Russia</t>
  </si>
  <si>
    <t>Gabis, IP (corresponding author), Arctic &amp; Antarctic Res Inst, 38 Str Bering, St Petersburg 199397, Russia.</t>
  </si>
  <si>
    <t>gabis@aari.nw.ru</t>
  </si>
  <si>
    <t>Arctic and Antarctic Research Institute (St. Petersburg, Russia)</t>
  </si>
  <si>
    <t>I thank all anonymous Reviewers for their careful reading and many helpful comments and suggestions. The study has been supported by Arctic and Antarctic Research Institute (St. Petersburg, Russia).</t>
  </si>
  <si>
    <t>10.1016/j.jastp.2020.105353</t>
  </si>
  <si>
    <t>MX5KM</t>
  </si>
  <si>
    <t>WOS:000557761900013</t>
  </si>
  <si>
    <t>Diaz, MA; Welch, SA; Sheets, JM; Welch, KA; Khan, A; Adams, B; McKnight, D; Cary, SC; Lyons, WB</t>
  </si>
  <si>
    <t>Diaz, Melisa A.; Welch, Susan A.; Sheets, Julie M.; Welch, Kathleen A.; Khan, Alial.; Adams, ByronJ.; McKnight, DianeM.; Cary, S. Craig; Lyons, W. Berry</t>
  </si>
  <si>
    <t>Geochemistry of aeolian material from the McMurdo Dry Valleys, Antarctica: Insights into Southern Hemisphere dust sources</t>
  </si>
  <si>
    <t>Antarctica; aeolian material; mineralogy; major oxides; trace elements; rare earth elements</t>
  </si>
  <si>
    <t>RARE-EARTH-ELEMENTS; EAST ANTARCTICA; VICTORIA LAND; TAYLOR VALLEY; TALOS DOME; TRANSANTARCTIC MOUNTAINS; ICE-SHEET; ROSS SEA; TRANSPORT; PROVENANCE</t>
  </si>
  <si>
    <t>In the Southern Hemisphere, the major sources of dust and other aeolian materials are from Patagonia, South Africa, Australia, and New Zealand. Dust from Patagonia and New Zealand has been identified in ice cores throughout Antarctica, suggesting that during arid and windy periods, such as glacial periods, dust can be entrained and transported onto the continent. However, little information exists on modern Antarctic dust sources, transport, and its role in the Southern Hemisphere dust cycle. We present the first geochemical characterization of aeolian materials collected at five heights (between 5 cm and 100 cm) above the surface in four valleys within the McMurdo Dry Valleys, the largest ice-free area in Antarctica. Our mineralogy data indicate that these materials are primarily derived from local rocks of the McMurdo Volcanics, Ferrar Dolerite, Beacon Sandstone and Granite Harbor Intrusives, with varying contributions of each rock type dependent on the valley location. While major oxide, trace element and rare earth element data show that low elevation and coastal locations (with respect to the Ross Sea) are dominated by local sources, high elevation and inland locations have accumulated both local materials and dust from other distant Southern Hemisphere sources. This far-traveled material may not be accumulating today, but represents a paleo source that is resuspended from the soils. By geochemically fingerprinting aeolian materials from the MDV, we can better inform future studies on the transport of materials within Antarctica and between Southern Hemisphere land masses. (C) 2020 Elsevier B.V. All rights reserved.</t>
  </si>
  <si>
    <t>[Diaz, Melisa A.; Welch, Susan A.; Sheets, Julie M.; Lyons, W. Berry] Ohio State Univ, Sch Earth Sci, Columbus, OH 43210 USA; [Diaz, Melisa A.; Welch, Susan A.; Welch, Kathleen A.; Lyons, W. Berry] Ohio State Univ, Byrd Polar &amp; Climate Res Ctr, Columbus, OH 43210 USA; [Welch, Kathleen A.; Khan, Alial.; McKnight, DianeM.] Univ Colorado, Inst Arctic &amp; Alpine Res, Boulder, CO 80309 USA; [Khan, Alial.] Western Washington Univ, Dept Environm Sci, Bellingham, WA 98225 USA; [Adams, ByronJ.] Brigham Young Univ, Dept Biol, Evolutionary Ecol Labs, Provo, UT 84602 USA; [Adams, ByronJ.] Brigham Young Univ, Monte L Bean Museum, Provo, UT 84602 USA; [McKnight, DianeM.] Univ Colorado, Dept Civil &amp; Environm Engn, Boulder, CO 80309 USA; [Cary, S. Craig] Univ Waikato, Biol Sci, Hamilton, New Zealand</t>
  </si>
  <si>
    <t>University System of Ohio; Ohio State University; University System of Ohio; Ohio State University; University of Colorado System; University of Colorado Boulder; Western Washington University; Brigham Young University; Brigham Young University; University of Colorado System; University of Colorado Boulder; University of Waikato</t>
  </si>
  <si>
    <t>Diaz, MA (corresponding author), Ohio State Univ, Sch Earth Sci, Columbus, OH 43210 USA.</t>
  </si>
  <si>
    <t>diaz.237@osu.edu</t>
  </si>
  <si>
    <t>Adams, Byron/C-3808-2009</t>
  </si>
  <si>
    <t>Adams, Byron/0000-0002-7815-3352; Welch, Susan/0000-0002-2890-0065; Diaz, Melisa/0000-0001-6657-358X; Cary, Stephen/0000-0002-2876-2387</t>
  </si>
  <si>
    <t>NSF [ANT 1115245]; NSF Graduate Research Fellowship [60041697]; School of Earth Sciences Friends of Orton Hall Fund; U.S. Antarctic Program within the NSF Office of Polar Programs</t>
  </si>
  <si>
    <t>NSF(National Science Foundation (NSF)); NSF Graduate Research Fellowship(National Science Foundation (NSF)); School of Earth Sciences Friends of Orton Hall Fund; U.S. Antarctic Program within the NSF Office of Polar Programs</t>
  </si>
  <si>
    <t>This work was supported by NSF ANT 1115245 awarded to W. B. Lyons for the McMurdo Dry Valleys Long Term Ecological Research (MCM-LTER), NSF Graduate Research Fellowship #60041697 awarded to M. Diaz, and School of Earth Sciences Friends of Orton Hall Fund. We are grateful for thoughtful comments and suggestions by Dr. Gavin Dunbar and an anonymous reviewer, which improved this manuscript. Antarctic fieldwork was supported by the U.S. Antarctic Program within the NSF Office of Polar Programs. We thank Dr. Andy Thompson for help maintaining the BSNE traps and with sample collection. We also thank Dr. Dave Cole and the Subsurface Energy Materials Characterization &amp; Analysis Laboratory (SEMCAL), The Ohio State University for assistance in sample preparation, SEM, and XRD analysis. The geochemical data analyzed here are located in Appendix C and on the McMurdo LTER website (mcm.lternet.edu).</t>
  </si>
  <si>
    <t>10.1016/j.epsl.2020.116460</t>
  </si>
  <si>
    <t>MX5KS</t>
  </si>
  <si>
    <t>WOS:000557762500014</t>
  </si>
  <si>
    <t>Moraes, MM; Bruzzi, RS; Martins, YAT; Mendes, TT; Maluf, CB; Ladeira, RVP; Núñez-Espinosa, C; Soares, DD; Wanner, SP; Arantes, RME</t>
  </si>
  <si>
    <t>Moraes, Michele M.; Bruzzi, Rubio S.; Martins, Ygor A. T.; Mendes, Thiago T.; Maluf, Chams B.; Ladeira, Roberto V. P.; Nunez-Espinosa, Cristian; Soares, Danusa D.; Wanner, Samuel P.; Arantes, Rosa M. E.</t>
  </si>
  <si>
    <t>Hormonal, autonomic cardiac and mood states changes during an Antarctic expedition: From ship travel to camping in Snow Island</t>
  </si>
  <si>
    <t>PHYSIOLOGY &amp; BEHAVIOR</t>
  </si>
  <si>
    <t>Cold; Confinement; Isolation; Neuroendocrine; Polar</t>
  </si>
  <si>
    <t>TESTOSTERONE LEVELS; HEART-RATE; CORTISOL; SLEEP; POLAR; STRESS; PLASMA; LIGHT; LIFE; MELATONIN</t>
  </si>
  <si>
    <t>We evaluated the influence of an Antarctic expedition, consisting of 26-day ship travel followed by 24-day camping in the Antarctic field during the summer season, on hormonal responses, autonomic cardiac control, and mood states in individuals that live in tropical regions. Data collection was carried out in 10 individuals on the 2nd, 16th, and 26th days aboard the ship (characterized by exposure to low-luminosity and temperature-controlled environments) and on the 4th, 11th, and 23rd days of camping in the Antarctic field (prolonged exposure to natural luminosity and cold environments). Morning samples of saliva (to determine testosterone and cortisol concentrations) and blood [to determine thyroid-stimulating hormone (TSH) and thyroxine (T4) concentrations] were obtained. Next, resting heart rate variability (HRV) was recorded, and the volunteers answered a mood questionnaire. Samples of saliva for measurement of melatonin concentration were obtained at night. At the end of ship travel, blood TSH and salivary melatonin increased by 15.6% and 72.3%, respectively, whereas salivary cortisol reduced by 37.1% compared to initial values and T4 reduced by 12.2% compared to 16th day. These hormonal changes occurred alongside increased depression score and biphasic changes in HRV parameters; for example, the RMSSD, a parasympathetic-related parameter, initially decreased by 47.8% and then returned towards baseline values by the end of the ship travel. In contrast, during the camp period, blood TSH and T4 reduced by 26.5% and 34.1%, respectively, and salivary cortisol increased by 72.1%, without concomitant changes in melatonin and HRV. Also, tension score transiently reduced and then increased towards the pre-camp score by the end of the field period. Testosterone remained unaltered throughout the expedition. In conclusion, ship travel and camping in Antarctica induced distinct neuroendocrine changes, cardiac autonomic regulation, and mood states. These specific changes most likely resulted from exposure to different natural luminosity, degrees of confinement, and ambient temperature in these environments.</t>
  </si>
  <si>
    <t>[Moraes, Michele M.; Arantes, Rosa M. E.] Univ Fed Minas Gerais, Inst Biol Sci, Lab Expt Neuroimmunopathol, Belo Horizonte, MG, Brazil; [Moraes, Michele M.; Bruzzi, Rubio S.; Martins, Ygor A. T.; Soares, Danusa D.; Wanner, Samuel P.] Univ Fed Minas Gerais, Sch Phys Educ Physiotherapy &amp; Occupat Therapy, Exercise Physiol Lab, Belo Horizonte, MG, Brazil; [Moraes, Michele M.; Ladeira, Roberto V. P.; Arantes, Rosa M. E.] Univ Fed Minas Gerais NUPAD FM UFMG, Fac Med, Ctr Newborn Screening &amp; Genet Diag, Belo Horizonte, MG, Brazil; [Mendes, Thiago T.] Univ Fed Maranhao, Ctr Nat &amp; Human Sci, Hlth &amp; Technol, Pinheiro, Maranhao, Brazil; [Maluf, Chams B.] Univ Fed Minas Gerais, Fac Med, Dept Clin Pathol, Belo Horizonte, MG, Brazil; [Nunez-Espinosa, Cristian] Univ Magallanes, Sch Med, Physiol Lab, Punta Arenas, Chile</t>
  </si>
  <si>
    <t>Universidade Federal de Minas Gerais; Universidade Federal de Minas Gerais; Universidade Federal do Maranhao; Universidade Federal de Minas Gerais; Universidad de Magallanes</t>
  </si>
  <si>
    <t>Arantes, RME (corresponding author), Univ Fed Minas Gerais, Inst Ciencias Biol, Dept Patol Geral, Lab Neuroimunopatol Expt, Antonio Carlos 6627, BR-31270901 Belo Horizonte, MG, Brazil.</t>
  </si>
  <si>
    <t>michelemmoraes@ufmg.br; rosa@icb.ufmg.br</t>
  </si>
  <si>
    <t>Wanner, Samuel P./F-9654-2012; MORAES, MICHELE/W-4042-2019; Mendes, Thiago Teixeira/GWZ-5533-2022; Núñez-Espinosa, Cristian A/ADF-6181-2022; Soares, Danusa/AAW-1915-2021; ARANTES, ROSA MARIA ESTEVES/C-5749-2013</t>
  </si>
  <si>
    <t>Wanner, Samuel P./0000-0002-4659-1032; MORAES, MICHELE/0000-0003-4707-6099; Mendes, Thiago Teixeira/0000-0003-1644-4020; Núñez-Espinosa, Cristian A/0000-0002-9896-7062; ARANTES, ROSA MARIA ESTEVES/0000-0003-1428-9717</t>
  </si>
  <si>
    <t>CNPq/MCTIC/CAPES/FNDCT/PROANTAR [442645/2018-0]; Fundacao de Amparo a Pesquisa do Estado de Minas Gerais (FAPEMIG) [EC-00017-18, CDS-PPM 000304/16, CBB-APQ-01419-14]; Pro-Reitoria de Pesquisa da Universidade Federal de Minas Gerais (PRPq UFMG); Conselho Nacional de Desenvolvimento Cientifico e Tecnologico (CNPq) [305952/2017-0]; Coordenacao de Aperfeicoamento de Pessoal de Nivel Superior - Brasil (CAPES) [001]; MMM post-doctoral fellowship, CAPES/BRASIL [88887.321687/2019-00]</t>
  </si>
  <si>
    <t>CNPq/MCTIC/CAPES/FNDCT/PROANTAR; Fundacao de Amparo a Pesquisa do Estado de Minas Gerais (FAPEMIG)(Fundacao de Amparo a Pesquisa do Estado de Minas Gerais (FAPEMIG)); Pro-Reitoria de Pesquisa da Universidade Federal de Minas Gerais (PRPq UFMG); Conselho Nacional de Desenvolvimento Cientifico e Tecnologico (CNPq)(Conselho Nacional de Desenvolvimento Cientifico e Tecnologico (CNPQ)); Coordenacao de Aperfeicoamento de Pessoal de Nivel Superior - Brasil (CAPES)(Coordenacao de Aperfeicoamento de Pessoal de Nivel Superior (CAPES)); MMM post-doctoral fellowship, CAPES/BRASIL</t>
  </si>
  <si>
    <t>This study was supported by CNPq/MCTIC/CAPES/FNDCT/PROANTAR [442645/2018-0]; Fundacao de Amparo a Pesquisa do Estado de Minas Gerais (FAPEMIG) [AEC-00017-18; CDS-PPM 000304/16; CBB-APQ-01419-14] and Pro-Reitoria de Pesquisa da Universidade Federal de Minas Gerais (PRPq UFMG). RMEA received research fellowship from Conselho Nacional de Desenvolvimento Cientifico e Tecnologico (CNPq) [305952/2017-0]. This study was financed in part by the Coordenacao de Aperfeicoamento de Pessoal de Nivel Superior - Brasil (CAPES) - Finance Code 001; MMM post-doctoral fellowship, CAPES/BRASIL [88887.321687/2019-00].</t>
  </si>
  <si>
    <t>0031-9384</t>
  </si>
  <si>
    <t>PHYSIOL BEHAV</t>
  </si>
  <si>
    <t>Physiol. Behav.</t>
  </si>
  <si>
    <t>10.1016/j.physbeh.2020.113069</t>
  </si>
  <si>
    <t>Psychology, Biological; Behavioral Sciences</t>
  </si>
  <si>
    <t>Psychology; Behavioral Sciences</t>
  </si>
  <si>
    <t>MT4FV</t>
  </si>
  <si>
    <t>WOS:000554926600045</t>
  </si>
  <si>
    <t>Wang, Y; Kang, JH; Xiang, P; Wang, WB; Lin, M</t>
  </si>
  <si>
    <t>Wang, Yu; Kang, Jianhua; Xiang, Peng; Wang, Weibo; Lin, Mao</t>
  </si>
  <si>
    <t>Short timeframe changes of environmental impacts on summer phytoplankton in the Chukchi Sea and surrounding areas in a regional scaling</t>
  </si>
  <si>
    <t>Chukchi Sea; Northern marginal areas; Phytoplankton community; Distribution Chl a; Regional disparity; Temporal variability</t>
  </si>
  <si>
    <t>ARCTIC-OCEAN; BERING-SEA; ICE ALGAE; COMMUNITY STRUCTURE; GRAZING IMPACT; CANADA BASIN; BLOOMS; CHLOROPHYLL; PATTERNS; WATERS</t>
  </si>
  <si>
    <t>Recent changes observed in the Arctic associated with climate change call for further studies of its habitats and ecosystems, including those of the microbial communities that are the base of the food web. Limited information is available on short timeframe changes of summer phytoplankton and its driving factors. In the present study, space and time resolution in the phytoplankton community ( 10 mu m) and chlorophyll a (Chl a) were analyzed in Chukchi shelf and northern deep-sea areas (66 degrees N similar to 80 degrees N) during the Fourth Chinese National Arctic Research Expedition in the summer of 2010. Potential environmental drivers were linked to assess effects of Pacific inflow, light intensity and seasonal ice retreat on summer phytoplankton community. Results indicate a strong temporal variability in species composition, abundance and Chl a within a short interval (July 20 to August 30), as well as significant difference in regional distribution (Chukchi shelf, coast Alaska and deep-sea). A total of 159 taxa belonging to 69 genera from 9 phyla were identified by Utermohl method. The Chukchi shelf in early summer (July 20 to 25) had a depth-integrated Chl a of 97.24 mg/m(2) with a depth-averaged abundance of 101.37 x 10(3) cells/L. The community was dominated by Navicula pelagica, Thalassiosira nordenskioeldii, Pseudonitzschia seriata, Leptocylindrus danicus, Nitzschia longissimi and Navicula vanhoeffenii. An ongoing ice-edge diatom bloom was observed associated to Anadyr Water. In contrast, from the deep-sea to Chukchi shelf in late summer (August 23 to 30), depth-integrated Chl a and depth-averaged abundance were lower than the previous weeks with only 25.31 mg/m(2) plus 2.10 x 10(3) cells/L in deep-sea and 71.37 mg/m(2) plus 27.00 x 10(3) cells/L in Chukchi shelf, respectively. At this stage, dominant species now include Thalassionema nitzschioides, Chaetoceros spp., Cylindrotheca closterium, Nitzchia longissima in deep-sea and Chaetoceros diadema, Letocylindrus danicus, N. longissima, Navicula pelagica, C. closterium, T. nitzschioides in Chukchi shelf, respectively. Generally, both Chl a and abundance were higher in the Chukchi shelf than those in the deep-sea, but was also higher in July than in August. Deep chlorophyll maxima was exclusively fixed at around 50 m in deep-sea, while a peak in Chl a appeared randomly at each layer in Chukchi shelf. A succession from pennate to centric diatoms was observed in northern Chukchi shelf closely related to ice retreat, while the opposite trend was common in the ice-free southern Chukchi shelf. Revisited stations in Chukchi shelf demonstrated the decrease in light intensity from July to August chiefly resulted in the reduction in Chl a and abundance during the return leg, while nutrients from Pacific inflows played a main role during the inbound leg.</t>
  </si>
  <si>
    <t>[Wang, Yu; Kang, Jianhua; Xiang, Peng; Wang, Weibo; Lin, Mao] Minist Nat Resources, Lab Marine Biol &amp; Ecol, Inst Oceanog 3, Xiamen 361005, Peoples R China</t>
  </si>
  <si>
    <t>Ministry of Natural Resources of the People's Republic of China; Third Institute of Oceanography, Ministry of Natural Resources</t>
  </si>
  <si>
    <t>Lin, M (corresponding author), Minist Nat Resources, Lab Marine Biol &amp; Ecol, Inst Oceanog 3, Xiamen 361005, Peoples R China.</t>
  </si>
  <si>
    <t>linmao@tio.org.cn</t>
  </si>
  <si>
    <t>Wang, Yu/HLP-6716-2023; Kang, Jianhua/HJY-4662-2023</t>
  </si>
  <si>
    <t>Kang, Jianhua/0000-0001-8105-3195; Wang, Weibo/0000-0003-3908-7679</t>
  </si>
  <si>
    <t>National Natural Science Foundation of China [41506217, 41506136, 41306115]; Ministry of Science and Technology [GASI-01-02-04]</t>
  </si>
  <si>
    <t>National Natural Science Foundation of China(National Natural Science Foundation of China (NSFC)); Ministry of Science and Technology(Spanish Government)</t>
  </si>
  <si>
    <t>The authors wish to thank Dr. Senming Tang from Hongkong University for fruitful discussion and for helping to revise the manuscript, Prof. Jinping Zhao and Professor Jiuxin Shi of Ocean University of China for temperature and salinity data, Mr. Hongliang Li of Second Institute of Oceanography, MNR for nutrient measurement and Mr. Xiuwu Sun of Third Institute of Oceanography, MNR for DO data. We thank MogoEdit (www.mogoedit.com) for its linguistic assistance during the preparation of this manuscript. This study was partially supported by the National Natural Science Foundation of China (Project Nos. 41506217, 41506136 and 41306115), the Ministry of Science and Technology (Project No. GASI-01-02-04). This work was also supported by Chinese Arctic and Antarctic Administration and the crews of the fourth Chinese National Arctic Research Expedition in 2010.</t>
  </si>
  <si>
    <t>10.1016/j.ecolind.2020.106693</t>
  </si>
  <si>
    <t>MU3EG</t>
  </si>
  <si>
    <t>WOS:000555555100008</t>
  </si>
  <si>
    <t>Beck, AW; Peplowski, PN; Yokley, ZW</t>
  </si>
  <si>
    <t>Beck, A. W.; Peplowski, P. N.; Yokley, Z. W.</t>
  </si>
  <si>
    <t>A miniaturized XRF instrument for in situ planetary exploration: The Active X-Ray Spectrometer (AXRS)</t>
  </si>
  <si>
    <t>PLANETARY AND SPACE SCIENCE</t>
  </si>
  <si>
    <t>CHEMICAL CLASSIFICATION; ALKALI; ROCKS; CALIBRATION; DIVERSITY; VENUS</t>
  </si>
  <si>
    <t>The Active X-Ray Spectrometer (AXRS) was developed at Johns Hopkins Applied Physics Lab (APL) to be utilized in landed planetary exploration spacecraft seeking to better understand bulk rock geochemistry of lithophile materials. The AXRS sensor head has a mass of 360 g, fits within an envelope of 11 x 6 x 5 cm(3), and consumes &lt;5 W during operation. AXRS has an average relative uncertainty of 9% for deriving the abundances of major and minor elements, and measurement precision &lt;= 10% for all elements. Measurements were made with powdered samples, analogous to high-processed regoliths as expected on the surfaces of airless planetary objects. These specifications are equal to or better than those published for other x-ray instruments used in landed planetary exploration missions. We explored several mission applications for AXRS via analysis of planetary materials under mission conditions. These include the ability to: 1) resolve sub-type of carbonaceous chondrite meteorite via measured abundances of various lithophile element ratios based on volatility, 2) identify low-Fe lunar anorthosite, from high-Fe lunar anorthosite, from lunar mare using bulk Ca, Al, Fe, Mg, and 3) resolve various Venus- and Mars-like volcanic rocks utilizing bulk Si, K, and Na.</t>
  </si>
  <si>
    <t>[Beck, A. W.] Marietta Coll, Marietta, OH 45750 USA; [Peplowski, P. N.; Yokley, Z. W.] Johns Hopkins Univ, Appl Phys Lab, Laurel, MD USA</t>
  </si>
  <si>
    <t>University System of Ohio; Marietta College; Johns Hopkins University; Johns Hopkins University Applied Physics Laboratory</t>
  </si>
  <si>
    <t>Beck, AW (corresponding author), Marietta Coll, Marietta, OH 45750 USA.</t>
  </si>
  <si>
    <t>awb003@marietta.edu</t>
  </si>
  <si>
    <t>Peplowski, Patrick N/I-7254-2012</t>
  </si>
  <si>
    <t>Johns Hopkins Applied Physics Laboratory's internal research and development program; NASA Johnson Space Center</t>
  </si>
  <si>
    <t>Johns Hopkins Applied Physics Laboratory's internal research and development program; NASA Johnson Space Center(National Aeronautics &amp; Space Administration (NASA))</t>
  </si>
  <si>
    <t>AXRS development was funded by Johns Hopkins Applied Physics Laboratory's internal research and development program. We thank the Antarctic Search for Meteorites Team for collecting samples used in this study, the NASA Johnson Space Center and Smithsonian National Museum of Natural History for curation, classification and loan of said samples, and the Meteorite Working Group for their service in review of our sample request. Finally, we want to thank Amptek and rtw R_ONTGEN-TECHNIK for their technical assistance in this work.</t>
  </si>
  <si>
    <t>0032-0633</t>
  </si>
  <si>
    <t>PLANET SPACE SCI</t>
  </si>
  <si>
    <t>Planet Space Sci.</t>
  </si>
  <si>
    <t>10.1016/j.pss.2020.104990</t>
  </si>
  <si>
    <t>MU6VK</t>
  </si>
  <si>
    <t>WOS:000555808800001</t>
  </si>
  <si>
    <t>Alarcón-Muñoz, J; Soto-Acuña, S; Manríquez, LME; Fernández, RA; Bajor, D; Guevara, JP; Lara, FS; Leppe, MA; Vargas, AO</t>
  </si>
  <si>
    <t>Alarcon-Munoz, Jhonatan; Soto-Acuna, Sergio; Manriquez, Leslie M. E.; Fernandez, Roy A.; Bajor, Daniel; Pablo Guevara, Juan; Suazo Lara, Felipe; Leppe, Marcelo A.; Vargas, Alexander O.</t>
  </si>
  <si>
    <t>Freshwater turtles (Testudines: Pleurodira) in the Upper Cretaceous of Chilean Patagonia</t>
  </si>
  <si>
    <t>Chelidae; Yaminuechelys; Dorotea formation; Upper Cretaceous; Chilean Patagonia</t>
  </si>
  <si>
    <t>TRES PASOS FORMATION; SAN-JORGE-BASIN; MAGALLANES BASIN; CHELID TURTLES; LONCOCHE FORMATION; FORELAND BASIN; ZIRCON GEOCHRONOLOGY; NORTHERN PATAGONIA; MENDOZA PROVINCE; LIGHTNING RIDGE</t>
  </si>
  <si>
    <t>We describe remains of freshwater turtles from the Upper Cretaceous of Chilean Patagonia. The fossils, which comprise isolated shell fragments and incomplete appendicular bones, were recovered from meandering fluvial deposits of the Dorotea Formation (upper Campanian-Danian), in the Rio de Las Chinas Valley, Magallanes region. These remains represent the first records of Upper Cretaceous pan-chelid pleurodiran turtles in the Magallanes-Austral Basin. The shell fragments show a strong ornamentation of irregular polygons distributed over their entire external surface, and one of the peripheral plates is narrow and elongated. These features are consistent with traits described in Yaminuechelys, a chelid genus from the Upper Cretaceous and Paleogene of Argentinian Patagonia. In addition, the suprapygal plate presents sulci that mark the limits of the vertebral scute 5 and the marginal scutes 12 as in Yaminuechelys sulcipeculiaris. This finding represents the southernmost record of a species conferred to Yaminuechelys, extending the distribution of this genus to the Magallanes-Austral basin during the Campanian-Maastrichtian.</t>
  </si>
  <si>
    <t>[Alarcon-Munoz, Jhonatan; Soto-Acuna, Sergio; Bajor, Daniel; Pablo Guevara, Juan; Suazo Lara, Felipe; Vargas, Alexander O.] Univ Chile, Fac Ciencias, Dept Biol, Lab Ontogenia &amp; Filogenia,Red Paleontol, Palmeras 3425, Santiago 3425, Chile; [Alarcon-Munoz, Jhonatan; Pablo Guevara, Juan] Univ Chile, Fac Ciencias, Dept Ciencias Ecol, Lab Zool Vertebrados, Palmeras 3425, Santiago, Chile; [Manriquez, Leslie M. E.] Univ Vale Rio Dos Sinos, Programa Posgrad Geol, Av UNISINOS 950, BR-93022000 Sao Leopoldo, RS, Brazil; [Fernandez, Roy A.] Univ Concepcion, Dept Ciencias Tierra, Victor Lamas 1290, Concepcion, Chile; [Leppe, Marcelo A.] Inst Antartico Chileno, Lab Paleobiol Antartica &amp; Patagonia, Plaza Munoz Gamero 1055, Punta Arenas, Chile</t>
  </si>
  <si>
    <t>Universidad de Chile; Universidad de Chile; Universidade do Vale do Rio dos Sinos (Unisinos); Universidad de Concepcion</t>
  </si>
  <si>
    <t>Alarcón-Muñoz, J (corresponding author), Univ Chile, Fac Ciencias, Dept Biol, Lab Ontogenia &amp; Filogenia,Red Paleontol, Palmeras 3425, Santiago 3425, Chile.</t>
  </si>
  <si>
    <t>alarconmunoz@ug.uchile.cl; sesotacu@ug.uchile.cl; less.manriquez@gmail.com; rofer87@gmail.com; dbajor@uc.cl; jpguevarah@gmail.com; felipe.suazo.lara@gmail.com; mleppe@inach.cl; thearchosaur@gmail.com</t>
  </si>
  <si>
    <t>Vargas, Alexander O/L-3788-2017; Leppe, Marcelo/L-5447-2014</t>
  </si>
  <si>
    <t>Vargas, Alexander O/0000-0002-2009-7116; Leppe, Marcelo/0000-0002-1545-8167; Fernandez, Roy A./0000-0002-2656-5312; Soto Acuna, Sergio/0000-0002-9311-9355; Guevara, Juan Pablo/0000-0002-0702-8757</t>
  </si>
  <si>
    <t>Proyecto Anillo en Investigacion en Ciencia y Tecnologia (PIA, ANID-Chile) [ACT172099]; FONDECYT [1151389]</t>
  </si>
  <si>
    <t>Proyecto Anillo en Investigacion en Ciencia y Tecnologia (PIA, ANID-Chile); FONDECYT(Comision Nacional de Investigacion Cientifica y Tecnologica (CONICYT)CONICYT FONDECYT)</t>
  </si>
  <si>
    <t>This work has been carried out with the support of the Proyecto Anillo en Investigacion en Ciencia y Tecnologia (PIA, ANID-Chile) ACT172099 New Data Sources on the Fossil Record and Evolution of Vertebrates and the FONDECYT Project: N 1151389 Paleogeographic patterns v/s climate change in South America and the Antarctic Peninsula during the latest Cretaceous: A possible explanation for the origin of the Austral biota?. Estancia Cerro Guido for their hospitality and logistic support. The authors also thank Ignacio Maniel (CONICET, Museo de Historia Natural de San Rafael, Argentina), Carolina Oriozabala (CONICET-Museo Paleontologico Egidio Feruglio, Argentina), Juliana Sterli (CONICET-Museo Paleontologico Egidio Feruglio, Argentina) and Paula Bona (CONICET-Universidad Nacional de La Plata, Argentina) for their valuable comments and for sharing bibliographic and photographic material. We thank Juliana Sterli and Marcelo de la Fuente for their valuable comments and suggestions that helped improve this work. Sarah Davis (University of Texas, USA) for her feedback on the manuscript, and Edwin Gonzalez, Hector Mansilla, Hector Ortiz, Jonatan Kaluza, Maria Jesus Ortuya, Barbara Aravena, Pedro Vargas and Veronica Milla for their valuable assistance in the field.</t>
  </si>
  <si>
    <t>10.1016/j.jsames.2020.102652</t>
  </si>
  <si>
    <t>MS0ST</t>
  </si>
  <si>
    <t>WOS:000553997400011</t>
  </si>
  <si>
    <t>Garcia-Garin, O; García-Cuevas, I; Drago, M; Rita, D; Parga, M; Gazo, M; Cardona, L</t>
  </si>
  <si>
    <t>Garcia-Garin, Odei; Garcia-Cuevas, Ivan; Drago, Massimiliano; Rita, Diego; Parga, Mariluz; Gazo, Manel; Cardona, Luis</t>
  </si>
  <si>
    <t>No evidence of microplastics in Antarctic fur seal scats from a hotspot of human activity in Western Antarctica</t>
  </si>
  <si>
    <t>Arctocephalus gazella; Bransfield Strait; Faeces; Plastic; Diet; Antarctic Polar Front</t>
  </si>
  <si>
    <t>PLASTIC INGESTION; ROSS SEA; DIET; FISH; ACCUMULATION; SEDIMENTS; IMPACTS; ISLANDS; DEBRIS</t>
  </si>
  <si>
    <t>Microplastics are present in almost all seas and oceans, including the Southern Ocean To the south of the Antarctic Polar Front, microplastics are present mainly west to the Antarctic Peninsula, but information is scarce about their impact on the pelagic food web. Here, we analysed 42 scats of male Antarctic fur seals (Arctocephalus gazella) collected in late summer at Deception Island (South Shetland Islands), which allowed us to assess the presence of microplastics in the pelagic food web of the Bransfield Strait (Western Antarctica). Furthermore, we analysed the hard remains of prey in the scats to characterize the diet of fur seals. Hard remains recovered from the scats revealed that male Antarctic fur seals foraged on krill and myctophid fishes during late summer. Fourier-transform infrared spectroscopy (FT-IR) revealed that none of the seven fragments and three fibres recovered from their scats were microplastics, but rather were silicate minerals and chitin. These results suggest that the levels of microplastic pollution in the pelagic food web of the Bransfield Strait are extremely low. (C) 2020 Elsevier B.V. All rights reserved.</t>
  </si>
  <si>
    <t>[Garcia-Garin, Odei; Garcia-Cuevas, Ivan; Drago, Massimiliano; Rita, Diego; Gazo, Manel; Cardona, Luis] Univ Barcelona, Fac Biol, Dept Evolutionary Biol Ecol &amp; Environm Sci, Barcelona 08028, Spain; [Garcia-Garin, Odei; Garcia-Cuevas, Ivan; Drago, Massimiliano; Rita, Diego; Gazo, Manel; Cardona, Luis] Univ Barcelona, Fac Biol, Biodivers Res Inst IRBio, Barcelona 08028, Spain; [Parga, Mariluz; Gazo, Manel] SUBMON Marine Environm Serv, Ortigosa 14, Barcelona 08003, Spain</t>
  </si>
  <si>
    <t>University of Barcelona; University of Barcelona</t>
  </si>
  <si>
    <t>Garcia-Garin, O (corresponding author), Univ Barcelona, Fac Biol, Dept Evolutionary Biol Ecol &amp; Environm Sci, Barcelona 08028, Spain.;Garcia-Garin, O (corresponding author), Univ Barcelona, Fac Biol, Biodivers Res Inst IRBio, Barcelona 08028, Spain.</t>
  </si>
  <si>
    <t>odei.garcia@ub.edu</t>
  </si>
  <si>
    <t>Espada, Diego Rita/D-3047-2017; Gazo, Manel/F-6088-2012; Garcia-Garin, Odei/AAA-3984-2019; Drago, Massimiliano/JAN-9491-2023; Cardona, Luis/AAL-1354-2021; Drago, Massimiliano/K-1863-2017</t>
  </si>
  <si>
    <t>Espada, Diego Rita/0000-0001-8358-6980; Gazo, Manel/0000-0003-1159-322X; Garcia-Garin, Odei/0000-0002-0754-564X; Drago, Massimiliano/0000-0003-2764-9849; Cardona, Luis/0000-0002-7892-1323; Drago, Massimiliano/0000-0003-2764-9849; Parga, Mariluz/0000-0002-3259-5606</t>
  </si>
  <si>
    <t>Ministerio de Ciencia, Innovacion y Universidades (Spain) [CTM2017-83319-P]; AEI/FEDER/UE; Ph.D. FPU scholarship - Spanish Government; Beatriu de Pinos postdoctoral fellowship from the Secretaria d'Universitats i Recerca del Departament d'Empresa i Coneixement de la Generalitat de Catalunya (Spain) [2016 BP 00151]</t>
  </si>
  <si>
    <t>Ministerio de Ciencia, Innovacion y Universidades (Spain)(Spanish Government); AEI/FEDER/UE; Ph.D. FPU scholarship - Spanish Government; Beatriu de Pinos postdoctoral fellowship from the Secretaria d'Universitats i Recerca del Departament d'Empresa i Coneixement de la Generalitat de Catalunya (Spain)</t>
  </si>
  <si>
    <t>This project was financed by the grant CTM2017-83319-P from the Ministerio de Ciencia, Innovacion y Universidades (Spain) and supported by AEI/FEDER/UE. OGG's work was funded through a Ph.D. FPU scholarship granted by the Spanish Government. MD was supported by a Beatriu de Pinos postdoctoral fellowship (2016 BP 00151) from the Secretaria d'Universitats i Recerca del Departament d'Empresa i Coneixement de la Generalitat de Catalunya (Spain). The authors are grateful to the members of the Spanish Army at the Gabriel de Castilla research station for their assistance and logistic support during our fieldwork on Deception Island. Constructive feedback from five anonymous reviewers substantially improved the manuscript.</t>
  </si>
  <si>
    <t>10.1016/j.scitotenv.2020.140210</t>
  </si>
  <si>
    <t>MR6RS</t>
  </si>
  <si>
    <t>WOS:000553721100010</t>
  </si>
  <si>
    <t>Ruiz-Fernández, J; Oliva, M; Otero, XL; García-Hernández, C</t>
  </si>
  <si>
    <t>Ruiz-Fernandez, Jesus; Oliva, Marc; Luis Otero, Xose; Garcia-Hernandez, Cristina</t>
  </si>
  <si>
    <t>Morphometric and sedimentological characteristics of Late Holocene earth hummocks in the Zackenberg Valley (NE Greenland)</t>
  </si>
  <si>
    <t>NE Greenland; Zackenberg Valley; Earth hummocks; Late Holocene; Morphometry; Cryosol</t>
  </si>
  <si>
    <t>SOIL PROPERTIES; ORGANIC-CARBON; ICE-SHEET; CLIMATE; IRON; PERMAFROST; AGE; STRATIGRAPHY; THUFUR; POUNUS</t>
  </si>
  <si>
    <t>A multi-approach characterization of three earth hummock fields has been conducted to understand the morphometrical characteristics and distribution pattern of these periglacial features in the Zackenberg Valley, NE Greenland. Earth hummocks develop in poorly-drained areas affected by intense cryogenic conditions. An accurate analysis of the morphometrical properties of hundreds of earth hummocks distributed between different Early Holocene moraine systems of the eastern slope of the Zackenberg Valley reveals an important control of microtopography on their distribution. Sedimentological analysis of selected earth hummocks shows evidence of alternating organic-rich layers and mineral units. Radiocarbon dates of the basal organic layers in contact with the permafrost table yielded ages 615 +/- 25 and 1755 +/- 60 cal yr BP, with lower sedimentation rates over the last centuries when soil formation prevailed. Geochemical analysis of the soils (Glacic Reductaquic Cryosols) showed also significant differences in the properties and composition among the soils of the different fields of hummocks. (c) 2020 Elsevier B.V. All rights reserved.</t>
  </si>
  <si>
    <t>[Ruiz-Fernandez, Jesus; Garcia-Hernandez, Cristina] Univ Oviedo, Dept Geog, C Amparo Pedregal S-N, Oviedo 33011, Asturias, Spain; [Oliva, Marc] Univ Barcelona, Dept Geog, Catalonia, Spain; [Luis Otero, Xose] Univ Santiago de Compostela, Fac Biol, CRETUS Inst, Dept Edafol &amp; Quim Agr, Santiago De Compostela, Spain</t>
  </si>
  <si>
    <t>University of Oviedo; University of Barcelona; Universidade de Santiago de Compostela</t>
  </si>
  <si>
    <t>Ruiz-Fernández, J (corresponding author), Univ Oviedo, Dept Geog, C Amparo Pedregal S-N, Oviedo 33011, Asturias, Spain.</t>
  </si>
  <si>
    <t>ruizjesus@uniovi.es</t>
  </si>
  <si>
    <t>; Oliva, Marc/K-5423-2014</t>
  </si>
  <si>
    <t>Ruiz-Fernandez, Jesus/0000-0001-7161-3320; Oliva, Marc/0000-0001-6521-6388</t>
  </si>
  <si>
    <t>Ramon y Cajal Program [RYC-2015-17597]; Government of Catalonia through the AGAUR agency [2017-SGR-1102]; Ministry of Economy of Spain [CTM2017-87976-P]</t>
  </si>
  <si>
    <t>Ramon y Cajal Program(Spanish Government); Government of Catalonia through the AGAUR agency; Ministry of Economy of Spain(Spanish Government)</t>
  </si>
  <si>
    <t>The authors are grateful to Zackenberg Polar Research Station for providing logistic support for the field work. Marc Oliva is supported by the Ramon y Cajal Program (RYC-2015-17597) and the Research Group ANTALP (Antarctic, Arctic, Alpine Environments; 2017-SGR-1102) funded by the Government of Catalonia through the AGAUR agency. The work was funded by the PALEOGREEN (CTM2017-87976-P) project of the Ministry of Economy of Spain. The Conselleria de Educacion, Universidade e Formacion Profesional-Xunta de Galicia (Axudas a consolidacion e estruturacion de unidades de investigacion competitivas do SUG del Plan Galego IDT, Ambiosol Group, ref. 2018-PG036).</t>
  </si>
  <si>
    <t>10.1016/j.scitotenv.2020.140281</t>
  </si>
  <si>
    <t>MR6TE</t>
  </si>
  <si>
    <t>WOS:000553724900012</t>
  </si>
  <si>
    <t>Benoît, HP; Kneebone, J; Tracey, SR; Bernal, D; Hartmann, K; Golet, W</t>
  </si>
  <si>
    <t>Benoit, Hugues P.; Kneebone, Jeff; Tracey, Sean R.; Bernal, Diego; Hartmann, Klaas; Golet, Walt</t>
  </si>
  <si>
    <t>Distinguishing discard mortality from natural mortality in field experiments based on electronic tagging</t>
  </si>
  <si>
    <t>Catch-and-release; Post-release mortality; Recreational fisheries; Parametric; survival modelling</t>
  </si>
  <si>
    <t>POSTRELEASE MORTALITY; BLUEFIN TUNA; FISHERIES; CAPTURE; SIZE; CONSERVATION; PREDATION; BEHAVIOR; MODEL; RATES</t>
  </si>
  <si>
    <t>Improvements in electronic tag technology have enhanced the ability to monitor the post-release fate of fish and estimate discard mortality rates (DM) under real-world conditions. However, correctly estimating DM requires disentangling the influence of capture-related mortality from natural (background) mortality (M), particularly when M rates are elevated. To accomplish this, many published studies have used an ad hoc and largely arbitrary approach, assuming that all mortality occurring during a finite, non-standard, pre-defined period following release is strictly DM, and all mortality occurring after this period is M. This approach may lead to biased estimates of DM, which we illustrate using a simulation. Here we extend an existing parametric survival model to independently estimate DM and M from electronic tagging data generated by two DM experiments conducted on southern bluefin (Thunnus maccoyii) and yellowfin (Thunnus albacores) tuna, species experiencing contrasting levels of M. In both cases, predation following release was an important cause of mortality that may have been facilitated by capture and discarding, and therefore part of DM or the DM experiment, or may have been natural. Using a multi-model approach based on model fit and biological plausibility, we consider different assumptions for these mortality processes and attempt to account for experimental (tag-induced) mortality. Despite the modest sample sizes of the case studies, we show how our approach can be used to provide bounds on the plausible magnitude of DM in support of possible subsequent fishery management actions such as the imposition of size limits or catch retention policies.</t>
  </si>
  <si>
    <t>[Benoit, Hugues P.] Fisheries &amp; Oceans Canada, Maurice Lamontagne Inst, Mont Joli, PQ G5H 3Z4, Canada; [Kneebone, Jeff] Anderson Cabot Ctr Ocean Life, New England Aquarium, Boston, MA 02110 USA; [Tracey, Sean R.; Hartmann, Klaas] Univ Tasmania, Inst Marine &amp; Antarctic Studies, Private Bag 49, Hobart, Tas 7001, Australia; [Bernal, Diego] Univ Massachusetts Dartmouth, Biol Dept, N Dartmouth, MA 02747 USA; [Golet, Walt] Univ Maine, Sch Marine Sci, 5706 Aubert Hall,RM 360, Orono, ME 04469 USA</t>
  </si>
  <si>
    <t>Fisheries &amp; Oceans Canada; University of Tasmania; University of Massachusetts System; University Massachusetts Dartmouth; University of Maine System; University of Maine Orono</t>
  </si>
  <si>
    <t>Benoît, HP (corresponding author), Fisheries &amp; Oceans Canada, Maurice Lamontagne Inst, Mont Joli, PQ G5H 3Z4, Canada.</t>
  </si>
  <si>
    <t>hugues.benoit@dfo-mpo.gc.ca</t>
  </si>
  <si>
    <t>Hartmann, Klaas/B-3991-2008; Tracey, Sean/J-7446-2014</t>
  </si>
  <si>
    <t>Tracey, Sean/0000-0002-6735-5899; Benoit, Hugues/0000-0002-0947-5278</t>
  </si>
  <si>
    <t>National Oceanic and Atmospheric Administration Saltonstall-Kennedy Grant Program [NA15NMF4270297]</t>
  </si>
  <si>
    <t>National Oceanic and Atmospheric Administration Saltonstall-Kennedy Grant Program</t>
  </si>
  <si>
    <t>This paper benefited from critical and constructive comments from two anonymous reviewers. Funding for the yellowfin tuna case study was provided by the National Oceanic and Atmospheric Administration Saltonstall-Kennedy Grant Program (Grant#NA15NMF4270297).</t>
  </si>
  <si>
    <t>10.1016/j.fishres.2020.105642</t>
  </si>
  <si>
    <t>WOS:000553385900020</t>
  </si>
  <si>
    <t>La Mesa, M; Guicciardi, S; Donato, F; Riginella, E; Schiavon, L; Papetti, C</t>
  </si>
  <si>
    <t>La Mesa, Mario; Guicciardi, Stefano; Donato, Fortunata; Riginella, Emilio; Schiavon, Luca; Papetti, Chiara</t>
  </si>
  <si>
    <t>Comparative analysis of otolith morphology in icefishes (Channichthyidae) applying different statistical classification methods</t>
  </si>
  <si>
    <t>Chionodraco; Otolith morphology; Shape indices; Fourier analysis</t>
  </si>
  <si>
    <t>SHAPE-ANALYSIS; FISH; SIZE; DISCRIMINATION; IDENTIFICATION; MORPHOMETRICS; TRENDS; DEPTH; TOOL</t>
  </si>
  <si>
    <t>The genus Chionodraco includes three morphologically similar species, two of them (C. hamatus and C. myersi) living sympatrically in the Eastern Antarctica, and the third one (C. rastrospinosus) being distributed in the Western Antarctica along the southern Scotia Arc. The few overlapping diagnostic characters are often useless for the right taxonomic identification of three species, complicated by the presence of hybrids between them. In the present study, we tested the discrimination power of sagittal otolith shape as a tool to distinguish among these closely related species. An array of shape indices and elliptic Fourier descriptors were individually obtained from sagittal otoliths and analysed using three different models for species classification: Linear Discriminant Analysis (LDA), Random Forest (RF) and K-nearest neighbour (KNN). According to the characteristics of the adopted metric (precision), none of the methods resulted to be the absolute best approach as the performance largely varied with the species. The overall precision was 63 %, 66 % and 70 % for LDA, RF and KNN respectively, so that KNN can be considered the best classifier model. As expected, C. myersi was the best recognized species by all classifier models, consistently with its morphological and phylogenetic difference from the other two species. Taking into account the observed pattern of otolith morphology of the three species and their own geographical distribution, we were able to evaluate the role of genetic, endogenous or environmental components in influencing otolith size and shape.</t>
  </si>
  <si>
    <t>[La Mesa, Mario] Area Ric Bologna, Inst Polar Sci ISP, CNR, Via P Gobetti 101, I-40129 Bologna, Italy; [Guicciardi, Stefano; Donato, Fortunata] CNR, Inst Biol Resources &amp; Marine Biotechnol Irb, I-60125 Ancona, Italy; [Riginella, Emilio] Zool Stn Anton Dohrn, I-80121 Naples, Italy; [Schiavon, Luca; Papetti, Chiara] Univ Padua, Dept Biol, Via G Colombo 3, I-35121 Padua, Italy</t>
  </si>
  <si>
    <t>Consiglio Nazionale delle Ricerche (CNR); Istituto di Scienze Polari (ISP-CNR); Consiglio Nazionale delle Ricerche (CNR); Istituto per le Risorse Biologiche Biotecnologie Marine (IRBIM-CNR); Stazione Zoologica Anton Dohrn di Napoli; University of Padua</t>
  </si>
  <si>
    <t>La Mesa, M (corresponding author), Area Ric Bologna, Inst Polar Sci ISP, CNR, Via P Gobetti 101, I-40129 Bologna, Italy.</t>
  </si>
  <si>
    <t>Riginella, Emilio/Q-2987-2019</t>
  </si>
  <si>
    <t>Riginella, Emilio/0000-0002-1442-8310; Guicciardi, Stefano/0000-0003-3539-2828; Donato, Fortunata/0009-0000-4836-8216; Schiavon, Luca/0000-0003-4298-8515; Papetti, Chiara/0000-0002-4567-459X</t>
  </si>
  <si>
    <t>Italian National Programme of Antarctic Research (PNRA) [2013/C1.07, 2016_00307]; European Marie Curie project Polarexpress [622320]; University of Padova BIRD grant [164793]</t>
  </si>
  <si>
    <t>Italian National Programme of Antarctic Research (PNRA); European Marie Curie project Polarexpress(European Union (EU)); University of Padova BIRD grant</t>
  </si>
  <si>
    <t>The authors would like to thank Magnus Lucassen, Nils Koschnick (Alfred Wegener Institute Helmholtz Centre for Polar and Marine Research, Bremerhaven, Germany) and the ship crew for their help in collecting samples onboard the R/V Polarstern, cruises ANT-XXVIII/4 and PS82. We would like to thank two anonymous reviewers for their useful comments, which greatly improved the early draft of the manuscript. This research was supported by the Italian National Programme of Antarctic Research (PNRA) projects 2013/C1.07 (to Mario La Mesa) and 2016_00307 (to Lorenzo Zane). Chiara Papetti acknowledges financial support from the European Marie Curie project Polarexpress grant n. 622320 and the University of Padova BIRD grant n.164793.</t>
  </si>
  <si>
    <t>10.1016/j.fishres.2020.105668</t>
  </si>
  <si>
    <t>WOS:000553385900036</t>
  </si>
  <si>
    <t>Milanese, FN; Olivero, EB; Slotznick, SP; Tobin, TS; Raffi, ME; Skinner, SM; Kirschvink, JL; Rapalini, AE</t>
  </si>
  <si>
    <t>Milanese, Florencia N.; Olivero, Eduardo B.; Slotznick, Sarah P.; Tobin, Thomas S.; Raffi, Maria E.; Skinner, Steven M.; Kirschvink, Joseph L.; Rapalini, Augusto E.</t>
  </si>
  <si>
    <t>Coniacian-Campanian magnetostratigraphy of the Marambio Group: The Santonian-Campanian boundary in the Antarctic Peninsula and the complete Upper Cretaceous - Lowermost Paleogene chronostratigraphical framework for the James Ross Basin</t>
  </si>
  <si>
    <t>Late Cretaceous; Ammonites; Paleomagnetism; Biostatigraphy; Cretaceous Normal Superchron; Coniacian-Santonian boundary</t>
  </si>
  <si>
    <t>BACK-ARC; ISLAND; STRATIGRAPHY; EVOLUTION; AMMONITES; PATTERNS; STRATA; ANDES; STAGE; FAN</t>
  </si>
  <si>
    <t>Recent magnetostratigraphic works from different areas of the James Ross Basin have expanded on chronostratigraphic studies previously based on ammonite, palynomorph and nanoplankton biostratigraphy, and strontium isotope stratigraphy. Here we present a new magnetostratigraphy of Coniacian through Campanian marine sedimentary rocks from Hidden Lake, Santa Marta and Snow Hill Island Formations, on northwest James Ross Island. A total of 189 paleomagnetic directions were obtained along more than 1500 m of stratigraphic thickness from Brandy Bay to Santa Marta Cove areas, identifying three polarity chrons of the global polarity time scale. The local magnetostratigraphic column starts in the upper part of the Cretaceous Normal Superchron C34N (Coniacian) and ends in Chron C33N (middle Campanian). The correlation between the magnetostratigraphy and the age framework given by ammonite biostratigraphy allowed the assignment of precise ages to particular horizons of the Santa Marta Formation. The newly identified geomagnetic polarity reversals are the earliest identified in the James Ross Basin and include: a) C34N/C33R (84.2 Ma, late Santonian - early Campanian) in the Alpha Member of the Santa Marta Formation and b) C33R/C33N (79.9 Ma, middle Campanian) in the upper Beta Member (Santa Marta Formation). By integrating this new data with previous work, we present a complete Upper Cretaceous - lowermost Paleogene chronostratigraphical framework for the basin, spanning both proximal to distal sedimentary facies of the Marambio Group.</t>
  </si>
  <si>
    <t>[Milanese, Florencia N.; Rapalini, Augusto E.] Inst Geociencias Basicas Aplicadas &amp; Ambientales, Buenos Aires, DF, Argentina; [Olivero, Eduardo B.] Consejo Nacl Invest Cient &amp; Tecn, Ctr Austral Invest Cient CADIC, Ushuaia, Tierra Del Fueg, Argentina; [Slotznick, Sarah P.] Dartmouth Coll, Dept Earth Sci, Hanover, NH 03755 USA; [Tobin, Thomas S.] Univ Alabama, Dept Geol Sci, Tuscaloosa, AL USA; [Raffi, Maria E.] UNDTF, Inst Ciencias Polares Ambiente &amp; Recursos Nat ICP, Ushuaia, Tierra Del Fueg, Argentina; [Skinner, Steven M.] Calif State Univ Sacramento, Dept Geol, Sacramento, CA 95819 USA; [Kirschvink, Joseph L.] CALTECH, Div Geol &amp; Planetary Sci, Pasadena, CA 91125 USA; [Kirschvink, Joseph L.] Tokyo Inst Technol, Earth Life Sci Inst, Meguro Ku, Tokyo, Japan</t>
  </si>
  <si>
    <t>Consejo Nacional de Investigaciones Cientificas y Tecnicas (CONICET); Dartmouth College; University of Alabama System; University of Alabama Tuscaloosa; California State University System; California State University Sacramento; California Institute of Technology; Tokyo Institute of Technology</t>
  </si>
  <si>
    <t>Milanese, FN (corresponding author), Intendente Guiraldes 2160,C1428EGA, Buenos Aires, DF, Argentina.</t>
  </si>
  <si>
    <t>fnmilanese@gl.fcen.uba.ar</t>
  </si>
  <si>
    <t>Kirschvink, Joseph L/U-5844-2017; Raffi, Eugenia/HTP-1654-2023</t>
  </si>
  <si>
    <t>Slotznick, Sarah/0000-0001-8374-3173; Tobin, Thomas/0000-0003-0992-7809</t>
  </si>
  <si>
    <t>NSF Office of Polar Programs [OPP-0739541, OPP-0739432, 1341729]; ANPCyT [PICTO 2010-0114]; UNTdF PID-A1; Universidad de Buenos Aires [UBACyT 20020130100465BA]; Directorate For Geosciences; Office of Polar Programs (OPP) [1341729] Funding Source: National Science Foundation</t>
  </si>
  <si>
    <t>NSF Office of Polar Programs(National Science Foundation (NSF)); ANPCyT(ANPCyT); UNTdF PID-A1; Universidad de Buenos Aires(University of Buenos Aires); Directorate For Geosciences; Office of Polar Programs (OPP)(National Science Foundation (NSF)NSF - Directorate for Geosciences (GEO))</t>
  </si>
  <si>
    <t>To the Instituto Antartico Argentino and the NSF Office of Polar Programs (Grants OPP-0739541 to J. Kirschvink and OPP-0739432 to P. Ward and E. Steig) for the logistic support during the Antarctic field seasons, and the NSF Office of Polar Programs for support of the laboratory work at Caltech (Grant #1341729 to JLK). Grants from ANPCyT (PICTO 2010-0114) and UNTdF PID-A1 to E. Olivero, and Universidad de Buenos Aires (UBACyT 20020130100465BA) to A. Rapalini provided additional support for this research. To Matias Nasselli for the rock magnetics analyses. Special thanks are due to Matias Vaca, Alvar Sobral, Hang Yu, Lewis Ward, Peter Ward, Eric Steig, Nick Swanson-Hysell, David J. Smith, Tomas Wagener, Tomaso Bontognali, Magalia Bonifacie, Lauren Edgar, Shane Schoepher, and Kelly Hillbun for their help during field work. By last, we would like to thank to Elisabet Beamud and to an anonymous reviewer, whose comments and suggestions helped us to improve the first version of this manuscript.</t>
  </si>
  <si>
    <t>10.1016/j.palaeo.2020.109871</t>
  </si>
  <si>
    <t>MP3WW</t>
  </si>
  <si>
    <t>WOS:000552137900018</t>
  </si>
  <si>
    <t>Scasso, RA; Prámparo, MB; Vellekoop, J; Franzosi, C; Castro, LN; Damsté, JSS</t>
  </si>
  <si>
    <t>Scasso, Roberto A.; Pramparo, Mercedes B.; Vellekoop, Johan; Franzosi, Corina; Castro, Liliana N.; Sinninghe Damste, Jaap S.</t>
  </si>
  <si>
    <t>A high-resolution record of environmental changes from a Cretaceous-Paleogene section of Seymour Island, Antarctica</t>
  </si>
  <si>
    <t>Sedimentology; Palynology; Biomarkers; K-Pg; Paleotemperatures</t>
  </si>
  <si>
    <t>JAMES-ROSS BASIN; DINOFLAGELLATE CYST BIOSTRATIGRAPHY; ORGANIC-WALLED PHYTOPLANKTON; TETRAETHER MEMBRANE-LIPIDS; SEA-LEVEL CHANGES; NEW-ZEALAND; BERTODANO FORMATION; TERTIARY BOUNDARY; PALYNOLOGICAL EVIDENCE; TEMPERATURE EVOLUTION</t>
  </si>
  <si>
    <t>A high-resolution sedimentological and palynological study was performed in combination with biomarker-based organic geochemical temperature proxies TEX86 and MBT'/CBT, on a 7.4-m-thick continuous section straddling the Cretaceous-Paleogene (K-Pg) boundary at Seymour Island, at the northern tip of the Antarctic Peninsula. The K-Pg interval of the Seymour Island section was deposited in a deltaic/estuarine system with considerable sedimentary input from the erosion of a distant volcanic arc at the Antarctic Peninsula, combined with ash fallouts from explosive volcanic eruptions. The Maastrichtian interval represents the prodelta of a delta prograding in a marginal marine setting, whereas the Paleocene interval was deposited in more open, shallow marine conditions, following sea-level rise and shoal submergence above the K-Pg boundary. Dinocyst biostratigraphy indicates that in the studied section the K-Pg boundary is represented by a gentle erosive surface, 30 cm below a partially-indurated, marker sandstone bed. The dinoflagellate assemblages show quantitative changes across the boundary. Representatives of Manumiella group together with abundant Palambages dominate the assemblages in the lower part of the section, i. e. below the K-Pg boundary. There is an evident peak of Fibrocysta/Ifecysta/Cordosphaeridium just above the boundary. In the upper part of the section, Senegalinium reaches relatively high abundance together with Impletosphaeridium clavus. While relatively high concentrations of soil-derived organic matter inhibit the use of the TEX86 paleothermometer to reconstruct sea surface temperatures, the MBT'/CBT paleothermometer indicates warm mean annual air temperatures for the latest Cretaceous (16.0-16.5 degrees C). These high temperatures, coinciding with the lowest abundance of the high-latitude pollen taxon Nothofagidites, may reflect the terminal Cretaceous Deccan Traps-warming pulse. Fluctuating temperatures followed in the early Paleocene, characterized by similar to 2 degrees drop in air temperatures, coincident with the maximum percentage of the high-latitude angiosperm Nothofagidites spp. and the cold-water dinocyst taxon Impletosphaeridium clavus. The recognition of ecological signals of disturbances and their relationship with short-term climatic and environmental changes, provides new insights related to the effect of the impact at the high-latitude K-Pg boundary of Antarctica.</t>
  </si>
  <si>
    <t>[Scasso, Roberto A.; Franzosi, Corina; Castro, Liliana N.] Univ Buenos Aires CONICET, Fac Ciencias Exactas &amp; Nat, Inst Geociencias Basicas Aplicadas &amp; Ambientales, Dept Ciencias Geol, Ciudad Univ,Pabellon 2, RA-1428 Buenos Aires, DF, Argentina; [Pramparo, Mercedes B.] CCT CONICET, IANIGLA, Mendoza, Argentina; [Vellekoop, Johan] Katholieke Univ Leuven, Div Geol, Dept Earth &amp; Environm Sci, Celestijnenlaan 200E, B-3001 Leuven, Belgium; [Sinninghe Damste, Jaap S.] NIOZ Royal Netherlands Inst Sea Res, Dept Marine Microbiol &amp; Biogeochem, POB 59, NL-1790 AB Den Burg, Texel, Netherlands; [Sinninghe Damste, Jaap S.] Univ Utrecht, POB 59, NL-1790 AB Den Burg, Texel, Netherlands; [Sinninghe Damste, Jaap S.] Univ Utrecht, Fac Geosci, Organ Geochem, Utrecht, Netherlands</t>
  </si>
  <si>
    <t>University of Buenos Aires; Consejo Nacional de Investigaciones Cientificas y Tecnicas (CONICET); Consejo Nacional de Investigaciones Cientificas y Tecnicas (CONICET); University Nacional Cuyo Mendoza; KU Leuven; Utrecht University; Royal Netherlands Institute for Sea Research (NIOZ); Utrecht University; Utrecht University</t>
  </si>
  <si>
    <t>Prámparo, MB (corresponding author), CCT CONICET, IANIGLA, Mendoza, Argentina.</t>
  </si>
  <si>
    <t>rscasso@gl.fcen.uba.ar; mprampar@mendoza-conicet.gob.ar; johan.vellekoop@kuleuven.be; jaap.damste@nioz.nl</t>
  </si>
  <si>
    <t>Damste, Jaap S Sinninghe/F-6128-2011; Vellekoop, Johan/F-6466-2017</t>
  </si>
  <si>
    <t>Vellekoop, Johan/0000-0001-6977-693X</t>
  </si>
  <si>
    <t>Universidad of Buenos Aires [PIP CONICET 112 20130100444 CO]; Consejo Nacional de Investigaciones Cientificas y Tecnicas (CONICET) [PIP CONICET 112 20130100444 CO]; Research Foundation Flanders (FWO) [12Z6618N]</t>
  </si>
  <si>
    <t>Universidad of Buenos Aires(University of Buenos Aires); Consejo Nacional de Investigaciones Cientificas y Tecnicas (CONICET)(Consejo Nacional de Investigaciones Cientificas y Tecnicas (CONICET)); Research Foundation Flanders (FWO)(FWO)</t>
  </si>
  <si>
    <t>We express our sincere thanks to the Editor-In-Chief (Prof. Thomas Algeo), to Dr. Howard Falcon-Lang (Editor) and to the reviewers for their helpful comments. We acknowledge the Instituto Antartico Argentino for the logistic support in the Antarctic fieldwork and the Universidad of Buenos Aires and the Consejo Nacional de Investigaciones Cientificas y Tecnicas (CONICET) for the financial support for the laboratory studies (PIP CONICET 112 20130100444 CO M. B. Pramparo). This work was also funded by the Research Foundation Flanders (FWO) grant 12Z6618N to J.V.</t>
  </si>
  <si>
    <t>10.1016/j.palaeo.2020.109844</t>
  </si>
  <si>
    <t>WOS:000552137900006</t>
  </si>
  <si>
    <t>Worne, S; Kender, S; Swann, GEA; Leng, MJ; Ravelo, AC</t>
  </si>
  <si>
    <t>Worne, Savannah; Kender, Sev; Swann, George E. A.; Leng, Melanie J.; Ravelo, Ana Christina</t>
  </si>
  <si>
    <t>Reduced upwelling of nutrient and carbon-rich water in the subarctic Pacific during the Mid-Pleistocene Transition</t>
  </si>
  <si>
    <t>MPT; Sea Ice; CO2; Bering Sea; Upwelling index</t>
  </si>
  <si>
    <t>MIDDLE PLEISTOCENE TRANSITION; BIOGENIC OPAL PRODUCTION; BERING-SEA; NORTH PACIFIC; SOUTHERN-OCEAN; DIOXIDE CONCENTRATION; ANTARCTIC CLIMATE; ICE VOLUME; SHELF-EDGE; EVOLUTION</t>
  </si>
  <si>
    <t>Reduction in atmospheric pCO(2) has been hypothesised as a causal mechanism for the Mid-Pleistocene Transition (MPT), which saw global cooling and increased duration of glacials between 0.6 and 1.2 Ma. Sea ice-modulated high latitude upwelling and ocean-atmospheric CO2 flux is considered a potential mechanism for pCO(2) decline, although there are no long-term nutrient upwelling records from high latitude regions to test this hypothesis. Using nitrogen isotopes and opal mass accumulation rates from 0 to 1.2 Ma, we calculate a continuous high resolution nutrient upwelling index for the Bering Sea and assess possible changes to regional CO2 fluxes and to the relative control of sea ice, sea level and glacial North Pacific Intermediate Water (GNPIW) on deep mixing and nutrient upwelling in the region. We find nutrient upwelling in the Bering Sea correlates with global ice volume and air temperature throughout the study interval. From similar to 1 Ma, and particularly during the 900 ka event, suppressed nutrient upwelling would have lowered oceanic fluxes of CO2 to the atmosphere supporting a reduction in global pCO(2) during the MPT. This timing is consistent with a pronounced increase in sea ice during the early Pleistocene and restriction of flow through the Bering Strait during glacials after similar to 900 ka, both of which would have acted to suppress upwelling. We suggest that sea-level modulated GNPIW expansion during glacials after 900 ka was the dominant control on subarctic Pacific upwelling strength during the mid-late Pleistocene, while sea ice variability played a secondary role.</t>
  </si>
  <si>
    <t>[Worne, Savannah; Swann, George E. A.] Univ Nottingham, Ctr Environm Geochem, Sch Geog, Nottingham NG7 2RD, England; [Kender, Sev] Univ Exeter, Camborne Sch Mines, Penryn Campus, Penryn TR10 9FE, Cornwall, England; [Kender, Sev; Leng, Melanie J.] British Geol Survey, Natl Environm Isotope Facil, Nottingham NG12 5GG, England; [Leng, Melanie J.] Univ Nottingham, Ctr Environm Geochem, Sch Biosci, Sutton Bonington Campus, Loughborough NE12 5RD, Leics, England; [Ravelo, Ana Christina] Univ Calif Santa Cruz, Santa Cruz, CA 95064 USA</t>
  </si>
  <si>
    <t>University of Nottingham; University of Exeter; UK Research &amp; Innovation (UKRI); Natural Environment Research Council (NERC); NERC British Geological Survey; University of Nottingham; University of California System; University of California Santa Cruz</t>
  </si>
  <si>
    <t>Worne, S (corresponding author), Univ Nottingham, Ctr Environm Geochem, Sch Geog, Nottingham NG7 2RD, England.;Kender, S (corresponding author), Univ Exeter, Camborne Sch Mines, Penryn Campus, Penryn TR10 9FE, Cornwall, England.</t>
  </si>
  <si>
    <t>savannah.worne@nottingham.ac.uk; s.kender@exeter.ac.uk; george.swann@nottingham.ac.uk; mjl@bgs.ac.uk; acr@ucsc.edu</t>
  </si>
  <si>
    <t>Swann, George/B-2794-2011; Worne, Savannah/AAB-8491-2022; Kender, Sev/B-9409-2016</t>
  </si>
  <si>
    <t>Swann, George/0000-0002-4750-9504; Worne, Savannah/0000-0001-7967-0864; Ravelo, Ana Christina/0000-0003-3929-677X; Kender, Sev/0000-0003-4216-3214</t>
  </si>
  <si>
    <t>Natural Environment Research Council (NERC) Envision DTP; CASE funding from the British Geological Survey; NERC Isotope Geosciences Facilities Steering Committee grant [IP-1674-1116]; NERC [bgs06003] Funding Source: UKRI</t>
  </si>
  <si>
    <t>Natural Environment Research Council (NERC) Envision DTP(UK Research &amp; Innovation (UKRI)Natural Environment Research Council (NERC)); CASE funding from the British Geological Survey; NERC Isotope Geosciences Facilities Steering Committee grant; NERC(UK Research &amp; Innovation (UKRI)Natural Environment Research Council (NERC))</t>
  </si>
  <si>
    <t>We would like to thank the International Ocean Drilling Program for providing samples as well as the Expedition 323 staff and crew of the JOIDES Resolution, and the curators at the Kochi Core Centre. This research was part of a PhD project funded by Natural Environment Research Council (NERC) Envision DTP, CASE funding from the British Geological Survey and NERC Isotope Geosciences Facilities Steering Committee grant IP-1674-1116 (to SK). SW performed the sample preparation, statistical analyses and led the writing of the manuscript. All authors assisted in writing and contributed to interpretations on the manuscript. SK conceived the overall project and isotope analyses were overseen by MJL and CR. We are also grateful to Dyke Andreasen and Colin Carney from the University of California Santa Cruz as well as Christopher Kendrick and Jack Lacey from the National Environmental Isotope Facility, for support with instrumentation and sample preparation. All data needed to evaluate the conclusions in the paper are present in the paper and/or the Supplementary Materials. Additional data related to this paper is available at www.pangaea.de, or may be requested from the authors.</t>
  </si>
  <si>
    <t>10.1016/j.palaeo.2020.109845</t>
  </si>
  <si>
    <t>WOS:000552137900007</t>
  </si>
  <si>
    <t>Spinelli, ML; Malits, A; Alonso, VAG; Martín, J; Capitanio, FL</t>
  </si>
  <si>
    <t>Spinelli, Mariela L.; Malits, Andrea; Garcia Alonso, Virginia A.; Martin, Jacobo; Capitanio, Fabiana L.</t>
  </si>
  <si>
    <t>Spatial gradients of spring zooplankton assemblages at the open ocean sub-Antarctic Namuncura Marine Protected Area/Burdwood Bank, SW Atlantic Ocean</t>
  </si>
  <si>
    <t>JOURNAL OF MARINE SYSTEMS</t>
  </si>
  <si>
    <t>Zooplankton biodiversity; Copepods; Spatial patterns; Trophic role of copepods; Sprattus fuegensis; NMPA/BB</t>
  </si>
  <si>
    <t>BURDWOOD BANK; FECAL PELLETS; SEA; ABUNDANCE; PLANKTON; BIOMASS; CARBON; SHELF; AREA; BIODIVERSITY</t>
  </si>
  <si>
    <t>The sub-Antarctic Namuncura Marine Protected Area at Burdwood Bank (NMPA/BB) is an area of favorable conditions for the development of planktonic organisms and the sustenance of numerous species of ecological importance. The current study aimed to evaluate the spatial distribution of the abundance, biomass, community structure, and functional diversity of the mesozooplankton from the NMPA/BB during spring 2014. We also assessed the potential of zooplankton as prey for upper trophic levels, in particular the larvae of the Fuegian sprat (Sprattus fuegensis), a key species in the food web of the NMPA/BB. A total of 26 zooplankton taxa were identified. Nauplii and copepods evidenced the highest abundances, with the latter representing the dominant group in terms of biomass. Copepods showed a strong eastward gradient in their abundance, biomass, and diversity. This spatial structure in the community composition seems to be modulated by a west-to-east decreasing trend in the size of available preys, with nano- and picoplankton playing a major role in the eastern part of the NMPA/BB. Such pattern would be, in turn, a consequence of productivity gradients along hydrographic features. The high abundance of nauplii and copepods suggests that spring is an appropriate time for their reproduction and, given their size structure, they represent an adequate food source for Fuegian sprat larvae. This would be enhanced by anticyclonic cells present in the NMPA/BB, which can gather and retain sprat larvae along with their zooplanktonic preys. The results of our study, which is the first comprehensive approach addressing the zooplanktonic indicators of the NMPA/BB, serve as a baseline for future ecosystem-based policies aiming to manage and protect the natural marine resources sheltered here.</t>
  </si>
  <si>
    <t>[Spinelli, Mariela L.; Garcia Alonso, Virginia A.; Capitanio, Fabiana L.] Univ Buenos Aires, Fac Ciencias Exactas &amp; Nat, Dept Biodiversidad &amp; Biol Expt, Intendente Guiraldes 2160,Ciudad Univ,C1428EGA, Buenos Aires, DF, Argentina; [Spinelli, Mariela L.; Garcia Alonso, Virginia A.; Capitanio, Fabiana L.] Univ Buenos Aires, Inst Biodiversidad &amp; Biol Expt &amp; Aplicada, Consejo Nacl Invest Cient &amp; Tecn, IBBEA, Intendente Guiraldes 2160,Ciudad Univ,C1428EGA, Buenos Aires, DF, Argentina; [Malits, Andrea; Martin, Jacobo] Ctr Austral Invest Cient CADIC CONICET, Bernardo Houssay 200,V9410CAB, Ushuaia, Tierra Fuego, Argentina</t>
  </si>
  <si>
    <t>University of Buenos Aires; University of Buenos Aires; Consejo Nacional de Investigaciones Cientificas y Tecnicas (CONICET); Consejo Nacional de Investigaciones Cientificas y Tecnicas (CONICET)</t>
  </si>
  <si>
    <t>Spinelli, ML (corresponding author), Univ Buenos Aires, Fac Ciencias Exactas &amp; Nat, Dept Biodiversidad &amp; Biol Expt, Intendente Guiraldes 2160,Ciudad Univ,C1428EGA, Buenos Aires, DF, Argentina.</t>
  </si>
  <si>
    <t>marielaspinelli@bg.fcen.uba.ar</t>
  </si>
  <si>
    <t>Martin, Jacobo/F-1388-2011</t>
  </si>
  <si>
    <t>Martin, Jacobo/0000-0001-8933-7731; Garcia Alonso, Virginia Andrea/0000-0003-2224-8376</t>
  </si>
  <si>
    <t>creation law of MPA Namuncura - Banco Burdwood [26.875]; CONICET-Argentina [PIP 11220150100109CO, PIP 11220150100368CO]; University of Buenos Aires, Argentina [UBACYT 20020160100045BA]</t>
  </si>
  <si>
    <t>creation law of MPA Namuncura - Banco Burdwood; CONICET-Argentina(Consejo Nacional de Investigaciones Cientificas y Tecnicas (CONICET)); University of Buenos Aires, Argentina(University of Buenos Aires)</t>
  </si>
  <si>
    <t>Operating costs were afforded by funds of the creation law of MPA Namuncura - Banco Burdwood (Law 26.875). This research is part of the Pampa Azul interministerial initiative promoted by the Argentina Ministry of Science, Technology and Productive Innovation. FC was funded by CONICET-Argentina (PIP 11220150100109CO 2015-2017) and the University of Buenos Aires, Argentina (UBACYT 20020160100045BA 2017-2020). AM was funded by CONICET-Argentina (PIP 11220150100368CO 2015-2017).</t>
  </si>
  <si>
    <t>0924-7963</t>
  </si>
  <si>
    <t>1879-1573</t>
  </si>
  <si>
    <t>J MARINE SYST</t>
  </si>
  <si>
    <t>J. Mar. Syst.</t>
  </si>
  <si>
    <t>10.1016/j.jmarsys.2020.103398</t>
  </si>
  <si>
    <t>Geosciences, Multidisciplinary; Marine &amp; Freshwater Biology; Oceanography</t>
  </si>
  <si>
    <t>Geology; Marine &amp; Freshwater Biology; Oceanography</t>
  </si>
  <si>
    <t>MO4BB</t>
  </si>
  <si>
    <t>WOS:000551472300005</t>
  </si>
  <si>
    <t>Milinevsky, G; Evtushevsky, O; Klekociuk, A; Wang, YK; Grytsai, A; Shulga, V; Ivaniha, O</t>
  </si>
  <si>
    <t>Milinevsky, Gennadi; Evtushevsky, Oleksandr; Klekociuk, Andrew; Wang, Yuke; Grytsai, Asen; Shulga, Valerii; Ivaniha, Oksana</t>
  </si>
  <si>
    <t>Early indications of anomalous behaviour in the 2019 spring ozone hole over Antarctica</t>
  </si>
  <si>
    <t>INTERNATIONAL JOURNAL OF REMOTE SENSING</t>
  </si>
  <si>
    <t>QUASI-BIENNIAL OSCILLATION; STATIONARY PLANETARY-WAVES; POLAR VORTEX; STRATOSPHERE; CIRCULATION; TROPOSPHERE; MESOSPHERE; EVOLUTION; IMPACTS</t>
  </si>
  <si>
    <t>The level of quasi-stationary planetary wave (QSW) activity in the Antarctic winter stratosphere provides insights into the likely behaviour of the ozone hole in the following spring months. Observation of anomalously large amplitude of the QSW in winter stratospheric temperatures is an indicator that strong disturbances to the polar vortex are likely to occur, and may lead to large reductions in both the area of the Antarctic ozone hole and the overall amount of stratospheric ozone that is depleted. In the sudden stratospheric warming (SSW) preconditions in 2019, the maximum QSW amplitude over Antarctica in August was approximately 12 K, which was only 2 K less than conditions prior to the unprecedented major SSW in 2002. The additional factors disturbing the Antarctic stratosphere in austral winter 2019 were anomalously warm sea surface temperatures in the central tropical Pacific Ocean and the western Indian Ocean, and the descending easterly phase of the Quasi-Biennial Oscillation. Under these preconditions, the Antarctic ozone hole in 2019 had the potential to demonstrate the early disruption and reduced level of the ozone depletion that has been confirmed by the satellite ozone observations. The anomalous ozone hole may also have important regional consequences for weather conditions in the Southern Hemisphere.</t>
  </si>
  <si>
    <t>[Milinevsky, Gennadi; Wang, Yuke; Shulga, Valerii] Jilin Univ, Coll Phys, Int Ctr Future Sci, Changchun, Peoples R China; [Milinevsky, Gennadi; Evtushevsky, Oleksandr; Grytsai, Asen; Ivaniha, Oksana] Taras Shevchenko Natl Univ Kyiv, Phys Fac, Kiev, Ukraine; [Milinevsky, Gennadi] Natl Antarctic Sci Ctr, Dept Atmosphere Phys, Kiev, Ukraine; [Klekociuk, Andrew] Australian Antarctic Div, Antarctica &amp; Global Syst, Kingston, Tas, Australia; [Klekociuk, Andrew] Univ Melbourne, Sch Earth Sci, Melbourne, Vic, Australia; [Shulga, Valerii] Natl Acad Sci Ukraine, Inst Radio Astron, Dept Millimeter Wave Radio Astron, Kharkiv, Ukraine</t>
  </si>
  <si>
    <t>Jilin University; Ministry of Education &amp; Science of Ukraine; Taras Shevchenko National University of Kyiv; Ministry of Education &amp; Science of Ukraine; State Institution National Antarctic Scientific Center; Australian Antarctic Division; University of Melbourne; Melbourne Bioinformatics; National Academy of Sciences Ukraine; Institute of Radio Astronomy of the National Academy of Sciences of Ukraine</t>
  </si>
  <si>
    <t>Milinevsky, G (corresponding author), Taras Shevchenko Natl Univ Kyiv, 64-13 Volodymyrska St, UA-01601 Kiev, Ukraine.</t>
  </si>
  <si>
    <t>genmilinevsky@gmail.com</t>
  </si>
  <si>
    <t>Evtushevsky, Oleksandr O.M./F-2065-2017; Milinevsky, Gennadi/AAD-8801-2019; Grytsai, Asen/AAS-7114-2020; Klekociuk, Andrew/A-4498-2015</t>
  </si>
  <si>
    <t>Evtushevsky, Oleksandr O.M./0000-0003-0582-559X; Milinevsky, Gennadi/0000-0002-2342-2615; Ivaniha, Oksana/0000-0003-2897-2736; Grytsai, Asen/0000-0002-2545-9833; Klekociuk, Andrew/0000-0003-3335-0034</t>
  </si>
  <si>
    <t>College of Physics, International Center of Future Science, Jilin University, China; Taras Shevchenko National University of Kyiv [19BF051-08]</t>
  </si>
  <si>
    <t>College of Physics, International Center of Future Science, Jilin University, China; Taras Shevchenko National University of Kyiv</t>
  </si>
  <si>
    <t>This work was supported in part by the College of Physics, International Center of Future Science, Jilin University, China; by Taras Shevchenko National University of Kyiv, project 19BF051-08. We thank the NOAA Climate Prediction Center, NCEP-NCAR reanalysis, NASA GSFC Atmospheric Chemistry and Dynamics Laboratory team, NASA GSFC Ozone Watch and Climate System Monitoring of Japan Meteorological Agency for data of the atmospheric parameters, Met Office Hadley Centre team for HadISST temperature data and the KNMI for the Climate Explorer research tool.</t>
  </si>
  <si>
    <t>0143-1161</t>
  </si>
  <si>
    <t>1366-5901</t>
  </si>
  <si>
    <t>INT J REMOTE SENS</t>
  </si>
  <si>
    <t>Int. J. Remote Sens.</t>
  </si>
  <si>
    <t>10.1080/2150704X.2020.1763497</t>
  </si>
  <si>
    <t>Remote Sensing; Imaging Science &amp; Photographic Technology</t>
  </si>
  <si>
    <t>MO1RY</t>
  </si>
  <si>
    <t>WOS:000551313300001</t>
  </si>
  <si>
    <t>Halfter, S; Cavan, EL; Swadling, KM; Eriksen, RS; Boyd, PW</t>
  </si>
  <si>
    <t>Halfter, Svenja; Cavan, Emma L.; Swadling, Kerrie M.; Eriksen, Ruth S.; Boyd, Philip W.</t>
  </si>
  <si>
    <t>The Role of Zooplankton in Establishing Carbon Export Regimes in the Southern Ocean - A Comparison of Two Representative Case Studies in the Subantarctic Region</t>
  </si>
  <si>
    <t>biological carbon pump; zooplankton; southern ocean; subpolar; carbon cycle</t>
  </si>
  <si>
    <t>IRON-FERTILIZED AREA; POLAR FRONTAL ZONES; FECAL PELLETS; PHYTOPLANKTON BLOOM; KERGUELEN PLATEAU; INVERSE RELATIONSHIP; COMMUNITY STRUCTURE; SEASONAL DYNAMICS; RESTING SPORES; COPEPODS</t>
  </si>
  <si>
    <t>Marine ecosystems regulate atmospheric carbon dioxide levels by transporting and storing photosynthetically fixed carbon in the ocean's interior. In particular, the subantarctic and polar frontal zone of the Southern Ocean is a significant region for physically driven carbon uptake due to mode water formation, although it is under-studied concerning biologically mediated uptake. Regional differences in iron concentrations lead to variable carbon export from the base of the euphotic zone. Contrary to our understanding of export globally, where high productivity results in high export, naturally iron-fertilized regions exhibit low carbon export relative to their surface productivity, while HNLC (High Nutrient, Low Chlorophyll) waters emerge as a significant area for carbon export. Zooplankton, an integral part of the oceanic food web, play an important role in establishing these main carbon export regimes. In this mini review, we explore this role further by focusing on the impact of grazing and the production of fecal pellets on the carbon flux. The data coverage in the subantarctic region will be assessed by comparing two case studies - the iron-replete Kerguelen Plateau and the HNLC region south of Australia. We then discuss challenges in evaluating the contributions of zooplankton to carbon flux, namely gaps in seasonal coverage of sampling campaigns, the use of non-standardized and biased methods and under-sampling of the mesopelagic zone, an important area of carbon remineralization. More integrated approaches are necessary to improve present estimates of zooplankton-mediated carbon export in the Southern Ocean.</t>
  </si>
  <si>
    <t>[Halfter, Svenja; Swadling, Kerrie M.; Eriksen, Ruth S.; Boyd, Philip W.] Univ Tasmania, Inst Marine &amp; Antarctic Studies, Hobart, Tas, Australia; [Cavan, Emma L.] Imperial Coll London, Dept Life Sci, Ascot, Berks, England; [Eriksen, Ruth S.] CSIRO Oceans &amp; Atmosphere, Hobart, Tas, Australia</t>
  </si>
  <si>
    <t>University of Tasmania; Imperial College London; Commonwealth Scientific &amp; Industrial Research Organisation (CSIRO)</t>
  </si>
  <si>
    <t>Halfter, S (corresponding author), Univ Tasmania, Inst Marine &amp; Antarctic Studies, Hobart, Tas, Australia.</t>
  </si>
  <si>
    <t>Svenja.Halfter@utas.edu.au</t>
  </si>
  <si>
    <t>Boyd, Philip W/J-7624-2014; Cavan, Emma/AFY-2671-2022; Halfter, Svenja/AGW-5810-2022; Eriksen, Ruth/J-7760-2014</t>
  </si>
  <si>
    <t>Halfter, Svenja/0000-0002-0480-0350; Eriksen, Ruth/0000-0002-5184-2465; Swadling, Kerrie/0000-0002-7620-841X</t>
  </si>
  <si>
    <t>Australian Research Council [FL160100131]; Natural Environment Research Council [NE/S000348/1]; NERC [NE/S000348/1] Funding Source: UKRI</t>
  </si>
  <si>
    <t>Australian Research Council(Australian Research Council); Natural Environment Research Council(UK Research &amp; Innovation (UKRI)Natural Environment Research Council (NERC)); NERC(UK Research &amp; Innovation (UKRI)Natural Environment Research Council (NERC))</t>
  </si>
  <si>
    <t>SH and PB were funded by the Australian Research Council through a Laureate awarded to PB (FL160100131). EC was supported by a Natural Environment Research Council grant NE/S000348/1. The Southern Ocean Time Series Observatory is part of the Integrated Marine Observing System (IMOS). IMOS is enabled by the National Collaborative Research Infrastructure Strategy (NCRIS). It is operated by a consortium of institutions as an unincorporated joint venture, with the University of Tasmania as Lead Agent.</t>
  </si>
  <si>
    <t>SEP 30</t>
  </si>
  <si>
    <t>10.3389/fmars.2020.567917</t>
  </si>
  <si>
    <t>OH6YE</t>
  </si>
  <si>
    <t>WOS:000582740800001</t>
  </si>
  <si>
    <t>Stec, D; Michalczyk, L</t>
  </si>
  <si>
    <t>Stec, Daniel; Michalczyk, Lukasz</t>
  </si>
  <si>
    <t>Macrobiotus coronifer Richters, 1903 (type species for Richtersius Pilato &amp; Binda, 1989): designating a new neotype from the original type locality described within the integrative taxonomy framework</t>
  </si>
  <si>
    <t>ZOOTAXA</t>
  </si>
  <si>
    <t>Europe; Eutardigrada; neotype; Nomenclature; Norway; Richtersiidae; Richtersius coronifer; Spitsbergen; Svalbard; taxonomy</t>
  </si>
  <si>
    <t>EUTARDIGRADA</t>
  </si>
  <si>
    <t>The designation of a neotype for Macrobiotus coronifer Richters, 1903 (now the type species of the genus Richtersius Pilato &amp; Binda, 1989) by Maucci &amp; Ramazzotti (1981) with type locality Bodo in Norway is shown to be invalid as it does not comply with the International Code of Zoological Nomenclature (Article 75.3.4). Furthermore, the specimen selected by Maucci &amp; Ramazzotti (1981) is not from the original type locality, and the superficial and outdated documentation prevent a reliable identification of the species. A Code-compliant neotype is therefore designated. The new neotype was collected from the original locus typicus in Svalbard and described with standard light microscopy, detailed scanning electron microscopy imaging, DNA barcodes and a transcriptome, which makes it ideally suited for stabilising the taxonomy and nomenclature of Richtersius coronifer (Richters, 1903).</t>
  </si>
  <si>
    <t>[Stec, Daniel; Michalczyk, Lukasz] Jagiellonian Univ, Inst Zool &amp; Biomed Res, Gronostajowa 9, PL-30387 Krakow, Poland</t>
  </si>
  <si>
    <t>Jagiellonian University</t>
  </si>
  <si>
    <t>Michalczyk, L (corresponding author), Jagiellonian Univ, Inst Zool &amp; Biomed Res, Gronostajowa 9, PL-30387 Krakow, Poland.</t>
  </si>
  <si>
    <t>daniel_stec@interia.eu; LM@tardigrada.net</t>
  </si>
  <si>
    <t>Michalczyk, Lukasz/D-1362-2009</t>
  </si>
  <si>
    <t>Michalczyk, Lukasz/0000-0002-2912-4870; Stec, Daniel/0000-0001-6876-0717</t>
  </si>
  <si>
    <t>European Commission's programme Transnational Access to Major Research Infrastructures [DK-TAF-2693]</t>
  </si>
  <si>
    <t>European Commission's programme Transnational Access to Major Research Infrastructures(European Union (EU)European Commission Joint Research Centre)</t>
  </si>
  <si>
    <t>We are immensely grateful to Thomas Pape (University of Copenhagen, Denmark), a member of the International Council of Zoological Nomenclature, for his invaluable help in solving this case and for his helpful comments on our manuscript. We also thank Roberto Guidetti (University of Modena, Italy) for the information on Maucci and Ramazzotti's neotype series of R. coronifer. Moreover, we would like to express our gratitude to Karin Hochberg (Senckenberg Museum of Natural History in Gorlitz, Germany) and Hieronymus Dastych (Zoological Museum in Hamburg, Germany) for information on Richters collection. Last but not least, we thank Sandra McInnes (British Antarctic Survey, UK) and Nigel Marley (University of Plymouth, UK) for their comments on the manuscript. The study was partially supported by the grant from the European Commission's programme Transnational Access to Major Research Infrastructures to SYNTHESYS (grant no. DK-TAF-2693 to DS).</t>
  </si>
  <si>
    <t>1175-5326</t>
  </si>
  <si>
    <t>1175-5334</t>
  </si>
  <si>
    <t>Zootaxa</t>
  </si>
  <si>
    <t>10.11646/zootaxa.4858.2.10</t>
  </si>
  <si>
    <t>NY2CJ</t>
  </si>
  <si>
    <t>WOS:000576203900004</t>
  </si>
  <si>
    <t>de Freitas, SC; Berneira, LM; dos Santos, MAZ; Poletti, T; Mansilla, A; Astorga-España, MS; Garcia, MO; Hartwig, DD; Hubner, SD; de Pereira, CMP</t>
  </si>
  <si>
    <t>de Freitas, Samantha C.; Berneira, Lucas M.; dos Santos, Marco A. Z.; Poletti, Tais; Mansilla, Andres; Astorga-Espana, Maria S.; Garcia, Marcelle O.; Hartwig, Daiane D.; Hubner, Silvia de O.; de Pereira, Claudio M. P.</t>
  </si>
  <si>
    <t>Bioactivity evaluation and composition of extracts from sub-Antarctic macroalgaeMazzaella laminarioidesat distinct development phases</t>
  </si>
  <si>
    <t>BRAZILIAN JOURNAL OF BOTANY</t>
  </si>
  <si>
    <t>Antimicrobial activity; Algae; Bioactive compounds; Cytotoxic assay; Gas chromatography; Rhodophyta</t>
  </si>
  <si>
    <t>ANTIMICROBIAL ACTIVITY; FATTY-ACID; RED-SEA; ANTIOXIDANT; SEAWEEDS; PINNATIFIDA; MECHANISMS; TOXICITY</t>
  </si>
  <si>
    <t>Sub-Antarctic macroalgae can be a feasible source of innumerous bioactive compounds that can display important biological activities. In this sense, the aims of this work were to evaluate the chemical composition, antimicrobial activity and cytotoxic potential ofn-hexane extracts from sub-Antarctic seaweedMazzaella laminarioides(Bory) Fredericq at distinct development phases. Results showed that extracts were constituted of as much as 65 distinct compounds that could be distributed mainly among hydrocarbons, fatty acids, sterols and fatty alcohols. Generally, there were significant differences (P &lt; 0.05) in the concentrations of compounds comparing distinct development phases. Antimicrobial evaluation indicated thatn-hexane extracts of cystocarpic and tetrasporophytic phase ofM. laminarioidesinhibited the growth of most organisms tested, reaching minimum inhibitory concentrations of 0.0312 mg mL(-1)againstEnterococcus faecalis(Andrewes and Horder) and 0.25 mg mL(-1)againstAcinetobacter baumannii(Bouvet and Grimont). Cytotoxic evaluation of extracts showed no toxicity to normal cells at concentrations below 1 mg mL(-1). Therefore,M. laminarioidesfrom the sub-Antarctic region had antimicrobial potential that could be explored on further commercial applications.</t>
  </si>
  <si>
    <t>[de Freitas, Samantha C.; Berneira, Lucas M.; dos Santos, Marco A. Z.; Poletti, Tais; de Pereira, Claudio M. P.] Univ Fed Pelotas, Bioforens Res Grp, Lipid &amp; Bioorgan Lab, Ctr Chem Pharmaceut &amp; Food Sci, Eliseu Maciel St S-N, BR-96900010 Pelotas, RS, Brazil; [Mansilla, Andres; Astorga-Espana, Maria S.] Univ Magallanes, Antarctic &amp; Subantarctic Marine Ecosyst Lab, Biodivers &amp; Ecol Inst, 01855 Bulnes Ave, Punta Arenas 6200000, Chile; [Garcia, Marcelle O.; Hartwig, Daiane D.] Univ Fed Pelotas, Mol Biol Microorganisms Lab, Dept Microbiol &amp; Parasitol, Eliseu Maciel St S-N, BR-96900010 Pelotas, RS, Brazil; [Hubner, Silvia de O.] Univ Fed Pelotas, Immunol &amp; Virol Lab, Vet Coll, Eliseu Maciel St S-N, BR-96900010 Pelotas, RS, Brazil</t>
  </si>
  <si>
    <t>Universidade Federal de Pelotas; Universidad de Magallanes; Universidade Federal de Pelotas; Universidade Federal de Pelotas</t>
  </si>
  <si>
    <t>de Pereira, CMP (corresponding author), Univ Fed Pelotas, Bioforens Res Grp, Lipid &amp; Bioorgan Lab, Ctr Chem Pharmaceut &amp; Food Sci, Eliseu Maciel St S-N, BR-96900010 Pelotas, RS, Brazil.</t>
  </si>
  <si>
    <t>lahbbioufpel@gmail.com</t>
  </si>
  <si>
    <t>Mansilla, Andres/0000-0003-3505-7018; Hartwig, Daiane/0000-0003-3604-0832; Astorga Espana, Maria Soledad/0000-0003-0647-7515</t>
  </si>
  <si>
    <t>National Council for Scientific and Technological Development (CNPq); Coordination for Improvement of Higher Level Personnel [CAPES-PGCI-99999.002378/2015]; Foundation for Research Support of the State of Rio Grande do Sul (FAPERGS)</t>
  </si>
  <si>
    <t>National Council for Scientific and Technological Development (CNPq)(Conselho Nacional de Desenvolvimento Cientifico e Tecnologico (CNPQ)); Coordination for Improvement of Higher Level Personnel; Foundation for Research Support of the State of Rio Grande do Sul (FAPERGS)(Fundacao de Amparo a Ciencia e Tecnologia do Estado do Rio Grande do Sul (FAPERGS))</t>
  </si>
  <si>
    <t>The authors are thankful to the Laboratory of Antarctic and sub-Antarctic Marine Ecosystems of the University of Magallanes and to the Immunology and Virology Laboratory of the Federal University of Pelotas. The authors are also grateful for the financial and fellowship support from the Brazilian research funding agencies National Council for Scientific and Technological Development (CNPq), Coordination for Improvement of Higher Level Personnel (CAPES-PGCI-99999.002378/2015) and Foundation for Research Support of the State of Rio Grande do Sul (FAPERGS).</t>
  </si>
  <si>
    <t>SOC BOTANICA SAO PAULO</t>
  </si>
  <si>
    <t>SAO PAULO</t>
  </si>
  <si>
    <t>CAIXA POSTAL 57088, SAO PAULO, SP 00000, BRAZIL</t>
  </si>
  <si>
    <t>0100-8404</t>
  </si>
  <si>
    <t>1806-9959</t>
  </si>
  <si>
    <t>BRAZ J BOT</t>
  </si>
  <si>
    <t>Braz. J. Bot.</t>
  </si>
  <si>
    <t>10.1007/s40415-020-00661-0</t>
  </si>
  <si>
    <t>SEP 2020</t>
  </si>
  <si>
    <t>OK3MK</t>
  </si>
  <si>
    <t>WOS:000574098900001</t>
  </si>
  <si>
    <t>Lannig, G; Tillmann, A; Howald, S; Stapp, LS</t>
  </si>
  <si>
    <t>Lannig, Gisela; Tillmann, Anette; Howald, Sarah; Stapp, Laura S.</t>
  </si>
  <si>
    <t>Thermal sensitivity of cell metabolism of different Antarctic fish species mirrors organism temperature tolerance</t>
  </si>
  <si>
    <t>Temperature; Polar; Icefish; Cell respiration; Cycloheximide; Protein synthesis</t>
  </si>
  <si>
    <t>COD GADUS-MORHUA; PROTEIN-SYNTHESIS; RAINBOW-TROUT; ATLANTIC COD; ENERGY BUDGETS; CLIMATE-CHANGE; GROWTH-RATES; ELEVATED CO2; ACCLIMATION; EVOLUTION</t>
  </si>
  <si>
    <t>Despite cold adaptation, Antarctic fish show lower growth than expected from the van't Hoff's Q(10)rule. Protein synthesis is one of the main energy-consuming processes, which is downregulated under energy deficiency. Considering the effect of temperature on growth performance, we tested if temperature-dependent cellular energy allocation to protein synthesis correlates with temperature-dependent whole-animal growth and thus thermal tolerance. Cell respiration and energy expenditure for protein synthesis were determined in hepatocytes of the circumpolar-distributed Antarctic eelpoutPachycara brachycephalumafter warm acclimation (0 degrees C vs 5 degrees C) and, of two notothenioids the sub-AntarcticLepidonotothen squamifronsand the high-Antarctic icefishChionodraco hamatus. We used intermittent-flow respirometry to analyse cellular response to acute warming from 5 to 10 degrees C (P. brachycephalum) and from 1 to 5 degrees C (L. squamifrons, C. hamatus). Warming-induced rise in respiration was similar between 0- and 5 degrees C-acclimatedP. brachycephalumand betweenL. squamifronsandC. hamatus. Irrespective of acclimation, warming decreased energy expenditure for protein synthesis inP. brachycephalum, which corresponds to reduced whole-animal growth at temperatures &gt; 5 degrees C. Warming doubled energy expenditure for protein synthesis inL. squamifronsbut had no effect onC. hamatusindicating thatL. squamifronsmight benefit from warmer waters. The species-specific temperature effect on energy expenditure for protein synthesis is discussed to mirror thermal sensitivity of whole-animal growth performance, thereby paralleling the degree of cold adaptation. Clearly more data are necessary including measurements at narrower temperature steps particularly forC. hamatusand an increased species' number per ecotype to reinforce presented link between cellular and whole-animal thermal sensitivity.</t>
  </si>
  <si>
    <t>[Lannig, Gisela; Tillmann, Anette; Howald, Sarah] Helmholtz Ctr Polar &amp; Marine Res, Integrat Ecophysiol, Alfred Wegener Inst, D-27570 Bremerhaven, Germany; [Stapp, Laura S.] Australian Inst Marine Sci, Darwin, NT 0811, Australia</t>
  </si>
  <si>
    <t>Helmholtz Association; Alfred Wegener Institute, Helmholtz Centre for Polar &amp; Marine Research; Australian Institute of Marine Science</t>
  </si>
  <si>
    <t>Lannig, G (corresponding author), Helmholtz Ctr Polar &amp; Marine Res, Integrat Ecophysiol, Alfred Wegener Inst, D-27570 Bremerhaven, Germany.</t>
  </si>
  <si>
    <t>Gisela.Lannig@awi.de</t>
  </si>
  <si>
    <t>10.1007/s00300-020-02752-w</t>
  </si>
  <si>
    <t>OC2UD</t>
  </si>
  <si>
    <t>WOS:000574134300001</t>
  </si>
  <si>
    <t>Chassignet, EP; Yeager, SG; Fox-Kemper, B; Bozec, A; Castruccio, F; Danabasoglu, G; Horvat, C; Kim, WM; Koldunov, N; Li, YW; Lin, PF; Liu, HL; Sein, DV; Sidorenko, D; Wang, Q; Xu, XB</t>
  </si>
  <si>
    <t>Chassignet, Eric P.; Yeager, Stephen G.; Fox-Kemper, Baylor; Bozec, Alexandra; Castruccio, Frederic; Danabasoglu, Gokhan; Horvat, Christopher; Kim, Who M.; Koldunov, Nikolay; Li, Yiwen; Lin, Pengfei; Liu, Hailong; Sein, Dmitry, V; Sidorenko, Dmitry; Wang, Qiang; Xu, Xiaobiao</t>
  </si>
  <si>
    <t>Impact of horizontal resolution on global ocean-sea ice model simulations based on the experimental protocols of the Ocean Model Intercomparison Project phase 2 (OMIP-2)</t>
  </si>
  <si>
    <t>MERIDIONAL OVERTURNING CIRCULATION; ANTARCTIC CIRCUMPOLAR CURRENT; NORTH-ATLANTIC SIMULATIONS; FLOE SIZE DISTRIBUTION; LAND SYSTEM MODEL; GENERAL-CIRCULATION; PART I; HEAT-TRANSPORT; ARCTIC-OCEAN; TEMPORAL VARIABILITY</t>
  </si>
  <si>
    <t>This paper presents global comparisons of fundamental global climate variables from a suite of four pairs of matched low- and high-resolution ocean and sea ice simulations that are obtained following the OMIP-2 protocol (Griffies et al., 2016) and integrated for one cycle (1958-2018) of the JRA55-do atmospheric state and runoff dataset (Tsujino et al., 2018). Our goal is to assess the robustness of climate-relevant improvements in ocean simulations (mean and variability) associated with moving from coarse (similar to 1 degrees) to eddy-resolving (similar to 0.1 degrees) horizontal resolutions. The models are diverse in their numerics and parameterizations, but each low-resolution and high-resolution pair of models is matched so as to isolate, to the extent possible, the effects of horizontal resolution. A variety of observational datasets are used to assess the fidelity of simulated temperature and salinity, sea surface height, kinetic energy, heat and volume transports, and sea ice distribution. This paper provides a crucial benchmark for future studies comparing and improving different schemes in any of the models used in this study or similar ones. The biases in the low-resolution simulations are familiar, and their gross features - position, strength, and variability of western boundary currents, equatorial currents, and the Antarctic Circumpolar Current - are significantly improved in the high-resolution models. However, despite the fact that the high-resolution models resolve most of these features, the improvements in temperature and salinity are inconsistent among the different model families, and some regions show increased bias over their low-resolution counterparts. Greatly enhanced horizontal resolution does not deliver unambiguous bias improvement in all regions for all models.</t>
  </si>
  <si>
    <t>[Chassignet, Eric P.; Bozec, Alexandra; Xu, Xiaobiao] Florida State Univ, Ctr Ocean Atmospher Predict Studies, Tallahassee, FL 32306 USA; [Yeager, Stephen G.; Castruccio, Frederic; Danabasoglu, Gokhan; Kim, Who M.] Natl Ctr Atmospher Res, POB 3000, Boulder, CO 80307 USA; [Fox-Kemper, Baylor; Horvat, Christopher] Brown Univ, Providence, RI 02912 USA; [Koldunov, Nikolay; Sein, Dmitry, V; Sidorenko, Dmitry; Wang, Qiang] Alfred Wegener Inst, Helmholtz Zentrum Polar &amp; Meeresforsch AWI, Bremerhaven, Germany; [Li, Yiwen; Lin, Pengfei; Liu, Hailong] Chinese Acad Sci, Inst Atmospher Phys, State Key Lab Numer Modeling Atmospher Sci &amp; Geop, Beijing, Peoples R China; [Sein, Dmitry, V] Russian Acad Sci, Shirshov Inst Oceanol, Moscow, Russia</t>
  </si>
  <si>
    <t>State University System of Florida; Florida State University; National Center Atmospheric Research (NCAR) - USA; Brown University; Helmholtz Association; Alfred Wegener Institute, Helmholtz Centre for Polar &amp; Marine Research; Chinese Academy of Sciences; Institute of Atmospheric Physics, CAS; Russian Academy of Sciences; Shirshov Institute of Oceanology</t>
  </si>
  <si>
    <t>Chassignet, EP (corresponding author), Florida State Univ, Ctr Ocean Atmospher Predict Studies, Tallahassee, FL 32306 USA.</t>
  </si>
  <si>
    <t>echassignet@fsu.edu</t>
  </si>
  <si>
    <t>Fox-Kemper, Baylor/A-1159-2007; Liu, Hailong/C-9566-2013; Sein, Dmitry/P-6419-2018; Koldunov, Nikolay V. V./A-5439-2011; Lin, Pengfei/AAJ-5379-2020; Sein, Dmitry/AAI-1352-2021; li, yiwen/ISB-4836-2023; Sein, Dmitry V/GLS-0252-2022; Kim, Who/F-5348-2018</t>
  </si>
  <si>
    <t>Fox-Kemper, Baylor/0000-0002-2871-2048; Liu, Hailong/0000-0002-8780-0398; Sein, Dmitry/0000-0002-1190-3622; Koldunov, Nikolay V. V./0000-0002-3365-8146; Lin, Pengfei/0000-0003-2361-0066; Sein, Dmitry/0000-0002-1190-3622; Li, Yiwen/0000-0003-2873-4287; Kim, Who/0000-0001-5754-9852</t>
  </si>
  <si>
    <t>NOAA [NA15OAR4320064, 5NA15OAR4310088, NA19OAR4310366]; NSF [1350795, 1537136, 1852977]; ONR [N00014-17-1-2393]; Deutsche Forschungsgemeinschaft [274762653]; European Union Horizon 2020 [727862 APPLICATE]; Ministry of Science and Higher Education of Russia [0149-20190015]; National Natural Science Foundation of China [41931183, 41976026]; Division Of Ocean Sciences; Directorate For Geosciences [1537136] Funding Source: National Science Foundation</t>
  </si>
  <si>
    <t>NOAA(National Oceanic Atmospheric Admin (NOAA) - USA); NSF(National Science Foundation (NSF)); ONR(Office of Naval Research); Deutsche Forschungsgemeinschaft(German Research Foundation (DFG)); European Union Horizon 2020; Ministry of Science and Higher Education of Russia; National Natural Science Foundation of China(National Natural Science Foundation of China (NSFC)); Division Of Ocean Sciences; Directorate For Geosciences(National Science Foundation (NSF)NSF - Directorate for Geosciences (GEO))</t>
  </si>
  <si>
    <t>This research has been supported by NOAA (award nos. NA15OAR4320064, 5NA15OAR4310088, and NA19OAR4310366), the NSF (award nos. 1350795, 1537136, and 1852977), the ONR (grant no. N00014-17-1-2393), the Deutsche Forschungsgemeinschaft (grant no. 274762653), European Union Horizon 2020 (grant no. 727862 APPLICATE), the the Ministry of Science and Higher Education of Russia (theme no. 0149-20190015), and the National Natural Science Foundation of China (grant nos. 41931183 and 41976026).</t>
  </si>
  <si>
    <t>SEP 29</t>
  </si>
  <si>
    <t>10.5194/gmd-13-4595-2020</t>
  </si>
  <si>
    <t>NY8XP</t>
  </si>
  <si>
    <t>WOS:000576667800001</t>
  </si>
  <si>
    <t>Sedlak, R; Zuhr, A; Schmidt, C; Wüst, S; Bittner, M; Didebulidze, GG; Price, C</t>
  </si>
  <si>
    <t>Sedlak, Rene; Zuhr, Alexandra; Schmidt, Carsten; Wuest, Sabine; Bittner, Michael; Didebulidze, Goderdzi G.; Price, Colin</t>
  </si>
  <si>
    <t>Intra-annual variations of spectrally resolved gravity wave activity in the upper mesosphere/lower thermosphere (UMLT) region</t>
  </si>
  <si>
    <t>LARGE-SCALE OSCILLATIONS; OH AIRGLOW; ROTATIONAL TEMPERATURES; MIDDLE ATMOSPHERE; MESOPAUSE TEMPERATURES; VERTICAL WAVELENGTHS; GENERAL-CIRCULATION; LIDAR OBSERVATIONS; THERMAL STRUCTURE; VARIABILITY</t>
  </si>
  <si>
    <t>The period range between 6 and 480 min is known to represent the major part of the gravity wave spectrum driving mesospheric dynamics. We present a method using wavelet analysis to calculate gravity wave activity with a high period resolution and apply it to temperature data acquired with the OH* airglow spectrometers called GRIPS (GRound-based Infrared P-branch Spectrometer) within the framework of the NDMC (Network for the Detection of Mesospheric Change; https://ndmc.dlr.de, last access: 22 September 2020). We analyse data measured at the NDMC sites Abastumani in Georgia (ABA; 41.75 degrees N, 42.82 degrees E), ALO-MAR (Arctic Lidar Observatory for Middle Atmosphere Research) in Norway (ALR; 69.28 degrees N, 16.01 degrees E), Neumayer Station III in the Antarctic (NEU; 70.67 degrees S, 8.27 degrees W), Observatoire de Haute-Provence in France (OHP; 43.93 degrees N, 5.71 degrees E), Oberpfaffenhofen in Germany (OPN; 48.09 degrees N, 11.28 degrees E), Sonnblick in Austria (SBO; 47.05 degrees N, 12.95 degrees E), Tel Aviv in Israel (TAV; 32.11 degrees N, 34.80 degrees E), and the Environmental Research Station Schneefernerhaus on top of Zugspitze mountain in Germany (UFS; 47.42 degrees N, 10.98 degrees E). All eight instruments are identical in construction and deliver consistent and comparable data sets. For periods shorter than 60 min, gravity wave activity is found to be relatively low and hardly shows any seasonal variability on the timescale of months. We find a semi-annual cycle with maxima during winter and summer for gravity waves with periods longer than 60 min, which gradually develops into an annual cycle with a winter maximum for longer periods. The transition from a semi-annual pattern to a primarily annual pattern starts around a gravity wave period of 200 min. Although there are indications of enhanced gravity wave sources above mountainous terrain, the overall pattern of gravity wave activity does not differ significantly for the abovementioned observation sites. Thus, largescale mechanisms such as stratospheric wind filtering seem to dominate the evolution of mesospheric gravity wave activity.</t>
  </si>
  <si>
    <t>[Sedlak, Rene; Zuhr, Alexandra; Bittner, Michael] Univ Augsburg, Inst Phys, Augsburg, Germany; [Zuhr, Alexandra; Schmidt, Carsten; Wuest, Sabine; Bittner, Michael] German Aerosp Ctr, German Remote Sensing Data Ctr, Oberpfaffenhofen, Germany; [Didebulidze, Goderdzi G.] Ilia State Univ, Georgian Natl Astrophys Observ, Tbilisi, GA USA; [Price, Colin] Tel Aviv Univ, Porter Sch Environm &amp; Earth Sci, Tel Aviv, Israel; [Zuhr, Alexandra] Helmholtz Ctr Polar &amp; Marine Res, Alfred Wegener Inst, Bremerhaven, Germany</t>
  </si>
  <si>
    <t>University of Augsburg; Helmholtz Association; German Aerospace Centre (DLR); Ilia State University; Tel Aviv University; Helmholtz Association; Alfred Wegener Institute, Helmholtz Centre for Polar &amp; Marine Research</t>
  </si>
  <si>
    <t>Sedlak, R (corresponding author), Univ Augsburg, Inst Phys, Augsburg, Germany.</t>
  </si>
  <si>
    <t>rene.sedlak@physik.uni-augsburg.de</t>
  </si>
  <si>
    <t>Didebulidze, Goderdzi/0000-0003-2024-2501; Zuhr, Alexandra Mirjam/0000-0002-3861-365X; Sedlak, Rene/0000-0003-4235-1100; Schmidt, Carsten/0000-0002-9580-724X; Wust, Sabine/0000-0002-0359-4946</t>
  </si>
  <si>
    <t>Bavarian State Ministry of the Environment and Consumer Protection [TKP01KPB-70581]</t>
  </si>
  <si>
    <t>Bavarian State Ministry of the Environment and Consumer Protection</t>
  </si>
  <si>
    <t>This research has been supported by the Bavarian State Ministry of the Environment and Consumer Protection (grant no. TKP01KPB-70581).</t>
  </si>
  <si>
    <t>10.5194/amt-13-5117-2020</t>
  </si>
  <si>
    <t>NY8WU</t>
  </si>
  <si>
    <t>Green Submitted, gold, Green Accepted</t>
  </si>
  <si>
    <t>WOS:000576665600002</t>
  </si>
  <si>
    <t>Jones, KA; Baylis, AMM; Orben, RA; Ratcliffe, N; Votier, SC; Newton, J; Staniland, IJ</t>
  </si>
  <si>
    <t>Jones, Kayleigh A.; Baylis, Alastair M. M.; Orben, Rachael A.; Ratcliffe, Norman; Votier, Stephen C.; Newton, Jason; Staniland, Iain J.</t>
  </si>
  <si>
    <t>Stable Isotope Values in South American Fur Seal Pup Whiskers as Proxies of Year-round Maternal Foraging Ecology</t>
  </si>
  <si>
    <t>MARINE BIOLOGY</t>
  </si>
  <si>
    <t>ARCTOCEPHALUS-AUSTRALIS; ENERGY ALLOCATION; MILK CONSUMPTION; NITROGEN-BALANCE; FEEDING ECOLOGY; ELEPHANT SEALS; CARBON; DELTA-N-15; STRATEGIES; DELTA-C-13</t>
  </si>
  <si>
    <t>Natural selection should favour strategies that maximise reproductive success. Females may use different resources during progressive stages of reproduction according to energetic demands, behavioural constraints and prey availability. We used South American fur seal, Arctocephalus australis australis, pup whisker isotope values as proxies for maternal diet and habitat use to determine how resource use (1) changes throughout pup development from in utero growth to mid-end of lactation and (2) how it differs among individuals. The longest whisker was cut from 5 male and 5 female fur seal pups (of approximately 8 months of age) at Bird Island, Falkland Islands, in 2018, and delta N-15 values and delta C-13 values were analysed every 5 mm along the length of each whisker. Patterns in delta C-13 values indicated that mothers used different habitats during the annual cycle, likely coinciding with seasonal shifts in prey availability or distribution. The individual specialisation index based on delta C-13 values was 0.34, indicating that adult females used different habitats, which could reduce intra-specific competition and ultimately enhance pup growth and survival. An increase in delta N-15 values occurred along every pup whisker from pup birth to mid-end of lactation, which likely reflected trophic enrichment related to suckling and fasting by pups, overriding the maternal isotopic signature. Pup whisker stable isotopes are useful proxies of maternal foraging ecology. However, physiological processes complicate interpretations by altering delta N-15 values. Interpreting these values therefore requires additional knowledge of the species' ecology and physiology.</t>
  </si>
  <si>
    <t>[Jones, Kayleigh A.; Ratcliffe, Norman; Staniland, Iain J.] British Antarctic Survey, Madingley Rd, Cambridge CB3 0ET, England; [Jones, Kayleigh A.; Votier, Stephen C.] Univ Exeter, Penryn Campus, Penryn TR10 9FE, Cornwall, England; [Baylis, Alastair M. M.] South Atlantic Environm Res Inst, POB 609, Stanley FIQQ 1ZZ, Falkland Island; [Baylis, Alastair M. M.] Macquarie Univ, Dept Biol Sci, Sydney, NSW 2109, Australia; [Orben, Rachael A.] Oregon State Univ, Hatfield Marine Sci Ctr, Dept Fisheries &amp; Wildlife, 2030 SE Marine Sci Dr, Newport, OR 97365 USA; [Newton, Jason] Scottish Univ Environm Res Ctr, Natl Environm Isotope Facil, Rankine Ave, E Kilbride G75 0QF, Lanark, Scotland</t>
  </si>
  <si>
    <t>UK Research &amp; Innovation (UKRI); Natural Environment Research Council (NERC); NERC British Antarctic Survey; University of Exeter; Macquarie University; Oregon State University; Scottish Universities Research &amp; Reactor Center</t>
  </si>
  <si>
    <t>Jones, KA (corresponding author), British Antarctic Survey, Madingley Rd, Cambridge CB3 0ET, England.;Jones, KA (corresponding author), Univ Exeter, Penryn Campus, Penryn TR10 9FE, Cornwall, England.</t>
  </si>
  <si>
    <t>kayleighannjones211@gmail.com</t>
  </si>
  <si>
    <t>Newton, Jason/A-9536-2009; Orben, Rachael A./H-9460-2019; Baylis, Alastair/H-9471-2019; Votier, Stephen/IUO-0154-2023; Staniland, Iain/I-4725-2012</t>
  </si>
  <si>
    <t>Newton, Jason/0000-0001-7594-3693; Orben, Rachael A./0000-0002-0802-407X; Baylis, Alastair/0000-0002-5167-0472; Votier, Stephen/0000-0002-0976-0167; Staniland, Iain/0000-0003-2736-9134; Jones, Kayleigh/0000-0001-9509-5185</t>
  </si>
  <si>
    <t>National Geographic Society [WW-260ER-17]; NERC Life Sciences Mass Spectrometry Facility [EK280-03/17]; NERC Great Western Four + Doctoral Training Partnership (GW4 + DTP) [NE/L002434/1]; NERC [bas0100035] Funding Source: UKRI</t>
  </si>
  <si>
    <t>National Geographic Society(National Geographic Society); NERC Life Sciences Mass Spectrometry Facility; NERC Great Western Four + Doctoral Training Partnership (GW4 + DTP); NERC(UK Research &amp; Innovation (UKRI)Natural Environment Research Council (NERC))</t>
  </si>
  <si>
    <t>This study was funded by the National Geographic Society (Early Career Explorers Grant; WW-260ER-17), the NERC Life Sciences Mass Spectrometry Facility (EK280-03/17) and the NERC Great Western Four + Doctoral Training Partnership (GW4 + DTP, NE/L002434/1).</t>
  </si>
  <si>
    <t>0025-3162</t>
  </si>
  <si>
    <t>1432-1793</t>
  </si>
  <si>
    <t>MAR BIOL</t>
  </si>
  <si>
    <t>Mar. Biol.</t>
  </si>
  <si>
    <t>10.1007/s00227-020-03760-4</t>
  </si>
  <si>
    <t>Marine &amp; Freshwater Biology</t>
  </si>
  <si>
    <t>NZ2AQ</t>
  </si>
  <si>
    <t>WOS:000576897900001</t>
  </si>
  <si>
    <t>Barry, L; Graham, IT; Mooney, SD; Toms, PS; Wood, JC; Williams, AN</t>
  </si>
  <si>
    <t>Barry, Laressa; Graham, Ian T.; Mooney, Scott D.; Toms, Phil S.; Wood, Jamie C.; Williams, Alan N.</t>
  </si>
  <si>
    <t>Tracking an exotic raw material: Aboriginal movement through the Blue Mountains, Sydney, NSW during the Terminal Pleistocene</t>
  </si>
  <si>
    <t>AUSTRALIAN ARCHAEOLOGY</t>
  </si>
  <si>
    <t>Compliance-based archaeology; Parramatta River; alluvial terrace; exotic raw material; medium-grained porphyroblastic andalusite-cordierite hornfels</t>
  </si>
  <si>
    <t>LAST GLACIAL MAXIMUM; HIGH COUNTRY; SINGLE; LUMINESCENCE; AUSTRALIA; QUARTZ; VEGETATION; MODELS</t>
  </si>
  <si>
    <t>A compliance-based excavation on Parramatta River (western Sydney) found evidence of a brief visitation by Aboriginal people during the terminal Pleistocene (c.14 ka), from which an exotic raw material-medium-grained porphyroblastic andalusite-cordierite hornfels-was recovered. This raw material is rare in the region, only found in the Megalong Valley situated some 75 km west of the site in Parramatta, and separated from the site by the Blue Mountains-a 40 km wide, 1 km high dissected sandstone upland. Historical observations and geological evidence suggest that the Coxs River, which runs through the upland, formed the probable connection between the two locales. The formation of the site at c.14 ka, along with our broader understanding of the region, suggests that the upland was only explored after the Last Glacial Maximum (LGM) and that the Great Dividing Range may have formed a significant barrier to early peopling of Sahul. Further, a delay between the end of the LGM and the exploration of the region implies populations were severely affected by the event and required considerable time to recover. The coincident timing of rapid sea-level rise from Meltwater Phase Pulse 1A and an increased supply of moisture associated with the Antarctic Climate Reversal at the time of many site initiations may have been factors in the upland and south west slopes visitation. Finally, the movement of the unusual hornfels artefact provides a coarse indication of the ranging territory for hunter-gatherers living in a temperate region (c. 8,000 km(2)) at this time. This is probably a lower estimate but begins to provide a quantitative value with which to begin to ratify the increasing divergence between archaeological and genomic studies in their definitions of mobility, sedentism and regional nomadism.</t>
  </si>
  <si>
    <t>[Barry, Laressa] Extent Heritage Pty Ltd, 3-73 Union St, Pyrmont, NSW 2009, Australia; [Graham, Ian T.; Mooney, Scott D.] Univ New South Wales, Sch Biol Earth &amp; Environm Sci, Sydney, NSW, Australia; [Toms, Phil S.; Wood, Jamie C.] Univ Gloucestershire, Luminescence Dating Lab, Cheltenham, Glos, England; [Williams, Alan N.] EMM Consulting Pty Ltd, St Leonards, NSW, Australia; [Williams, Alan N.] Univ New South Wales, ARC Ctr Excellence Australian Biodivers &amp; Heritag, Sch Biol Earth &amp; Environm Sci, Sydney, NSW, Australia</t>
  </si>
  <si>
    <t>University of New South Wales Sydney; University of Gloucestershire; University of New South Wales Sydney</t>
  </si>
  <si>
    <t>Barry, L (corresponding author), Extent Heritage Pty Ltd, 3-73 Union St, Pyrmont, NSW 2009, Australia.</t>
  </si>
  <si>
    <t>lbarry@extent.com.au</t>
  </si>
  <si>
    <t>Toms, Phillip/0000-0003-2149-046X; Williams, Alan/0000-0003-4133-4229; Wood, Jamie/0000-0003-0923-5511</t>
  </si>
  <si>
    <t>NSW Department of Education [SSD 15 7372]</t>
  </si>
  <si>
    <t>NSW Department of Education</t>
  </si>
  <si>
    <t>This project was undertaken and funded as part of the proposed re-development of Old Kings School [Project Approval #SSD 15 7372] by the NSW Department of Education.</t>
  </si>
  <si>
    <t>0312-2417</t>
  </si>
  <si>
    <t>2470-0363</t>
  </si>
  <si>
    <t>AUST ARCHAEOL</t>
  </si>
  <si>
    <t>Austral. Archaeol.</t>
  </si>
  <si>
    <t>10.1080/03122417.2020.1823086</t>
  </si>
  <si>
    <t>Anthropology; Archaeology</t>
  </si>
  <si>
    <t>Social Science Citation Index (SSCI); Arts &amp; Humanities Citation Index (A&amp;HCI)</t>
  </si>
  <si>
    <t>RO9LB</t>
  </si>
  <si>
    <t>WOS:000574194300001</t>
  </si>
  <si>
    <t>Capasso, S; Servián, A; Tkach, VV; Diaz, JI</t>
  </si>
  <si>
    <t>Capasso, Sofia; Servian, Andrea; Tkach, Vasyl V.; Diaz, Julia I.</t>
  </si>
  <si>
    <t>Notocotylus chionis(Trematoda: Notocotylidae) andNotocotylussp. from shorebirds in southern Patagonian wetlands of Argentina: morphological and molecular studies</t>
  </si>
  <si>
    <t>Notocotylidae; Systematics; 28S rDNA; Phylogeny; Shorebirds; Patagonia</t>
  </si>
  <si>
    <t>N. SP DIGENEA; PARASITES; CHARADRIIFORMES; TREMATODES; GASTROPODA; ALASKA</t>
  </si>
  <si>
    <t>Southernmost South America provides significant wintering habitats for migrant shorebirds, most of which breed in the High Arctic tundra. Helminth species parasitizing these migratory birds have been well studied in North America; however, in South America they are poorly known. As part of an ongoing research on the helminth fauna from Patagonian birds in Argentina, we reportNotocotylus chionisandNotocotylussp. (Trematoda: Notocotylidae) parasitizing three shorebird species, the Nearctic migrantsCalidris fuscicollis(WRSA) andCalidris bairdii(BASA) (Scolopacidae), and the NeotropicalCharadrius falklandicus(TBPL) (Charadriidae). We provide a new morphological description ofN. chionisconsidering that the previous one reported from the snowy sheathbill on Subantarctic islands are incomplete and based on few specimens. We also provided a morphometric characterization ofNotocotylussp. We obtained molecular data which confirmed the identification of specimens recovered from WRSA and TBPL asN. chionis. Phylogenetic analysis based on 28S ribosomal DNA sequences was performed. The results placedN. chionisclose to other Patagonian species native to South America (i.e.N. primulus).Notocotylus chioniswas found previously in the snowy sheathbill which inhabits in coasts of southern South America, Antarctic Peninsula and surrounding islands. Present finding in resident birds (TBPL) allows us to hypothesize thatN. chionisis a Neotropical species whose life cycle is being completed in southern South America and Subantarctic islands and represents a valuable contribution to the knowledge of parasite diversity in the austral subpolar region of the western hemisphere.</t>
  </si>
  <si>
    <t>[Capasso, Sofia; Servian, Andrea; Diaz, Julia I.] UNLP, Ctr Estudios Parasitol &amp; Vectores CEPAVE, FCNyM, CONICET, Blvd 120 S-N E-61 &amp; 62, RA-1900 La Plata, Argentina; [Tkach, Vasyl V.] Univ North Dakota, Dept Biol, Grand Forks, ND 58202 USA</t>
  </si>
  <si>
    <t>Consejo Nacional de Investigaciones Cientificas y Tecnicas (CONICET); National University of La Plata; University of North Dakota Grand Forks</t>
  </si>
  <si>
    <t>Capasso, S (corresponding author), UNLP, Ctr Estudios Parasitol &amp; Vectores CEPAVE, FCNyM, CONICET, Blvd 120 S-N E-61 &amp; 62, RA-1900 La Plata, Argentina.</t>
  </si>
  <si>
    <t>capasso.sofia@gmail.com</t>
  </si>
  <si>
    <t>Capasso, Sofía/AAU-7684-2021</t>
  </si>
  <si>
    <t>Capasso, Sofía/0000-0002-7512-7458; Tkach, Vasyl/0000-0001-5084-7566</t>
  </si>
  <si>
    <t>ANPCyT [PICT 525]; CONICET [PIP 698]; UNLP [N758, N859]; U.S. National Science Foundation [DEB-1120734]</t>
  </si>
  <si>
    <t>ANPCyT(ANPCyT); CONICET(Consejo Nacional de Investigaciones Cientificas y Tecnicas (CONICET)); UNLP(National University of La Plata); U.S. National Science Foundation(National Science Foundation (NSF))</t>
  </si>
  <si>
    <t>This study was funded by Grants from ANPCyT (PICT 525 to JID), CONICET (PIP 698 to JID), and UNLP (N758, N859 to JID) and the U.S. National Science Foundation Grant #DEB-1120734 to VVT.</t>
  </si>
  <si>
    <t>10.1007/s00300-020-02753-9</t>
  </si>
  <si>
    <t>WOS:000573753100001</t>
  </si>
  <si>
    <t>Johnson, GC; Cadot, C; Lyman, JM; MeTaggart, KE; Steffen, EL</t>
  </si>
  <si>
    <t>Johnson, Gregory C.; Cadot, Chanelle; Lyman, John M.; MeTaggart, Kristen E.; Steffen, Elizabeth L.</t>
  </si>
  <si>
    <t>Antarctic Bottom Water Warming in the Brazil Basin: 1990s Through 2020, From WOCE to Deep Argo</t>
  </si>
  <si>
    <t>ocean warming; Deep Argo; Antarctic Bottom Water</t>
  </si>
  <si>
    <t>WESTERN SOUTH-ATLANTIC; OCEAN; ABYSSAL; SECTION; HEAT</t>
  </si>
  <si>
    <t>A warming trend of 2.1 (+/- 0.4) m degrees C yr(-1)in bottom waters (4,500 to 5,900 dbar) spreading north from Antarctica through the Brazil Basin is quantified by comparing 2019-2020 data from a new Deep Argo regional pilot array to 1989-1995 data from full-depth zonal and meridional hydrographic sections occupied across the basin before and during the World Ocean Circulation Experiment (WOCE). Additionally, float temperatures are about 0.046 degrees C warmer than those from a long-term climatology in those same bottom waters. Lower North Atlantic Deep Water in the basin shows no detectable warming, but Upper North Atlantic Deep Water exhibits evidence of warming in both analyses. The bottom-intensified warming results in a reduction in vertical density stratification between the bottom and deep waters of about 1% per decade. This change is in contrast with the effects of surface-intensified warming, which tends to increase vertical density stratification.</t>
  </si>
  <si>
    <t>[Johnson, Gregory C.; Cadot, Chanelle; Lyman, John M.; MeTaggart, Kristen E.; Steffen, Elizabeth L.] NOAA, Pacific Marine Environm Lab, 7600 Sand Point Way Ne, Seattle, WA 98115 USA; [Cadot, Chanelle; Lyman, John M.; Steffen, Elizabeth L.] Univ Hawaii Manoa, JIMAR, Honolulu, HI 96822 USA</t>
  </si>
  <si>
    <t>National Oceanic Atmospheric Admin (NOAA) - USA; University of Hawaii System; University of Hawaii Manoa</t>
  </si>
  <si>
    <t>Johnson, GC (corresponding author), NOAA, Pacific Marine Environm Lab, 7600 Sand Point Way Ne, Seattle, WA 98115 USA.</t>
  </si>
  <si>
    <t>gregory.c.johnson@noaa.gov</t>
  </si>
  <si>
    <t>Johnson, Gregory C/I-6559-2012</t>
  </si>
  <si>
    <t>Johnson, Gregory C/0000-0002-8023-4020; Lyman, John/0000-0002-7200-4663</t>
  </si>
  <si>
    <t>Paul G. Allen Family Foundation; NOAA Global Ocean Monitoring and Observation Program; NOAA Research</t>
  </si>
  <si>
    <t>Paul G. Allen Family Foundation; NOAA Global Ocean Monitoring and Observation Program(National Oceanic Atmospheric Admin (NOAA) - USA); NOAA Research(National Oceanic Atmospheric Admin (NOAA) - USA)</t>
  </si>
  <si>
    <t>Thanks to all those who helped to collect, process, and calibrate the data from the WOCE oceanographic sections and WOA18 climatology analyzed here. We are also grateful for Deep Argo float deployment assistance from the crews and science parties of the RRS Discovery, the R/V Petrel, the R/V Thomas G. Thompson, and the NOAA Ship Ronald H. Brown. MRV Systems built the Deep Argo floats used here using a design (Deep SOLO) licensed from the Scripps Institution of Oceanography (SIO) Instrument Development Group. We are grateful to that group, the Argo Group at SIO, and MRV Systems for their Deep SOLO advice and assistance, as well as Linus Kamb and Willa Zhu for IT assistance. We thank the Editor and two anonymous reviewers for their constructive criticism, which helped to improve the manuscript. This work was supported by the Paul G. Allen Family Foundation, the NOAA Global Ocean Monitoring and Observation Program, and NOAA Research. PMEL Contribution 5105.</t>
  </si>
  <si>
    <t>SEP 28</t>
  </si>
  <si>
    <t>e2020GL089191</t>
  </si>
  <si>
    <t>10.1029/2020GL089191</t>
  </si>
  <si>
    <t>NY8LL</t>
  </si>
  <si>
    <t>WOS:000576634400048</t>
  </si>
  <si>
    <t>Killingbeck, SF; Schmerr, NC; Montgomery, LN; Booth, AD; Livermore, PW; Guandique, J; Miller, OL; Burdick, S; Forster, RR; Koenig, LS; Legchenko, A; Ligtenberg, SRM; Miège, C; Solomon, DK; West, LJ</t>
  </si>
  <si>
    <t>Killingbeck, S. F.; Schmerr, N. C.; Montgomery, L. N.; Booth, A. D.; Livermore, P. W.; Guandique, J.; Miller, O. L.; Burdick, S.; Forster, R. R.; Koenig, L. S.; Legchenko, A.; Ligtenberg, S. R. M.; Miege, C.; Solomon, D. K.; West, L. J.</t>
  </si>
  <si>
    <t>Integrated Borehole, Radar, and Seismic Velocity Analysis Reveals Dynamic Spatial Variations Within a Firn Aquifer in Southeast Greenland</t>
  </si>
  <si>
    <t>seismic; firn aquifer; Greenland</t>
  </si>
  <si>
    <t>MELTWATER STORAGE; EASTERN GREENLAND; ICE; GLACIER; FLOW</t>
  </si>
  <si>
    <t>Perennial water storage in firn aquifers has been observed within the lower percolation zone of the southeast Greenland ice sheet. Spatially distributed seismic and radar observations, made similar to 50 km upstream of the Helheim Glacier terminus, reveal spatial variations of seismic velocity within a firn aquifer. From 1.65 to 1.8 km elevation, shear-wave velocity (Vs) is 1,290 +/- 180 m/s in the unsaturated firn, decreasing below the water table (similar to 15 m depth) to 1,130 +/- 250 m/s. Below 1.65 km elevation,Vsin the saturated firn is 1,270 +/- 220 m/s. The compressional-to-shear velocity ratio decreases in the downstream saturated zone, from 2.30 +/- 0.54 to 2.01 +/- 0.46, closer to its value for pure ice (2.00). Consistent with colocated firn cores, these results imply an increasing concentration of ice in the downstream sites, reducing the porosity and storage potential of the firn likely caused by episodic melt and freeze during the evolution of the aquifer.</t>
  </si>
  <si>
    <t>[Killingbeck, S. F.; Booth, A. D.; Livermore, P. W.; West, L. J.] Univ Leeds, Sch Earth &amp; Environm, Leeds, W Yorkshire, England; [Schmerr, N. C.; Guandique, J.] Univ Maryland, Dept Geol, College Pk, MD 20742 USA; [Montgomery, L. N.] Univ Colorado, Atmospher &amp; Ocean Sci Dept, Boulder, CO 80309 USA; [Miller, O. L.] US Geol Survey, Utah Water Sci Ctr, West Valley City, UT USA; [Burdick, S.] Wayne State Univ, Dept Geol, Detroit, MI USA; [Forster, R. R.] Univ Utah, Dept Geog, Salt Lake City, UT USA; [Koenig, L. S.] Univ Colorado, Natl Snow &amp; Ice Data Ctr, Boulder, CO 80309 USA; [Legchenko, A.] IRD Res Inst Dev, Inst Geosci Environm, Marseille, France; [Ligtenberg, S. R. M.] Univ Utrecht, Inst Marine &amp; Atmospher Res Utrecht, Utrecht, Netherlands; [Miege, C.] Rutgers State Univ, Dept Geog, New Brunswick, NJ USA; [Solomon, D. K.] Univ Utah, Dept Geol &amp; Geophys, Salt Lake City, UT 84112 USA</t>
  </si>
  <si>
    <t>University of Leeds; University System of Maryland; University of Maryland College Park; University of Colorado System; University of Colorado Boulder; United States Department of the Interior; United States Geological Survey; Wayne State University; Utah System of Higher Education; University of Utah; University of Colorado System; University of Colorado Boulder; Utrecht University; Rutgers University System; Rutgers University New Brunswick; Utah System of Higher Education; University of Utah</t>
  </si>
  <si>
    <t>Killingbeck, SF (corresponding author), Univ Leeds, Sch Earth &amp; Environm, Leeds, W Yorkshire, England.</t>
  </si>
  <si>
    <t>cespr@leeds.ac.uk</t>
  </si>
  <si>
    <t>Burdick, Scott/JAN-4687-2023; Schmerr, Nicholas/D-7338-2012; Legchenko, Anatoly/L-1706-2016; Solomon, Douglas Kip/C-7951-2016</t>
  </si>
  <si>
    <t>Burdick, Scott/0000-0002-0005-9171; Livermore, Philip/0000-0001-7591-6716; Schmerr, Nicholas/0000-0002-3256-1262; Miller, Olivia/0000-0002-8846-7048; KOENIG, LORA/0000-0002-6057-8483; Solomon, Douglas Kip/0000-0001-6370-7124; Booth, Adam/0000-0002-8166-9608; killingbeck, siobhan/0000-0001-8405-7212; West, Landis Jared/0000-0002-3441-0433</t>
  </si>
  <si>
    <t>Antarctic Science Ltd.; UK NERC SPHERES DTP [NE/L002574/1]; National Science Foundation Office of Polar Programs [NSF1417993]; National Science Foundation's Seismological Facilities for the Advancement of Geoscience (SAGE) Award [OPP-1851037]; Polar Geospatial Center under NSF-OPP awards [1043681, 1559691, 1542736]</t>
  </si>
  <si>
    <t>Antarctic Science Ltd.; UK NERC SPHERES DTP(UK Research &amp; Innovation (UKRI)Natural Environment Research Council (NERC)); National Science Foundation Office of Polar Programs(National Science Foundation (NSF)NSF - Directorate for Geosciences (GEO)); National Science Foundation's Seismological Facilities for the Advancement of Geoscience (SAGE) Award; Polar Geospatial Center under NSF-OPP awards</t>
  </si>
  <si>
    <t>This work was supported by Antarctic Science Ltd. and the UK NERC SPHERES DTP (grant no. NE/L002574/1). NS and LM were supported by the National Science Foundation Office of Polar Programs (grant no. NSF1417993). The geophone instruments were provided by the Incorporated Research Institutions for Seismology (IRIS) through the PASSCAL Instrument Center at New Mexico Tech. The facilities of the IRIS Consortium are supported by the National Science Foundation's Seismological Facilities for the Advancement of Geoscience (SAGE) Award under Cooperative Support Agreement OPP-1851037. ArcticDEM provided by the Polar Geospatial Center under NSF-OPP awards 1043681, 1559691, and 1542736. Any use of trade, firm, or product names is for descriptive purposes only and does not imply endorsement by the U.S. Government.</t>
  </si>
  <si>
    <t>e2020GL089335</t>
  </si>
  <si>
    <t>10.1029/2020GL089335</t>
  </si>
  <si>
    <t>WOS:000576634400065</t>
  </si>
  <si>
    <t>Liu, B; Wang, B; Liu, J; Chen, DL; Ning, L; Yan, M; Sun, WY; Chen, KF</t>
  </si>
  <si>
    <t>Liu, Bin; Wang, Bin; Liu, Jian; Chen, Deliang; Ning, Liang; Yan, Mi; Sun, Weiyi; Chen, Kefan</t>
  </si>
  <si>
    <t>Global and Polar Region Temperature Change Induced by Single Mega Volcanic Eruption Based on Community Earth System Model Simulation</t>
  </si>
  <si>
    <t>mega volcanic eruption; temperature change; Arctic; Antarctic; Samalas; climate simulation</t>
  </si>
  <si>
    <t>ANTARCTIC SEA-ICE; CLIMATE RESPONSE; LAST MILLENNIUM; AMPLIFICATION; IMPACT; RECONSTRUCTIONS; VARIABILITY</t>
  </si>
  <si>
    <t>In order to understand the pure long-term influence of single mega volcanic eruption (SMVE) of universal significance on global and polar region temperature changes, the AD 1258 Samalas mega volcanic eruption in Indonesia which is the largest eruption over the past millennium is selected as an ideal eruption for simulation study based on Community Earth System Model. Both reconstructions and simulations show that the Northern Hemisphere experienced nearly two decades of strong cooling after the Samalas mega eruption. The significant cooling in the Arctic lasts for 16 years, while the cooling in the Antarctic lasts only 2 years. As the volcanic aerosol gradually disappears, stronger cooling occurs in Arctic winter, and warming occurs in Antarctic winter. This asymmetric temperature changes over Arctic and Antarctic after SMVE (such as Samalas) are caused by the combined effects of albedo feedback and ocean-atmosphere heat exchange related to sea ice.</t>
  </si>
  <si>
    <t>[Liu, Bin; Liu, Jian; Ning, Liang; Yan, Mi; Sun, Weiyi; Chen, Kefan] Nanjing Normal Univ, State Key Lab Cultivat Base Geog Environm Evolut, Jiangsu Ctr Collaborat Innovat Geog Informat Reso, Key Lab Virtual Geog Environm,Minist Educ,Sch Geo, Nanjing, Peoples R China; [Wang, Bin] Univ Hawaii Manoa, Dept Atmospher Sci, Honolulu, HI 96822 USA; [Wang, Bin] Univ Hawaii Manoa, Atmosphere Ocean Res Ctr, Honolulu, HI 96822 USA; [Liu, Jian] Nanjing Normal Univ, Sch Math Sci, Jiangsu Prov Key Lab Numer Simulat Large Scale Co, Nanjing, Peoples R China; [Liu, Jian; Ning, Liang; Yan, Mi] Qingdao Natl Lab Marine Sci &amp; Technol, Open Studio Simulat Ocean Climate Isotope, Qingdao, Peoples R China; [Chen, Deliang] Univ Gothenburg, Reg Climate Grp, Dept Earth Sci, Gothenburg, Sweden; [Ning, Liang] Univ Massachusetts, Climate Syst Res Ctr, Dept Geosci, Amherst, MA 01003 USA; [Ning, Liang] Chinese Acad Sci, Inst Earth Environm, State Key Lab Loess &amp; Quaternary Geol, Xian, Peoples R China</t>
  </si>
  <si>
    <t>Nanjing Normal University; University of Hawaii System; University of Hawaii Manoa; University of Hawaii System; University of Hawaii Manoa; Nanjing Normal University; Laoshan Laboratory; University of Gothenburg; University of Massachusetts System; University of Massachusetts Amherst; Chinese Academy of Sciences; Institute of Earth Environment, CAS</t>
  </si>
  <si>
    <t>Liu, J (corresponding author), Nanjing Normal Univ, State Key Lab Cultivat Base Geog Environm Evolut, Jiangsu Ctr Collaborat Innovat Geog Informat Reso, Key Lab Virtual Geog Environm,Minist Educ,Sch Geo, Nanjing, Peoples R China.;Liu, J (corresponding author), Nanjing Normal Univ, Sch Math Sci, Jiangsu Prov Key Lab Numer Simulat Large Scale Co, Nanjing, Peoples R China.;Liu, J (corresponding author), Qingdao Natl Lab Marine Sci &amp; Technol, Open Studio Simulat Ocean Climate Isotope, Qingdao, Peoples R China.</t>
  </si>
  <si>
    <t>jliu@njnu.edu.cn</t>
  </si>
  <si>
    <t>Chen, Deliang/A-5107-2013; Chen, Kefan/J-2523-2018; Sun, Weiyi/AAW-7965-2020</t>
  </si>
  <si>
    <t>Chen, Deliang/0000-0003-0288-5618; Sun, Weiyi/0000-0001-9043-706X; Liu, Jian/0000-0001-5772-7065</t>
  </si>
  <si>
    <t>National Natural Science Foundation of China [41971108]; National Key Research and Development Program of China [2016YFA0600401]; Priority Academic Program Development of Jiangsu Higher Education Institutions [164320H116]; Postgraduate Research &amp; Practice Innovation Program of Jiangsu Province [KYZZ16_0456]; Jiangsu Center for Collaborative Innovation in Geographical Information Resource Development and Application; China Scholarship Council [201606860006]</t>
  </si>
  <si>
    <t>National Natural Science Foundation of China(National Natural Science Foundation of China (NSFC)); National Key Research and Development Program of China; Priority Academic Program Development of Jiangsu Higher Education Institutions; Postgraduate Research &amp; Practice Innovation Program of Jiangsu Province; Jiangsu Center for Collaborative Innovation in Geographical Information Resource Development and Application; China Scholarship Council(China Scholarship Council)</t>
  </si>
  <si>
    <t>This research is jointly supported by the National Natural Science Foundation of China (grant no. 41971108), the National Key Research and Development Program of China (grant no. 2016YFA0600401), the Priority Academic Program Development of Jiangsu Higher Education Institutions (grant no. 164320H116), the Postgraduate Research &amp; Practice Innovation Program of Jiangsu Province (grant no. KYZZ16_0456), and the Jiangsu Center for Collaborative Innovation in Geographical Information Resource Development and Application. Bin Liu acknowledges China Scholarship Council (201606860006) for the financial support. This is publication No. 11135 of the School of Ocean and Earth Science and Technology, publication No. 1472 of the International Pacific Research Center and publication No. 324 of the Earth System Modeling Center.</t>
  </si>
  <si>
    <t>e2020GL089416</t>
  </si>
  <si>
    <t>10.1029/2020GL089416</t>
  </si>
  <si>
    <t>WOS:000576634400049</t>
  </si>
  <si>
    <t>Scussolini, P; Eilander, D; Sutanudjaja, EH; Ikeuchi, H; Hoch, JM; Ward, PJ; Bakker, P; Otto-Bliesner, BL; Guo, CC; Stepanek, C; Zhang, Q; Braconnot, P; Guarino, MV; Muis, S; Yamazaki, D; Veldkamp, TIE; Aerts, JCJH</t>
  </si>
  <si>
    <t>Scussolini, Paolo; Eilander, Dirk; Sutanudjaja, Edwin H.; Ikeuchi, Hiroaki; Hoch, Jannis M.; Ward, Philip J.; Bakker, Pepijn; Otto-Bliesner, Bette L.; Guo, Chuncheng; Stepanek, Christian; Zhang, Qiong; Braconnot, Pascale; Guarino, Maria-Vittoria; Muis, Sanne; Yamazaki, Dai; Veldkamp, Ted I. E.; Aerts, Jeroen C. J. H.</t>
  </si>
  <si>
    <t>Global River Discharge and Floods in the Warmer Climate of the Last Interglacial</t>
  </si>
  <si>
    <t>hydrology; floods; last interglacial; paleoclimate; river discharge; global models</t>
  </si>
  <si>
    <t>CLAY MINERAL EVIDENCE; EXPERIMENTAL-DESIGN; GRAIN-SIZE; SEA; MODEL; WATER; SIMULATIONS; RECORD; PRECIPITATION; VARIABILITY</t>
  </si>
  <si>
    <t>We investigate hydrology during a past climate slightly warmer than the present: the last interglacial (LIG). With daily output of preindustrial and LIG simulations from eight new climate models we force hydrological model PCR-GLOBWB and in turn hydrodynamic model CaMa-Flood. Compared to preindustrial, annual mean LIG runoff, discharge, and 100-yr flood volume are considerably larger in the Northern Hemisphere, by 14%, 25%, and 82%, respectively. Anomalies are negative in the Southern Hemisphere. In some boreal regions, LIG runoff and discharge are lower despite higher precipitation, due to the higher temperatures and evaporation. LIG discharge is much higher for the Niger, Congo, Nile, Ganges, Irrawaddy, and Pearl and lower for the Mississippi, Saint Lawrence, Amazon, Parana, Orange, Zambesi, Danube, and Ob. Discharge is seasonally postponed in tropical rivers affected by monsoon changes. Results agree with published proxies on the sign of discharge anomaly in 15 of 23 sites where comparison is possible.</t>
  </si>
  <si>
    <t>[Scussolini, Paolo; Eilander, Dirk; Ward, Philip J.; Muis, Sanne; Veldkamp, Ted I. E.; Aerts, Jeroen C. J. H.] Vrije Univ Amsterdam, Inst Environm Studies, Amsterdam, Netherlands; [Sutanudjaja, Edwin H.; Hoch, Jannis M.] Univ Utrecht, Fac Geosci, Dept Phys Geog, Utrecht, Netherlands; [Ikeuchi, Hiroaki; Yamazaki, Dai] Univ Tokyo, Inst Ind Sci, Tokyo, Japan; [Ikeuchi, Hiroaki] Minist Land Infrastruct Transport &amp; Tourism, Kyoto, Japan; [Bakker, Pepijn] Vrije Univ Amsterdam, Earth &amp; Climate Cluster, Amsterdam, Netherlands; [Otto-Bliesner, Bette L.] Natl Ctr Atmospher Res, POB 3000, Boulder, CO 80307 USA; [Guo, Chuncheng] NORCE Norwegian Res Ctr, Bjerknes Ctr Climate Res, Bergen, Norway; [Stepanek, Christian] Alfred Wegener Inst, Helmholtz Ctr Polar &amp; Marine Res, Bremerhaven, Germany; [Zhang, Qiong] Stockholm Univ, Dept Phys Geog, Stockholm, Sweden; [Braconnot, Pascale] Univ Paris Saclay, Lab Sci Climat &amp; Environm, Gif Sur Yvette, France; [Guarino, Maria-Vittoria] British Antarctic Survey, Cambridge, England; [Muis, Sanne] Deltares, Delft, Netherlands; [Yamazaki, Dai] Japan Agcy Marine Earth Sci &amp; Technol, Dept Integrated Climate Change Project Res, Yokohama, Kanagawa, Japan; [Veldkamp, Ted I. E.] Amsterdam Univ Appl Sci, Urban Technol, Amsterdam, Netherlands</t>
  </si>
  <si>
    <t>Vrije Universiteit Amsterdam; Utrecht University; University of Tokyo; Vrije Universiteit Amsterdam; National Center Atmospheric Research (NCAR) - USA; Norwegian Research Centre (NORCE); Bjerknes Centre for Climate Research; Helmholtz Association; Alfred Wegener Institute, Helmholtz Centre for Polar &amp; Marine Research; Stockholm University; CEA; Centre National de la Recherche Scientifique (CNRS); Universite Paris Saclay; Universite Paris Cite; UK Research &amp; Innovation (UKRI); Natural Environment Research Council (NERC); NERC British Antarctic Survey; Deltares; Japan Agency for Marine-Earth Science &amp; Technology (JAMSTEC)</t>
  </si>
  <si>
    <t>Scussolini, P (corresponding author), Vrije Univ Amsterdam, Inst Environm Studies, Amsterdam, Netherlands.</t>
  </si>
  <si>
    <t>paolo.scussolini@vu.nl</t>
  </si>
  <si>
    <t>Ward, Philip/E-6208-2010; Stepanek, Christian/ABA-9210-2021; Muis, Sanne/AFU-1082-2022; Scussolini, Paolo/AAA-8133-2019; Scussolini, Paolo/ABB-5247-2021; Ikeuchi, Hiroaki/P-9002-2016; Yamazaki, Dai/J-3029-2012; Hoch, Jannis/N-7745-2018</t>
  </si>
  <si>
    <t>Muis, Sanne/0000-0002-8145-0171; Scussolini, Paolo/0000-0001-6208-2169; Scussolini, Paolo/0000-0001-6208-2169; Ikeuchi, Hiroaki/0000-0002-4824-0594; Yamazaki, Dai/0000-0002-6478-1841; Hoch, Jannis/0000-0003-3570-6436; Otto-Bliesner, Bette/0000-0003-1911-1598; Ward, Philip/0000-0001-7702-7859; Veldkamp, Ted/0000-0002-2295-8135; Sutanudjaja, Edwin/0000-0002-3426-4069; Stepanek, Christian/0000-0002-3912-6271; Eilander, Dirk/0000-0002-0951-8418</t>
  </si>
  <si>
    <t>NWO (Nederlandse Organisatie voor Wetenschappelijk Onderzoek) [ALWOP.164]; SCOR under Project COASTRISK; NWO VIDI grant [016.161.324]; National Science Foundation (NSF); National Center for Atmospheric Research (NCAR) - National Science Fundation [1852977]; Swedish Research Council VR [2013-06476, 2017-04232]; SURF Cooperative; Swedish Research Council [2017-04232, 2013-06476] Funding Source: Swedish Research Council; NERC [bas0100034] Funding Source: UKRI</t>
  </si>
  <si>
    <t>NWO (Nederlandse Organisatie voor Wetenschappelijk Onderzoek)(Netherlands Organization for Scientific Research (NWO)); SCOR under Project COASTRISK; NWO VIDI grant(Netherlands Organization for Scientific Research (NWO)); National Science Foundation (NSF)(National Science Foundation (NSF)); National Center for Atmospheric Research (NCAR) - National Science Fundation; Swedish Research Council VR(Swedish Research Council); SURF Cooperative; Swedish Research Council(Swedish Research Council); NERC(UK Research &amp; Innovation (UKRI)Natural Environment Research Council (NERC))</t>
  </si>
  <si>
    <t>P. S. acknowledges funding from the NWO (Nederlandse Organisatie voor Wetenschappelijk Onderzoek) under Grant ALWOP.164, and from SCOR under Project COASTRISK. P. W. acknowledges funding from NWO VIDI grant 016.161.324. Hydrological and hydrodynamic simulations were carried out on the Dutch national e-infrastructure (supercomputer Cartesius) with the support of SURF Cooperative. B. L. O.-B. acknowledges the CESM project, which is supported primarily by the National Science Foundation (NSF). This material is based upon work supported by the National Center for Atmospheric Research (NCAR), which is a major facility sponsored by the National Science Fundation under Cooperative Agreement 1852977. Computing and data storage resources, including the Cheyenne supercomputer (doi:http://10.5065/D6RX99HX), were provided by the Computational and Information Systems Laboratory (CISL) at NCAR. Q. Z. acknowledges funding support from Swedish Research Council VR (2013-06476 and 2017-04232). We thank Jian Cao for providing data of climate model NUIST-CSM.</t>
  </si>
  <si>
    <t>e2020GL089375</t>
  </si>
  <si>
    <t>10.1029/2020GL089375</t>
  </si>
  <si>
    <t>WOS:000576634400074</t>
  </si>
  <si>
    <t>Wang, SY; Liu, JP; Cheng, X; Kerzenmacher, T; Braesicke, P</t>
  </si>
  <si>
    <t>Wang, Shaoyin; Liu, Jiping; Cheng, Xiao; Kerzenmacher, Tobias; Braesicke, Peter</t>
  </si>
  <si>
    <t>Is Enhanced Predictability of the Amundsen Sea Low in Subseasonal to Seasonal Hindcasts Linked to Stratosphere-Troposphere Coupling?</t>
  </si>
  <si>
    <t>fault slip; fluid injection</t>
  </si>
  <si>
    <t>SOUTHERN-HEMISPHERE; CLIMATE; PROPAGATION; ICE</t>
  </si>
  <si>
    <t>The Amundsen Sea low (ASL) is one of the key components of the Antarctic surface climate. Here, we assess the subseasonal to seasonal (S2S) predictive skill of the ASL in two state-of-the-art forecasting systems based on the anomaly correlation coefficient (ACC). It is found that the ASL predictability during austral spring is higher than in the other seasons with lead times ranging from 1 to 4 weeks. The spring ASL predictability has an ACC of about 0.6 with lead times of 1-2 weeks and about 0.44 with lead times of 3-4 weeks. The enhanced ASL predictability during austral spring is mainly due to the strengthening of stratosphere-troposphere coupling, coincident with a weakened stratospheric polar night jet and increased wave-mean flow interactions in the stratosphere. This study demonstrates that the stratosphere-troposphere coupling provides an important source of predictability for the Antarctic surface weather and climate on S2S timescale.</t>
  </si>
  <si>
    <t>[Wang, Shaoyin; Cheng, Xiao] Sun Yat Sen Univ, Sch Geospatial Engn &amp; Sci, Zhuhai, Peoples R China; [Wang, Shaoyin; Cheng, Xiao] Southern Marine Sci &amp; Engn Guangdong Lab Zhuhai, Zhuhai, Peoples R China; [Liu, Jiping] SUNY Albany, Dept Atmospher &amp; Environm Sci, Albany, NY 12222 USA; [Kerzenmacher, Tobias; Braesicke, Peter] Karlsruhe Inst Technol, Inst Meteorol &amp; Climate Res, Karlsruhe, Germany; [Wang, Shaoyin; Cheng, Xiao] Univ Corp Polar Res, Zhuhai, Peoples R China</t>
  </si>
  <si>
    <t>Sun Yat Sen University; Southern Marine Science &amp; Engineering Guangdong Laboratory; Southern Marine Science &amp; Engineering Guangdong Laboratory (Zhuhai); State University of New York (SUNY) System; State University of New York (SUNY) Albany; Helmholtz Association; Karlsruhe Institute of Technology</t>
  </si>
  <si>
    <t>Wang, SY (corresponding author), Sun Yat Sen Univ, Sch Geospatial Engn &amp; Sci, Zhuhai, Peoples R China.;Wang, SY (corresponding author), Southern Marine Sci &amp; Engn Guangdong Lab Zhuhai, Zhuhai, Peoples R China.;Wang, SY (corresponding author), Univ Corp Polar Res, Zhuhai, Peoples R China.</t>
  </si>
  <si>
    <t>wangshy96@mail.sysu.edu.cn</t>
  </si>
  <si>
    <t>Kerzenmacher, Tobias/AGN-7243-2022; Braesicke, Peter/D-8330-2016</t>
  </si>
  <si>
    <t>Kerzenmacher, Tobias/0000-0001-8413-0539; Braesicke, Peter/0000-0003-1423-0619; Wang, Shaoyin/0000-0003-4742-4719</t>
  </si>
  <si>
    <t>National Key R&amp;D Program of China [2018YFA0605901]; National Natural Science Foundation of China [41676185]; Chinese Scholarship Council</t>
  </si>
  <si>
    <t>National Key R&amp;D Program of China; National Natural Science Foundation of China(National Natural Science Foundation of China (NSFC)); Chinese Scholarship Council(China Scholarship Council)</t>
  </si>
  <si>
    <t>We thank Jiankai Zhang, Xinyu Li, and two anonymous reviewers for their very helpful comments on the manuscript. This research was supported by the National Key R&amp;D Program of China (2018YFA0605901), the National Natural Science Foundation of China (41676185), and the Chinese Scholarship Council and the Helmholtz projects DE and ESM.</t>
  </si>
  <si>
    <t>e2020GL089700</t>
  </si>
  <si>
    <t>10.1029/2020GL089700</t>
  </si>
  <si>
    <t>WOS:000576634400037</t>
  </si>
  <si>
    <t>Esquete, P; Aldea, C</t>
  </si>
  <si>
    <t>Esquete, Patricia; Aldea, Cristian</t>
  </si>
  <si>
    <t>Benthic Peracarids (Crustacea) from an unexplored area of Patagonian channels and Fjords</t>
  </si>
  <si>
    <t>BIODIVERSITY DATA JOURNAL</t>
  </si>
  <si>
    <t>estuary; fragmentation; nestedness; Magellan region; Pacific Ocean; Tanaidacea; Isopoda; Amphipoda</t>
  </si>
  <si>
    <t>MAGELLAN REGION; PACIFIC COAST; NESTEDNESS; ATLANTIC; COMMUNITIES; ASSEMBLAGES; PATTERNS; RANGE</t>
  </si>
  <si>
    <t>Background The intricate geomorphology of the coastline in the Chilean Channels and Fjords region, together with the freshwater inputs from the ice fields provide the area with very unique ecological characteristics and a variety of habitats that favour great marine biodiversity. However, although Chilean Patagonia has been the focus of several expeditions and ecological surveys, the greatest emphasis has been either on the populated coasts of the Beagle Channel and the Straits of Magellan to the south or the area to the north of Golfo de Penas, leaving vast areas that remain largely unexplored. This leads to a latitudinal gap in the faunistic information and hinders zoogeographic studies to assess biogeographical connections along the eastern coasts of the Pacific. Peracarida is a taxonomic group that provides an excellent model for such studies because of their high abundance and biodiversity, benthic habits, small size and limited dispersal capacity. New information A dataset providing the first and only records of the benthic Peracarida between the latitudes 48-51.5 degrees S of the Pacific coast of Chile is presented here, hence closing a geospatial gap for the study of the biogeographical connections of the Peracarida along the Eastern Pacific coast. The dataset comprises a total of 141 georeferenced records of 60 sublittoral species of Tanaidacea, Isopoda and Amphipoda. This and other studies reveal that the coastal fauna of the region follow a latitudinal distribution pattern at a larger scale and nested assemblages inside the channels and fjords that can be regarded as a consequence of the more restrictive conditions in the inner parts. In the present scenario of global warming that is expected to affect particularly polar and subpolar regions, the present dataset serves as a reference for the distribution patterns of benthic organisms with low dispersal capacity.</t>
  </si>
  <si>
    <t>[Esquete, Patricia] Univ Aveiro, CESAM, Aveiro, Portugal; [Esquete, Patricia] Univ Aveiro, Dept Biol, Aveiro, Portugal; [Aldea, Cristian] Univ Magallanes, GAIA Antarctic Res Ctr CIGA, Punta Arenas, Chile; [Aldea, Cristian] Univ Magallanes, Dept Sci &amp; Nat Resources, Punta Arenas, Chile</t>
  </si>
  <si>
    <t>Universidade de Aveiro; Universidade de Aveiro; Universidad de Magallanes; Universidad de Magallanes</t>
  </si>
  <si>
    <t>Esquete, P (corresponding author), Univ Aveiro, CESAM, Aveiro, Portugal.;Esquete, P (corresponding author), Univ Aveiro, Dept Biol, Aveiro, Portugal.</t>
  </si>
  <si>
    <t>pesquete@ua.pt</t>
  </si>
  <si>
    <t>Esquete, Patricia/AAY-2283-2020; Esquete, Patricia/AAE-2241-2020; Aldea, Cristian/J-5391-2013</t>
  </si>
  <si>
    <t>Esquete, Patricia/0000-0002-9595-1524; Esquete, Patricia/0000-0002-9595-1524; Aldea, Cristian/0000-0002-4473-6509</t>
  </si>
  <si>
    <t>FCT - Fundacao para a Ciencia e a Tecnologia, I.P.; FCT/MCTES [UIDP/50017/2020+UIDB/50017/2020]; project INNOVA [08CTU01-20]; Chilean Production Development Corporation (CORFO); programme VRIP-UMAG - Direction of Research UMAG [PR-06-CRN -18]</t>
  </si>
  <si>
    <t>FCT - Fundacao para a Ciencia e a Tecnologia, I.P.(Fundacao para a Ciencia e a Tecnologia (FCT)); FCT/MCTES(Fundacao para a Ciencia e a Tecnologia (FCT)); project INNOVA; Chilean Production Development Corporation (CORFO); programme VRIP-UMAG - Direction of Research UMAG</t>
  </si>
  <si>
    <t>P. Esquete is funded by national funds (OE), through FCT - Fundacao para a Ciencia e a Tecnologia, I.P., in the scope of the framework contract foreseen in the numbers 4, 5 and 6 of the article 23, of the Decree-Law 57/2016, of 29 August 2016, changed by Law 57/2017, of 19 July 2017. Thanks are due to FCT/MCTES for the financial support to CESAM (UIDP/50017/2020+UIDB/50017/2020) through national funds. C. Aldea acknowledges the contribution of the project INNOVA 08CTU01-20 (developed by CEQUA Foundation and Chilean National Forest Corporation -CONAF) and supported by the Chilean Production Development Corporation (CORFO) and the programme VRIP-UMAG PR-06-CRN -18 (Diversity of molluscs and benthic crustaceans in the Straits of Magellan: biogeography, ordering and comparative endemism), supported by Direction of Research UMAG.</t>
  </si>
  <si>
    <t>PENSOFT PUBLISHERS</t>
  </si>
  <si>
    <t>SOFIA</t>
  </si>
  <si>
    <t>12 PROF GEORGI ZLATARSKI ST, SOFIA, 1700, BULGARIA</t>
  </si>
  <si>
    <t>1314-2836</t>
  </si>
  <si>
    <t>1314-2828</t>
  </si>
  <si>
    <t>BIODIVERS DATA J</t>
  </si>
  <si>
    <t>Biodiver. Data J.</t>
  </si>
  <si>
    <t>e58013</t>
  </si>
  <si>
    <t>10.3897/BDJ.8.e58013</t>
  </si>
  <si>
    <t>Biodiversity Conservation</t>
  </si>
  <si>
    <t>Biodiversity &amp; Conservation</t>
  </si>
  <si>
    <t>NU5RI</t>
  </si>
  <si>
    <t>WOS:000573697900001</t>
  </si>
  <si>
    <t>Brown, JR; Brierley, CM; An, SI; Guarino, MV; Stevenson, S; Williams, CJR; Zhang, Q; Zhao, A; Abe-Ouchi, A; Braconnot, P; Brady, EC; Chandan, D; D'Agostino, R; Guo, CC; LeGrande, AN; Lohmann, G; Morozova, PA; Ohgaito, R; O'ishi, R; Otto-Bliesner, BL; Peltier, WR; Shi, XX; Sime, L; Volodin, EM; Zhang, ZS; Zheng, WP</t>
  </si>
  <si>
    <t>Brown, Josephine R.; Brierley, Chris M.; An, Soon-Il; Guarino, Maria-Vittoria; Stevenson, Samantha; Williams, Charles J. R.; Zhang, Qiong; Zhao, Anni; Abe-Ouchi, Ayako; Braconnot, Pascale; Brady, Esther C.; Chandan, Deepak; D'Agostino, Roberta; Guo, Chuncheng; LeGrande, Allegra N.; Lohmann, Gerrit; Morozova, Polina A.; Ohgaito, Rumi; O'ishi, Ryouta; Otto-Bliesner, Bette L.; Peltier, W. Richard; Shi, Xiaoxu; Sime, Louise; Volodin, Evgeny M.; Zhang, Zhongshi; Zheng, Weipeng</t>
  </si>
  <si>
    <t>Comparison of past and future simulations of ENSO in CMIP5/PMIP3 and CMIP6/PMIP4 models</t>
  </si>
  <si>
    <t>CLIMATE OF THE PAST</t>
  </si>
  <si>
    <t>NINO-SOUTHERN OSCILLATION; LAST GLACIAL MAXIMUM; EL-NINO/SOUTHERN OSCILLATION; TROPICAL PACIFIC CLIMATE; INTERANNUAL VARIABILITY; EXPERIMENTAL-DESIGN; PMIP4 CONTRIBUTION; 20TH-CENTURY REANALYSIS; SURFACE TEMPERATURES; MIDHOLOCENE CLIMATE</t>
  </si>
  <si>
    <t>El Nino-Southern Oscillation (ENSO) is the strongest mode of interannual climate variability in the current climate, influencing ecosystems, agriculture, and weather systems across the globe, but future projections of ENSO frequency and amplitude remain highly uncertain. A comparison of changes in ENSO in a range of past and future climate simulations can provide insights into the sensitivity of ENSO to changes in the mean state, including changes in the seasonality of incoming solar radiation, global average temperatures, and spatial patterns of sea surface temperatures. As a comprehensive set of coupled model simulations is now available for both palaeoclimate time slices (the Last Glacial Maximum, mid-Holocene, and last interglacial) and idealised future warming scenarios (1% per year CO2 increase, abrupt four-time CO2 increase), this allows a detailed evaluation of ENSO changes in this wide range of climates. Such a comparison can assist in constraining uncertainty in future projections, providing insights into model agreement and the sensitivity of ENSO to a range of factors. The majority of models simulate a consistent weakening of ENSO activity in the last interglacial and mid-Holocene experiments, and there is an ensemble mean reduction of variability in the western equatorial Pacific in the Last Glacial Maximum experiments. Changes in global temperature produce a weaker precipitation response to ENSO in the cold Last Glacial Maximum experiments and an enhanced precipitation response to ENSO in the warm increased CO2 experiments. No consistent relationship between changes in ENSO amplitude and annual cycle was identified across experiments.</t>
  </si>
  <si>
    <t>[Brown, Josephine R.] Univ Melbourne, Sch Earth Sci, Parkville, Vic, Australia; [Brierley, Chris M.; Zhao, Anni] UCL, Dept Geog, London, England; [An, Soon-Il] Yonsei Univ, Dept Atmospher Sci, Seoul, South Korea; [Guarino, Maria-Vittoria; Sime, Louise; Zhang, Zhongshi] British Antarctic Survey, Madingley Rd, Cambridge, England; [Stevenson, Samantha] Univ Calif Santa Barbara, Bren Sch Environm Sci &amp; Management, Santa Barbara, CA 93106 USA; [Williams, Charles J. R.] Univ Bristol, Sch Geog Sci, Univ Rd, Bristol, Avon, England; [Williams, Charles J. R.] Univ Reading, Dept Meteorol, POB 243, Reading, Berks, England; [Zhang, Qiong] Stockholm Univ, Dept Phys Geog, Stockholm, Sweden; [Zhang, Qiong] Stockholm Univ, Bolin Ctr Climate Res, Stockholm, Sweden; [Abe-Ouchi, Ayako; O'ishi, Ryouta] Univ Tokyo, Atmosphere &amp; Ocean Res Inst, Kashiwa, Chiba, Japan; [Braconnot, Pascale] Univ Paris Saclay, Lab Sci Climat &amp; Environm IPSL, Unite Mixte CEA CNRS UVSQ, Gif Sur Yvette, France; [Brady, Esther C.; Otto-Bliesner, Bette L.] Natl Ctr Atmospher Res, 1850 Table Mesa Dr, Boulder, CO USA; [Chandan, Deepak; Peltier, W. Richard] Univ Toronto, Dept Phys, 60 St George St, Toronto, ON, Canada; [D'Agostino, Roberta] Max Planck Inst Meteorol, Bundesstr 53, Hamburg, Germany; [Guo, Chuncheng] Bjerknes Ctr Climate Res, NORCE Norwegian Res Ctr, Bergen, Norway; [LeGrande, Allegra N.] NASA, Goddard Inst Space Studies, 2880 Broadway, New York, NY 10025 USA; [Lohmann, Gerrit; Shi, Xiaoxu] Helmholtz Ctr Polar &amp; Marine Res, Alfred Wegener Inst, Bussestr 24, Bremerhaven, Germany; [Morozova, Polina A.] Russian Acad Sci, Inst Geog, Staromonetny 29, Moscow, Russia; [Ohgaito, Rumi] Japan Agcy Marine Earth Sci &amp; Technol, 3173-25 Showamachi, Yokohama, Kanagawa, Japan; [Volodin, Evgeny M.] Russian Acad Sci, Marchuk Inst Numer Math, Moscow, Russia; [Zhang, Zhongshi] China Univ Geosci, Sch Environm Studies, Dept Atmospher Sci, Wuhan, Peoples R China; [Zheng, Weipeng] Chinese Acad Sci, Inst Atmospher Phys, State Key Lab Numer Modeling Atmospher Sci &amp; Geop, Beijing, Peoples R China</t>
  </si>
  <si>
    <t>University of Melbourne; University of London; University College London; Yonsei University; UK Research &amp; Innovation (UKRI); Natural Environment Research Council (NERC); NERC British Antarctic Survey; University of California System; University of California Santa Barbara; University of Bristol; University of Reading; Stockholm University; University of Tokyo; Universite Paris Saclay; CEA; Centre National de la Recherche Scientifique (CNRS); Universite Paris Cite; National Center Atmospheric Research (NCAR) - USA; University of Toronto; Max Planck Society; Bjerknes Centre for Climate Research; Norwegian Research Centre (NORCE); National Aeronautics &amp; Space Administration (NASA); NASA Goddard Space Flight Center; Goddard Institute for Space Studies; Helmholtz Association; Alfred Wegener Institute, Helmholtz Centre for Polar &amp; Marine Research; Institute of Geography, Russian Academy of Sciences; Russian Academy of Sciences; Japan Agency for Marine-Earth Science &amp; Technology (JAMSTEC); Russian Academy of Sciences; China University of Geosciences; Chinese Academy of Sciences; Institute of Atmospheric Physics, CAS</t>
  </si>
  <si>
    <t>Brown, JR (corresponding author), Univ Melbourne, Sch Earth Sci, Parkville, Vic, Australia.</t>
  </si>
  <si>
    <t>josephine.brown@unimelb.edu.au</t>
  </si>
  <si>
    <t>AN, SOON-IL/CWF-6596-2022; Morozova, Polina A./A-3471-2014; wang, zhe/JNE-3510-2023; Abe-Ouchi, Ayako A/M-6359-2013; Ohgaito, Rumi/O-7968-2018; zhang, zhi/HPH-4905-2023; Zhang, zs/GXN-3521-2022; Zhang, Qiong/J-7334-2019; Sime, Louise/AAX-7730-2021; Peltier, William R./A-1102-2008; D'Agostino, Roberta/N-9527-2018; LeGrande, Allegra N./D-8920-2012</t>
  </si>
  <si>
    <t>Abe-Ouchi, Ayako A/0000-0003-1745-5952; Sime, Louise/0000-0002-9093-7926; Williams, Charles/0000-0003-1791-2463; D'Agostino, Roberta/0000-0002-0717-6186; Stevenson, Samantha/0000-0002-1223-8521; LeGrande, Allegra N./0000-0002-5295-0062; Brown, Josephine/0000-0002-1100-7457; O'ishi, Ryouta/0000-0002-1001-9309; Guarino, Maria Vittoria/0000-0002-7531-4560; Chandan, Deepak/0000-0002-0756-754X</t>
  </si>
  <si>
    <t>JPI-Belmont-funded PACMEDY programme [NE/P006752/1, ANR-15-JCLI-0003-01, BMBF 01LP1607A]; National Research Foundation of Korea [NRF-2018R1A5A1024958]; UK NERC [NE/S009736/1, NE/P013279/1]; Swedish Research Council (VR) [2013-06476, 2017-04232, 2016-07213]; Integrated Research Program for Advancing Climate Models (TOUGOU programme) from the Ministry of Education, Culture, Sports, Science and Technology (MEXT), Japan; Arctic Challenge for Sustainability (ArCS) project [JPMXD1300000000]; JSPS KAKENHI [17H06104]; MEXT KAKENHI [17H06323]; US National Science Foundation (NSF) [1852977]; Russian State Assignment Project [0148-2019-0009]; Russian Science Foundation (RSF) [20-17-00190]; NERC [NE/S009736/1] Funding Source: UKRI; Swedish Research Council [2013-06476] Funding Source: Swedish Research Council; Russian Science Foundation [20-17-00190] Funding Source: Russian Science Foundation</t>
  </si>
  <si>
    <t>JPI-Belmont-funded PACMEDY programme; National Research Foundation of Korea(National Research Foundation of Korea); UK NERC(UK Research &amp; Innovation (UKRI)Natural Environment Research Council (NERC)); Swedish Research Council (VR)(Swedish Research Council); Integrated Research Program for Advancing Climate Models (TOUGOU programme) from the Ministry of Education, Culture, Sports, Science and Technology (MEXT), Japan; Arctic Challenge for Sustainability (ArCS) project; JSPS KAKENHI(Ministry of Education, Culture, Sports, Science and Technology, Japan (MEXT)Japan Society for the Promotion of ScienceGrants-in-Aid for Scientific Research (KAKENHI)); MEXT KAKENHI(Ministry of Education, Culture, Sports, Science and Technology, Japan (MEXT)Japan Society for the Promotion of ScienceGrants-in-Aid for Scientific Research (KAKENHI)); US National Science Foundation (NSF)(National Science Foundation (NSF)); Russian State Assignment Project; Russian Science Foundation (RSF)(Russian Science Foundation (RSF)); NERC(UK Research &amp; Innovation (UKRI)Natural Environment Research Council (NERC)); Swedish Research Council(Swedish Research Council); Russian Science Foundation(Russian Science Foundation (RSF))</t>
  </si>
  <si>
    <t>This research has been supported by the JPI-Belmont-funded PACMEDY programme (grant nos. NE/P006752/1, ANR-15-JCLI-0003-01, and BMBF 01LP1607A); the National Research Foundation of Korea (grant no. NRF-2018R1A5A1024958); the UK NERC (grant nos. NE/S009736/1 and NE/P013279/1); the Swedish Research Council (VR projects 2013-06476, 2017-04232, and 2016-07213); the Integrated Research Program for Advancing Climate Models (TOUGOU programme) from the Ministry of Education, Culture, Sports, Science and Technology (MEXT), Japan; the Arctic Challenge for Sustainability (ArCS) project (grant no. JPMXD1300000000), JSPS KAKENHI (grant no. 17H06104) and MEXT KAKENHI (grant no. 17H06323); the US National Science Foundation (NSF) under cooperative agreement no. 1852977; the Russian State Assignment Project 0148-2019-0009; and the Russian Science Foundation (RSF) (grant no. 20-17-00190).</t>
  </si>
  <si>
    <t>1814-9324</t>
  </si>
  <si>
    <t>1814-9332</t>
  </si>
  <si>
    <t>CLIM PAST</t>
  </si>
  <si>
    <t>Clim. Past.</t>
  </si>
  <si>
    <t>10.5194/cp-16-1777-2020</t>
  </si>
  <si>
    <t>NX7CH</t>
  </si>
  <si>
    <t>WOS:000575864000001</t>
  </si>
  <si>
    <t>van der Merwe, S; Greve, M; Olivier, B; le Roux, PC</t>
  </si>
  <si>
    <t>van der Merwe, Stephni; Greve, Michelle; Olivier, Bernard; le Roux, Peter C.</t>
  </si>
  <si>
    <t>Testing the role of functional trait expression in plant-plant facilitation</t>
  </si>
  <si>
    <t>FUNCTIONAL ECOLOGY</t>
  </si>
  <si>
    <t>context-specific; drivers of functional traits; elevational gradient; facilitation; facilitative mechanisms; functional trait expression; intraspecific trait variation; stress gradient hypothesis</t>
  </si>
  <si>
    <t>STRESS-GRADIENT HYPOTHESIS; CUSHION PLANTS; POSITIVE INTERACTIONS; GLOBAL PATTERNS; AZORELLA-SELAGO; HIGH-ANDES; COMMUNITY; METAANALYSIS; MECHANISMS; VEGETATION</t>
  </si>
  <si>
    <t>Positive biotic interactions between plant species may strongly affect species and community-level patterns, but the processes through which benefactor species alter the performance of interacting species (via, e.g. beneficial mechanisms like resource provisioning) are still inadequately understood. One poorly explored potential explanation is that plant-plant facilitation could occur through the impact of benefactor species on the functional trait expression of beneficiary species. Indeed, plant species that affect local conditions can modify functional trait expression of interacting species, thereby improving their performance and resulting in a facilitative interaction. However, the response of intraspecific trait variation to biotically driven microhabitat modification, and its role in determining the outcome of plant-plant interactions, has rarely been explored. Here, we test whether growing with benefactor species affects the expression of functional traits of eight species, encompassing different plant growth forms, in two contrasting study systems. This is achieved using a paired sampling approach to compare values of seven functional traits of conspecific individuals growing within and adjacent to cushion plants (i.e. benefactor species which are known to strongly alter microhabitat conditions and to have positive effects on some of the focal species). In addition, we test whether the effect of biotic interactions on functional trait expression changes along elevational gradients, as the outcome of biotic interactions is expected to vary with elevation. Contrary to predictions, in both systems, intraspecific trait variation was not well explained by the biotic interaction with the cushion plant species or the variation in abiotic conditions associated with elevational gradients. Where biotic interactions did affect functional trait expression and bivariate trait relationships, traits responded variably between species, suggesting that context specificity may be a constraint to predicting how intraspecific trait variation responds to plant-plant interactions, adding to the growing body of literature that challenges the generality and predictability of the drivers of intraspecific trait variation. This research, therefore, suggests that benefactor species' facilitative process is likely not through an impact on intraspecific trait expression, and that instead other processes may be more important for translating beneficial microhabitat modification or increased resource availability by benefactor species into positive impacts on beneficiary species. A freePlain Language Summarycan be found within the Supporting Information of this article.</t>
  </si>
  <si>
    <t>[van der Merwe, Stephni; Greve, Michelle; Olivier, Bernard; le Roux, Peter C.] Univ Pretoria, Dept Plant &amp; Soil Sci, Pretoria, South Africa</t>
  </si>
  <si>
    <t>University of Pretoria</t>
  </si>
  <si>
    <t>van der Merwe, S (corresponding author), Univ Pretoria, Dept Plant &amp; Soil Sci, Pretoria, South Africa.</t>
  </si>
  <si>
    <t>stephni.vdm@gmail.com</t>
  </si>
  <si>
    <t>le Roux, Peter Christiaan/E-7784-2011; Olivier, Bernard/KEJ-5740-2024</t>
  </si>
  <si>
    <t>le Roux, Peter Christiaan/0000-0002-7941-7444; Greve, Michelle/0000-0002-6229-8506; Olivier, Bernard/0000-0002-7423-9669; van der Merwe, Stephni/0000-0002-6385-8536</t>
  </si>
  <si>
    <t>National Research Foundation's South African National Antarctic Programme [93077, 110726, 110734]; University of Pretoria Research Development Programme</t>
  </si>
  <si>
    <t>National Research Foundation's South African National Antarctic Programme; University of Pretoria Research Development Programme</t>
  </si>
  <si>
    <t>The National Research Foundation's South African National Antarctic Programme, Grant/Award Number: 93077, 110726 and 110734; University of Pretoria Research Development Programme</t>
  </si>
  <si>
    <t>0269-8463</t>
  </si>
  <si>
    <t>1365-2435</t>
  </si>
  <si>
    <t>FUNCT ECOL</t>
  </si>
  <si>
    <t>Funct. Ecol.</t>
  </si>
  <si>
    <t>10.1111/1365-2435.13681</t>
  </si>
  <si>
    <t>PP3JL</t>
  </si>
  <si>
    <t>WOS:000573170700001</t>
  </si>
  <si>
    <t>Murphy, KJ; Pecl, GT; Richards, SA; Semmens, JM; Revill, AT; Suthers, IM; Everett, JD; Trebilco, R; Blanchard, JL</t>
  </si>
  <si>
    <t>Murphy, Kieran J.; Pecl, Gretta T.; Richards, Shane A.; Semmens, Jayson M.; Revill, Andrew T.; Suthers, Iain M.; Everett, Jason D.; Trebilco, Rowan; Blanchard, Julia L.</t>
  </si>
  <si>
    <t>Functional traits explain trophic allometries of cephalopods</t>
  </si>
  <si>
    <t>food web; mesopelagic; octopus; ontogenetic diet shift; predator-prey interaction; size spectrum; squid; trophodynamics</t>
  </si>
  <si>
    <t>STABLE-ISOTOPES DOCUMENT; INCLUDING GIANT; ECOLOGICAL ROLE; BODY-SIZE; SQUID; SEA; DELTA-N-15; DELTA-C-13; PREDATORS; PARALARVAE</t>
  </si>
  <si>
    <t>Individual body size strongly influences the trophic role of marine organisms and the structure and function of marine ecosystems. Quantifying trophic position-individual body size relationships (trophic allometries) underpins the development of size-structured ecosystem models to predict abundance and the transfer of energy through ecosystems. Trophic allometries are well studied for fishes but remain relatively unexplored for cephalopods. Cephalopods are important components of coastal, oceanic and deep-sea ecosystems, and they play a key role in the transfer of biomass from low trophic positions to higher predators. It is therefore important to resolve cephalopod trophic allometries to accurately represent them within size-structured ecosystem models. We assessed the trophic positions of cephalopods in an oceanic pelagic (0-500 m) community (sampled by trawling in a cold-core eddy in the western Tasman Sea), comprising 22 species from 12 families, using bulk tissue stable isotope analysis and amino acid compound-specific stable isotope analysis. We assessed whether ontogenetic trophic position shifts were evident at the species-level and tested for the best predictor of community-level trophic allometry among body size, taxonomy and functional grouping (informed by fin and mantle morphology). Individuals in this cephalopod community spanned two trophic positions and fell into three functional groups on an activity level gradient: low, medium and high. The relationship between trophic position and ontogeny varied among species, with the most marked differences evident between species from different functional groups. Activity-level-based functional group and individual body size are best explained by cephalopod trophic positions (marginalR(2) = 0.43). Our results suggest that the morphological traits used to infer activity level, such as fin-to-mantle length ratio, fin musculature and mantle musculature are strong predictors of cephalopod trophic allometries. Contrary to established theory, not all cephalopods are voracious predators. Low activity level cephalopods have a distinct feeding mode, with low trophic positions and little-to-no ontogenetic increases. Given the important role of cephalopods in marine ecosystems, distinct feeding modes could have important consequences for energy pathways and ecosystem structure and function. These findings will facilitate trait-based and other model estimates of cephalopod abundance in the changing global ocean.</t>
  </si>
  <si>
    <t>[Murphy, Kieran J.; Pecl, Gretta T.; Semmens, Jayson M.; Trebilco, Rowan; Blanchard, Julia L.] Univ Tasmania, Inst Marine &amp; Antarctic Studies, Hobart, Tas, Australia; [Richards, Shane A.] Univ Tasmania, Sch Nat Sci, Hobart, Tas, Australia; [Revill, Andrew T.; Trebilco, Rowan] CSIRO Oceans &amp; Atmosphere, Hobart, Tas, Australia; [Suthers, Iain M.; Everett, Jason D.] Univ New South Wales, Sch Biol Earth &amp; Environm Sci, Sydney, NSW, Australia; [Suthers, Iain M.] Sydney Inst Marine Sci, Mosman, NSW, Australia; [Everett, Jason D.] Univ Queensland, Ctr Applicat Nat Resource Math, St Lucia, Qld, Australia</t>
  </si>
  <si>
    <t>University of Tasmania; University of Tasmania; Commonwealth Scientific &amp; Industrial Research Organisation (CSIRO); University of New South Wales Sydney; Sydney Institute of Marine Science; University of Queensland</t>
  </si>
  <si>
    <t>Murphy, KJ (corresponding author), Univ Tasmania, Inst Marine &amp; Antarctic Studies, Hobart, Tas, Australia.</t>
  </si>
  <si>
    <t>kieran.murphy@utas.edu.au</t>
  </si>
  <si>
    <t>Trebilco, Rowan/I-5311-2012; Blanchard, Julia L/E-4919-2010; Murphy, Kieran/AAW-4626-2020; Pecl, Gretta/D-7267-2011; Suthers, Iain/C-4559-2008; Everett, Jason/C-4557-2008; Revill, Andrew/B-8733-2011</t>
  </si>
  <si>
    <t>Trebilco, Rowan/0000-0001-9712-8016; Murphy, Kieran/0000-0002-9697-2458; Pecl, Gretta/0000-0003-0192-4339; Suthers, Iain/0000-0002-9340-7461; Everett, Jason/0000-0002-6681-8054; Blanchard, Julia/0000-0003-0532-4824; Richards, Shane/0000-0002-9638-5827; Revill, Andrew/0000-0003-2486-5976; Semmens, Jayson/0000-0003-1742-6692</t>
  </si>
  <si>
    <t>Australian Research Council [DP150102656, DP190102293, FT140100596, DP170104240]; Commonwealth Scientific and Industrial Research Organisation [IN2017v04]; Holsworth Wildlife Research Endowment; Marine National Facility; Australian Research Council [FT140100596] Funding Source: Australian Research Council</t>
  </si>
  <si>
    <t>Australian Research Council(Australian Research Council); Commonwealth Scientific and Industrial Research Organisation(Commonwealth Scientific &amp; Industrial Research Organisation (CSIRO)); Holsworth Wildlife Research Endowment; Marine National Facility(Commonwealth Scientific &amp; Industrial Research Organisation (CSIRO)); Australian Research Council</t>
  </si>
  <si>
    <t>Australian Research Council, Grant/Award Number: DP150102656, DP190102293, FT140100596 and DP170104240; Commonwealth Scientific and Industrial Research Organisation, Grant/Award Number: IN2017v04; Holsworth Wildlife Research Endowment; Marine National Facility</t>
  </si>
  <si>
    <t>10.1111/1365-2656.13333</t>
  </si>
  <si>
    <t>OK4TB</t>
  </si>
  <si>
    <t>WOS:000572990600001</t>
  </si>
  <si>
    <t>Santos, EFN; Barbosa, ALR; Duarte-Neto, PJ</t>
  </si>
  <si>
    <t>Santos, Eucymara F. N.; Barbosa, Anderson L. R.; Duarte-Neto, Paulo J.</t>
  </si>
  <si>
    <t>Global correlation matrix spectra of the surface temperature of the oceans from random matrix theory to Poisson fluctuations</t>
  </si>
  <si>
    <t>PHYSICS LETTERS A</t>
  </si>
  <si>
    <t>Empirical correlation matrix; Nearest-neighbor spacing distribution; Sea surface temperature; Gaussian orthogonal ensemble; Climate model; Oceanographical systems</t>
  </si>
  <si>
    <t>COLLECTIVE BEHAVIOR</t>
  </si>
  <si>
    <t>In this work we use the random matrix theory (RMT) to correctly describe the behavior of spectral statistical properties of the sea surface temperature of oceans. This oceanographic variable plays an important role in the global climate system. The data were obtained from National Oceanic and Atmospheric Administration (NOAA) and delimited for the period 1982 to 2016. The results show that oceanographic systems presented specific beta values that can be used to classify each ocean according to its correlation behavior. The nearest-neighbors spacing of correlation matrix for north, central and south of the three oceans get close to a RMT distribution. However, the regions delimited in the Antarctic pole exhibited the distribution of the nearest-neighbors spacing well described by the Poisson model, which shows a statistical change of RMT to Poisson fluctuations. (C) 2020 Elsevier B.V. All rights reserved.</t>
  </si>
  <si>
    <t>[Santos, Eucymara F. N.; Duarte-Neto, Paulo J.] Univ Fed Rural Pernambuco, Programa Posgrad Biometria &amp; Estat Aplicada, BR-52171900 Recife, PE, Brazil; [Santos, Eucymara F. N.] Univ Fed Sergipe, Dept Estat &amp; Ciencias Atuariais, Av Marechal Rondon,S-N Jardim Rosa Elze, BR-49100000 Sao Cristovao, SE, Brazil; [Barbosa, Anderson L. R.] Univ Fed Rural Pernambuco, Dept Fis, BR-52171900 Recife, PE, Brazil; [Duarte-Neto, Paulo J.] Univ Fed Rural Pernambuco, Dept Estat &amp; Informat, BR-52171900 Recife, PE, Brazil</t>
  </si>
  <si>
    <t>Universidade Federal Rural de Pernambuco (UFRPE); Universidade Federal de Sergipe; Universidade Federal Rural de Pernambuco (UFRPE); Universidade Federal Rural de Pernambuco (UFRPE)</t>
  </si>
  <si>
    <t>Duarte-Neto, PJ (corresponding author), Univ Fed Rural Pernambuco, Dept Estat &amp; Informat, BR-52171900 Recife, PE, Brazil.</t>
  </si>
  <si>
    <t>eucymara@ufs.br; anderson.barbosa@ufrpe.br; paulo.duartent@ufrpe.br</t>
  </si>
  <si>
    <t>Barbosa, Anderson/R-8263-2019; Duarte-Neto, Paulo J/J-5623-2016</t>
  </si>
  <si>
    <t>Barbosa, Anderson/0000-0002-7652-958X; Duarte-Neto, Paulo J/0000-0002-2592-7297</t>
  </si>
  <si>
    <t>Brazilian agencies Conselho Nacional de Desenvolvimento Cientifico e Tecnologico (CNPq - Produtividade em Pesquisa) [307474/2018-6]; Coordenacao de Aperfeicoamento de Pessoal de Nivel Superior (CAPES/DINTER - PROGRAMAS DE DOUTORADO INTERINSTITUCIONAL, Project DINTER - UFS - BIOMETRIA E ESTATISTICA APLICADA) [20130064]</t>
  </si>
  <si>
    <t>Brazilian agencies Conselho Nacional de Desenvolvimento Cientifico e Tecnologico (CNPq - Produtividade em Pesquisa)(Conselho Nacional de Desenvolvimento Cientifico e Tecnologico (CNPQ)Fundacao de Apoio a Pesquisa do Distrito Federal (FAPDF)); Coordenacao de Aperfeicoamento de Pessoal de Nivel Superior (CAPES/DINTER - PROGRAMAS DE DOUTORADO INTERINSTITUCIONAL, Project DINTER - UFS - BIOMETRIA E ESTATISTICA APLICADA)</t>
  </si>
  <si>
    <t>This work was partially supported by Brazilian agencies Conselho Nacional de Desenvolvimento Cientifico e Tecnologico (CNPq - Produtividade em Pesquisa, Grant number: 307474/2018-6) and supported by Coordenacao de Aperfeicoamento de Pessoal de Nivel Superior (CAPES/DINTER - PROGRAMAS DE DOUTORADO INTERINSTITUCIONAL, Project 20130064: DINTER - UFS - BIOMETRIA E ESTATISTICA APLICADA).</t>
  </si>
  <si>
    <t>0375-9601</t>
  </si>
  <si>
    <t>1873-2429</t>
  </si>
  <si>
    <t>PHYS LETT A</t>
  </si>
  <si>
    <t>Phys. Lett. A</t>
  </si>
  <si>
    <t>10.1016/j.physleta.2020.126689</t>
  </si>
  <si>
    <t>NA2DD</t>
  </si>
  <si>
    <t>WOS:000559625200016</t>
  </si>
  <si>
    <t>Wargan, K; Weir, B; Manney, GL; Cohn, SE; Livesey, NJ</t>
  </si>
  <si>
    <t>Wargan, Krzysztof; Weir, Brad; Manney, Gloria L.; Cohn, Stephen E.; Livesey, Nathaniel J.</t>
  </si>
  <si>
    <t>The Anomalous 2019 Antarctic Ozone Hole in the GEOS Constituent Data Assimilation System With MLS Observations</t>
  </si>
  <si>
    <t>ozone; stratosphere; polar; assimilation</t>
  </si>
  <si>
    <t>VARIATIONAL STATISTICAL-ANALYSIS; MERGED SAGE II; POLAR VORTEX; RECURSIVE FILTERS; NUMERICAL ASPECTS; UARS DATA; PART I; TRANSPORT; DECLINE; TRENDS</t>
  </si>
  <si>
    <t>A rare disturbance of the stratospheric Antarctic polar vortex in September 2019 led to a significantly higher than usual polar total ozone column. We use assimilation of ozone, HCl, and N2O data from the Microwave Limb Sounder with the Global Earth Observing System (GEOS) Constituent Data Assimilation System driven by reanalysis meteorology to study the evolution of the 2019 Antarctic polar ozone. We find that the maximum 2019 ozone hole area was near 10 x 10(6) km(2), and as little as 20% of that in 2018 in mid-September. However, the magnitude of vortex-averaged chemical ozone depletion was not significantly different between the 2 years despite earlier chlorine deactivation in 2019. The assimilation results show that most of the differences between 2018 and 2019 Antarctic ozone resulted from two factors: (1) the geometry of the 2019 vortex, with ozone-rich middle-stratospheric air masses overlying the lower portion of the vortex and leading to a significant reduction of the total column, and (2) significantly reduced vortex volume. The anomalously small ozone hole of 2019 was comparable in size to the record breaking 2002 case and the mechanisms responsible were similar in the two cases. While the 2019 sudden stratospheric warming is classified as minor, its impact on ozone was very significant.</t>
  </si>
  <si>
    <t>[Wargan, Krzysztof] Sci Syst &amp; Applicat Inc, Lanham, MD 20706 USA; [Wargan, Krzysztof; Weir, Brad; Cohn, Stephen E.] NASA, Global Modeling &amp; Assimilat Off, Goddard Space Flight Ctr, Greenbelt, MD 20771 USA; [Weir, Brad] Univ Space Res Assoc, Columbia, MD USA; [Manney, Gloria L.] Northwest Res Associates, Socorro, NM USA; [Manney, Gloria L.] New Mexico Inst Min &amp; Technol, Dept Phys, Socorro, NM 87801 USA; [Livesey, Nathaniel J.] CALTECH, Jet Prop Lab, Pasadena, CA USA</t>
  </si>
  <si>
    <t>Science Systems and Applications Inc; National Aeronautics &amp; Space Administration (NASA); NASA Goddard Space Flight Center; Universities Space Research Association (USRA); NorthWest Research Associates; New Mexico Institute of Mining Technology; California Institute of Technology; National Aeronautics &amp; Space Administration (NASA); NASA Jet Propulsion Laboratory (JPL)</t>
  </si>
  <si>
    <t>Wargan, K (corresponding author), Sci Syst &amp; Applicat Inc, Lanham, MD 20706 USA.;Wargan, K (corresponding author), NASA, Global Modeling &amp; Assimilat Off, Goddard Space Flight Ctr, Greenbelt, MD 20771 USA.</t>
  </si>
  <si>
    <t>kris.wargan@gmail.com</t>
  </si>
  <si>
    <t>Cohn, Stephen E/K-1954-2012; Livesey, Nathaniel/AGQ-7257-2022; Manney, Gloria/JED-7207-2023</t>
  </si>
  <si>
    <t>Manney, Gloria/0000-0003-4489-4811; Cohn, Stephen/0000-0001-8506-9354; Weir, Brad/0000-0001-6160-0577; Wargan, Krzysztof/0000-0002-3795-2983</t>
  </si>
  <si>
    <t>NASA's Modeling, Analysis and Prediction (MAP) grant A new look at stratospheric chemistry with multispecies chemical data assimilation; NASA High-End Computing (HEC) Program through the NASA Center for Climate Simulation at Goddard Space Flight Center (GSFC); MAP; Canadian Space Agency</t>
  </si>
  <si>
    <t>NASA's Modeling, Analysis and Prediction (MAP) grant A new look at stratospheric chemistry with multispecies chemical data assimilation; NASA High-End Computing (HEC) Program through the NASA Center for Climate Simulation at Goddard Space Flight Center (GSFC); MAP; Canadian Space Agency(Canadian Space Agency)</t>
  </si>
  <si>
    <t>Funding for this research was provided by NASA's Modeling, Analysis and Prediction (MAP) grant A new look at stratospheric chemistry with multispecies chemical data assimilation. Work at the Jet Propulsion Laboratory, California Institute of Technology, was done under contract with NASA. Resources supporting this work were provided by the NASA High-End Computing (HEC) Program through the NASA Center for Climate Simulation at Goddard Space Flight Center (GSFC). MERRA-2 is an official product of the Global Modeling and Assimilation Office at NASA GSFC, also supported by MAP. ACE-FTS is the primary instrument on the SCISAT satellite, a Canadian-led mission mainly supported by the Canadian Space Agency. We thank three anonymous reviewers whose insightful and thoroughly motivated comments helped us the manuscript significantly.</t>
  </si>
  <si>
    <t>SEP 27</t>
  </si>
  <si>
    <t>e2020JD033335</t>
  </si>
  <si>
    <t>10.1029/2020JD033335</t>
  </si>
  <si>
    <t>NY5BG</t>
  </si>
  <si>
    <t>WOS:000576404200009</t>
  </si>
  <si>
    <t>El-Shenawy, MI; Niles, PB; Ming, DW; Socki, R; Righter, K</t>
  </si>
  <si>
    <t>El-Shenawy, Mohammed I.; Niles, Paul B.; Ming, Doug W.; Socki, Rick; Righter, Kevin</t>
  </si>
  <si>
    <t>Oxygen and carbon stable isotope composition of the weathering Mg-carbonates formed on the surface of the LEW 85320 ordinary chondrite: Revisited</t>
  </si>
  <si>
    <t>METEORITICS &amp; PLANETARY SCIENCE</t>
  </si>
  <si>
    <t>SOLUTION LAYER; WATER FILMS; FRACTIONATION; MARS; CO2; EQUILIBRIUM; SPELEOTHEMS; PRODUCTS; CALCITE; PRECIPITATION</t>
  </si>
  <si>
    <t>New delta C-13 and delta O-18 values were measured to constrain the formation mechanisms of two previously identified generations (Antarctica and Houston) of terrestrial weathering carbonates, nesquehonite, which formed on the surface of the Lewis Cliff 85320 ordinary chondrite. These two nesquehonite generations exhibit a characteristic carbon and oxygen isotopic trend which starts with a linear delta C-13-delta O-18 covariation followed by a continuous increase in delta O-18 with little to no change in delta C-13. Based on the newly developed nesquehonite-water oxygen isotope thermometry and the measured delta O-18 value of melted ice from Antarctica, the formation temperature of the Antarctic nesquehonite generation was estimated to be -1.9 +/- 3 degrees C. Houston nesquehonite generation was most likely formed from an evaporative residue of the melted Antarctic ice at 30 +/- 4 degrees C. Modeling the isotopic trend of the two generations suggests that evaporation created large delta O-18 variations in the nesquehonite while carbon isotopes were stabilized by exchange between the parent liquid and atmospheric CO2. Thus, we suggest that carbonates formed by terrestrial weathering in Antarctica should possess a wide spread in delta O-18 values and a narrow range in delta C-13 values under dry and cold conditions. Finally, the observed wide spread of delta O-18 in Martian carbonates (e.g., Allan Hills 84001 and Nakhla) can be explained by evaporation near 0 degrees C and may have formed by a similar mechanism to that of the nesquehonite in the LEW 85320. Meanwhile, the wide spread of delta C-13 suggests that two carbon reservoirs with distinct isotope compositions on Mars (e.g., the atmospheric carbon and magmatic carbon) may be actively participating in the formation process.</t>
  </si>
  <si>
    <t>[El-Shenawy, Mohammed I.] NASA, Univ Space Res Assoc, Johnson Space Ctr, Houston, TX 77058 USA; [El-Shenawy, Mohammed I.] Beni Suef Univ, Dept Geol, Bani Suwayf 62511, Egypt; [Niles, Paul B.; Ming, Doug W.; Righter, Kevin] NASA, Johnson Space Ctr, Houston, TX 77058 USA; [Socki, Rick] Air Liquide, Delaware Innovat Campus, Newark, DE 19702 USA</t>
  </si>
  <si>
    <t>National Aeronautics &amp; Space Administration (NASA); Universities Space Research Association (USRA); Egyptian Knowledge Bank (EKB); Beni Suef University; National Aeronautics &amp; Space Administration (NASA); Air Liquide</t>
  </si>
  <si>
    <t>El-Shenawy, MI (corresponding author), NASA, Univ Space Res Assoc, Johnson Space Ctr, Houston, TX 77058 USA.;El-Shenawy, MI (corresponding author), Beni Suef Univ, Dept Geol, Bani Suwayf 62511, Egypt.</t>
  </si>
  <si>
    <t>mohamed.elshennawy@science.bsu.edu.eg</t>
  </si>
  <si>
    <t>El-Shenawy, Mohammed I./0000-0002-1979-3018; Righter, Kevin/0000-0002-6075-7908</t>
  </si>
  <si>
    <t>US Antarctic meteorite samples are recovered by the Antarctic Search for Meteorites (ANSMET) program which has been funded by NSF and NASA, and characterized and curated by the Department of Mineral Sciences of the Smithsonian Institution and the Astromaterials Curation Office at NASA Johnson Space Center. This work is also supported by a NASA postdoctoral fellowship awarded to MIE. The authors thank R. Funk, K. Pando, C. Satterwhite, and S. Sendejo for their assistance in the Antarctic meteorite lab. We gratefully acknowledge the help of Loan Le and Valerie Tu with the XRD and SEM sessions. We also thank Drs. Michael Velbel, Hamed Pourkhorsandi, and one anonymous reviewer for their positive feedback, insightful comments, and suggestions which greatly helped us to improve and clarify our manuscript.</t>
  </si>
  <si>
    <t>1086-9379</t>
  </si>
  <si>
    <t>1945-5100</t>
  </si>
  <si>
    <t>METEORIT PLANET SCI</t>
  </si>
  <si>
    <t>Meteorit. Planet. Sci.</t>
  </si>
  <si>
    <t>10.1111/maps.13553</t>
  </si>
  <si>
    <t>NW3UG</t>
  </si>
  <si>
    <t>WOS:000572676500001</t>
  </si>
  <si>
    <t>Krüger, L; Huerta, MF; Cruz, FS; Cárdenas, CA</t>
  </si>
  <si>
    <t>Kruger, Lucas; Huerta, Magdalena F.; Cruz, Francisco Santa; Cardenas, Cesar A.</t>
  </si>
  <si>
    <t>Antarctic krill fishery effects over penguin populations under adverse climate conditions: Implications for the management of fishing practices</t>
  </si>
  <si>
    <t>Antarctic Peninsula; Chinstrap penguin; Gentoo penguin; Population growth rate; Southern annular mode</t>
  </si>
  <si>
    <t>SOUTH SHETLAND ISLANDS; EUPHAUSIA-SUPERBA; ECOSYSTEM APPROACH; BREEDING SITES; SEA-ICE; PENINSULA; BIOMASS; VARIABILITY; DYNAMICS</t>
  </si>
  <si>
    <t>Fast climate changes in the western Antarctic Peninsula are reducing krill density, which along with increased fishing activities in recent decades, may have had synergistic effects on penguin populations. We tested that assumption by crossing data on fishing activities and Southern Annular Mode (an indicator of climate change in Antarctica) with penguin population data. Increases in fishing catch during the non-breeding period were likely to result in impacts on both chinstrap (Pygoscelis antarcticus) and gentoo (P. papua) populations. Catches and climate change together elevated the probability of negative population growth rates: very high fishing catch on years with warm winters and low sea ice (associated with negative Southern Annular Mode values) implied a decrease in population size in the following year. The current management of krill fishery in the Southern Ocean takes into account an arbitrary and fixed catch limit that does not reflect the variability of the krill population under effects of climate change, therefore affecting penguin populations when the environmental conditions were not favorable.</t>
  </si>
  <si>
    <t>[Kruger, Lucas; Cruz, Francisco Santa; Cardenas, Cesar A.] Inst Antartico Chileno, Dept Cient, Plaza Munoz Gamero 1055, Punta Arenas, Chile; [Huerta, Magdalena F.] Univ Austral Chile, Ctr Humed Rio Cruces, Camino Cabo Blanco Alto S-N, Valdivia, Chile</t>
  </si>
  <si>
    <t>Krüger, L (corresponding author), Inst Antartico Chileno, Dept Cient, Plaza Munoz Gamero 1055, Punta Arenas, Chile.</t>
  </si>
  <si>
    <t>lkruger@inach.cl; magdalenahuerta@gmail.com; fsantacruz@inach.cl; ccardenas@inach.cl</t>
  </si>
  <si>
    <t>Krüger, Lucas/O-8912-2015; Cardenas, Cesar/ABF-1664-2020; Santa Cruz, Francisco/ABF-5001-2020</t>
  </si>
  <si>
    <t>Krüger, Lucas/0000-0003-4637-5302; Santa Cruz, Francisco/0000-0002-7894-0153; Cardenas, Cesar/0000-0001-6662-6899</t>
  </si>
  <si>
    <t>10.1007/s13280-020-01386-w</t>
  </si>
  <si>
    <t>WOS:000572978800002</t>
  </si>
  <si>
    <t>Sokol, ER; Barrett, JE; Kohler, TJ; McKnight, DM; Salvatore, MR; Stanish, LF</t>
  </si>
  <si>
    <t>Sokol, Eric R.; Barrett, J. E.; Kohler, Tyler J.; McKnight, Diane M.; Salvatore, Mark R.; Stanish, Lee F.</t>
  </si>
  <si>
    <t>Evaluating Alternative Metacommunity Hypotheses for Diatoms in the McMurdo Dry Valleys Using Simulations and Remote Sensing Data</t>
  </si>
  <si>
    <t>Antarctica; Bacillariophyceae; Nostoc; dispersal; stream ecology</t>
  </si>
  <si>
    <t>GLACIAL MELTWATER STREAMS; SOUTHERN VICTORIA LAND; JAMES-ROSS-ISLAND; TAYLOR VALLEY; POLAR DESERT; HYPORHEIC EXCHANGE; FRYXELL BASIN; PATTERNS; ANTARCTICA; COMMUNITIES</t>
  </si>
  <si>
    <t>Diatoms are diverse and widespread freshwater Eukaryotes that make excellent microbial subjects for addressing questions in metacommunity ecology. In the McMurdo Dry Valleys of Antarctica, the simple trophic structure of glacier-fed streams provides an ideal outdoor laboratory where well-described diatom assemblages are found within two cyanobacterial mat types, which occupy different habitats and vary in coverage within and among streams. Specifically, black mats ofNostocspp. occur in marginal wetted habitats, and orange mats (Oscillatoriaspp. andPhormidiumspp.) occur in areas of consistent stream flow. Despite their importance as bioindicators for changing environmental conditions, the role of dispersal in structuring dry valley diatom metacommunities remains unclear. Here, we use MCSim, a spatially explicit metacommunity simulation package for R, to test alternative hypotheses about the roles of dispersal and species sorting in maintaining the biodiversity of diatom assemblages residing in black and orange mats. The spatial distribution and patchiness of cyanobacterial mat habitats was characterized by remote imagery of the Lake Fryxell sub-catchment in Taylor Valley. The available species pool for diatom metacommunity simulation scenarios was informed by the Antarctic Freshwater Diatoms Database, maintained by the McMurdo Dry Valleys Long Term Ecological Research program. We used simulation outcomes to test the plausibility of alternative community assembly hypotheses to explain empirically observed patterns of freshwater diatom biodiversity in the long-term record. The most plausible simulation scenarios suggest species sorting by environmental filters, alone, was not sufficient to maintain biodiversity in the Fryxell Basin diatom metacommunity. The most plausible scenarios included either (1) neutral models with different immigration rates for diatoms in orange and black mats or (2) species sorting by a relatively weak environmental filter, such that dispersal dynamics also influenced diatom community assembly, but there was not such a strong disparity in immigration rates between mat types. The results point to the importance of dispersal for understanding current and future biodiversity patterns for diatoms in this ecosystem, and more generally, provide further evidence that metacommunity theory is a useful framework for testing hypotheses about microbial community assembly.</t>
  </si>
  <si>
    <t>[Sokol, Eric R.; Stanish, Lee F.] Battelle Mem Inst, Natl Ecol Observ Network NEON, Boulder, CO 80301 USA; [Sokol, Eric R.; McKnight, Diane M.] Univ Colorado, Inst Arctic &amp; Alpine Res NSTAAR, Boulder, CO 80309 USA; [Barrett, J. E.] Virginia Tech, Dept Biol Sci, Blacksburg, VA USA; [Kohler, Tyler J.] Ecole Polytech Fed Lausanne, Stream Biofilm &amp; Ecosystem Res Lab, Sch Architecture Civil &amp; Environm Engn, Lausanne, Switzerland; [Salvatore, Mark R.] No Arizona Univ, Dept Astron &amp; Planetary Sci, Flagstaff, AZ 86011 USA</t>
  </si>
  <si>
    <t>University of Colorado System; University of Colorado Boulder; Virginia Polytechnic Institute &amp; State University; Swiss Federal Institutes of Technology Domain; Ecole Polytechnique Federale de Lausanne; Northern Arizona University</t>
  </si>
  <si>
    <t>Sokol, ER (corresponding author), Battelle Mem Inst, Natl Ecol Observ Network NEON, Boulder, CO 80301 USA.;Sokol, ER (corresponding author), Univ Colorado, Inst Arctic &amp; Alpine Res NSTAAR, Boulder, CO 80309 USA.</t>
  </si>
  <si>
    <t>sokole@gmail.com</t>
  </si>
  <si>
    <t>Barrett, John E/D-5851-2016; Kohler, Tyler Joe/IUO-5352-2023; Sokol, Eric R/D-3956-2011; Sokol, Eric R./HZL-4014-2023</t>
  </si>
  <si>
    <t>Kohler, Tyler Joe/0000-0001-5137-4844; Sokol, Eric R./0000-0001-5923-0917</t>
  </si>
  <si>
    <t>United States National Science Foundation OPP (Antarctic Organisms and Ecosystems) awards [1744785, 1744849, 1745053]; NSF OPP award [1637708]</t>
  </si>
  <si>
    <t>United States National Science Foundation OPP (Antarctic Organisms and Ecosystems) awards; NSF OPP award</t>
  </si>
  <si>
    <t>This work was funded by United States National Science Foundation OPP (Antarctic Organisms and Ecosystems) awards 1744785, 1744849, and 1745053 and NSF OPP award 1637708 supporting the MCM LTER Project.</t>
  </si>
  <si>
    <t>SEP 25</t>
  </si>
  <si>
    <t>10.3389/fevo.2020.521668</t>
  </si>
  <si>
    <t>NY8WV</t>
  </si>
  <si>
    <t>WOS:000576665700001</t>
  </si>
  <si>
    <t>Williams, A; Althaus, F; Maguire, K; Green, M; Untiedt, C; Alderslade, P; Clark, MR; Bax, N; Schlacher, TA</t>
  </si>
  <si>
    <t>Williams, Alan; Althaus, Franziska; Maguire, Kylie; Green, Mark; Untiedt, Candice; Alderslade, Phil; Clark, Malcolm R.; Bax, Nicholas; Schlacher, Thomas A.</t>
  </si>
  <si>
    <t>The Fate of Deep-Sea Coral Reefs on Seamounts in a Fishery-Seascape: What Are the Impacts, What Remains, and What Is Protected?</t>
  </si>
  <si>
    <t>scleractinian coral; Solenosmilia; indicators; towed-camera; vulnerable marine ecosystem; VME; fisheries management</t>
  </si>
  <si>
    <t>CONTINENTAL-MARGIN; LOPHELIA-PERTUSA; WATER CORALS; STONY CORALS; ASSEMBLAGES; CONSERVATION; MANAGEMENT; NETWORK</t>
  </si>
  <si>
    <t>Environmental harm to deep-sea coral reefs on seamounts is widely attributed to bottom trawl fishing. Yet, accurate diagnoses of impacts truly caused by trawling are surprisingly rare. Similarly, comprehensive regional assessments of fishing damage rarely exist, impeding evaluations of, and improvements to, conservation measures. Here we report on trawling impacts to deep-sea scleractinian coral reefs in a regional (10-100s of km) fishery seascape off Tasmania (Australia). Our study was based on 148 km of towed camera transects (95 transects on 51 different seamounts with 284,660 separate video annotations and 4,674 on-seamount images analysed), and commercial trawling logbook data indexing fishing effort on and around seamounts. We detect trawling damage on 88% (45 of 51) of seamounts. Conversely, intact deep-sea coral reefs persist in refuge areas on about 39% (20 of 51) of the seamounts, and extend onto rocky seabed adjacent to seamounts. Depth significantly shapes the severity of trawl damage. The most profound impacts are evident on shallow seamounts (those peaking in &lt; 950 m depths) where recent and repeated trawling reduced reefs built by scleractinian corals to rubble, forming extensive accumulations around seamount peaks and flanks. At intermediate depths (similar to 950-1,500 m), trawling damage is highly variable on individual seamounts, ranging from substantial impacts to no detection of coral loss. Deep seamounts (summit depth &gt; 1,500 m) are beyond the typical operating depth of the trawl fishery and exceed the depth range of living deep-sea coral reefs in the region. Accurately diagnosing the nature and extent of direct trawling impacts on seamount scleractinian coral reefs must use stringent criteria to guard against false positive identifications of trawl impact stemming from either (1) misidentifying areas that naturally lacked deep-sea coral reef as areas where coral had been removed, or (2) attributing trawling as the cause of natural processes of reef degradation. The existence of sizeable deep-sea coral reef refuges in a complex mosaic of spatially variable fishing effort suggests that more nuanced approaches to conservation may be warranted than simply protecting untrawled areas, especially when the biological resources with conservation value are rare in a broader seascape context.</t>
  </si>
  <si>
    <t>[Williams, Alan; Althaus, Franziska; Maguire, Kylie; Green, Mark; Untiedt, Candice; Alderslade, Phil; Bax, Nicholas] CSIRO Oceans &amp; Atmosphere, Hobart, Tas, Australia; [Clark, Malcolm R.] Natl Inst Water &amp; Atmospher Res NIWA, Wellington, New Zealand; [Bax, Nicholas] Univ Tasmania, Inst Marine &amp; Antarctic Sci, Hobart, Tas, Australia; [Schlacher, Thomas A.] Univ Sunshine Coast, Sch Sci &amp; Engn, Maroochydore, Qld, Australia</t>
  </si>
  <si>
    <t>Commonwealth Scientific &amp; Industrial Research Organisation (CSIRO); National Institute of Water &amp; Atmospheric Research (NIWA) - New Zealand; University of Tasmania; University of the Sunshine Coast</t>
  </si>
  <si>
    <t>Williams, A (corresponding author), CSIRO Oceans &amp; Atmosphere, Hobart, Tas, Australia.</t>
  </si>
  <si>
    <t>alan.williams@csim.au</t>
  </si>
  <si>
    <t>Bax, Nicholas/A-2321-2012; Althaus, Franziska/E-4660-2017; Schlacher, Thomas/J-4614-2016</t>
  </si>
  <si>
    <t>Bax, Nicholas/0000-0002-9697-4963; Althaus, Franziska/0000-0002-5336-4612; maguire, kylie/0000-0001-5373-0531; Schlacher, Thomas/0000-0003-2184-9217</t>
  </si>
  <si>
    <t>CSIRO Oceans and Atmosphere; Australian Government National Environmental Science Programme (NESP), Marine Biodiversity Hub; Australian Government; CSIRO; NIWA Coats and Oceans Centre; Parks Australia</t>
  </si>
  <si>
    <t>CSIRO Oceans and Atmosphere; Australian Government National Environmental Science Programme (NESP), Marine Biodiversity Hub; Australian Government(Australian Government); CSIRO(Commonwealth Scientific &amp; Industrial Research Organisation (CSIRO)); NIWA Coats and Oceans Centre; Parks Australia</t>
  </si>
  <si>
    <t>This work originates from a project that is funded, collectively, by CSIRO Oceans and Atmosphere, Parks Australia and the Australian Government National Environmental Science Programme (NESP), Marine Biodiversity Hub. Project data were collected during a voyage on Australia's Marine National Facility Vessel, RV Investigator, funded through the Australian Government. MC acknowledges funding from CSIRO and NIWA Coats and Oceans Centre enabling participation in the survey.</t>
  </si>
  <si>
    <t>10.3389/fmars.2020.567002</t>
  </si>
  <si>
    <t>NX3AQ</t>
  </si>
  <si>
    <t>WOS:000575585600001</t>
  </si>
  <si>
    <t>Yoshida, K; Hattori, H; Toyota, T; McMinn, A; Suzuki, K</t>
  </si>
  <si>
    <t>Yoshida, Kazuhiro; Hattori, Hiroshi; Toyota, Takenobu; McMinn, Andrew; Suzuki, Koji</t>
  </si>
  <si>
    <t>Differences in diversity and photoprotection capability between ice algae and under-ice phytoplankton in Saroma-Ko Lagoon, Japan: a comparative taxonomic diatom analysis with microscopy and DNA barcoding</t>
  </si>
  <si>
    <t>Sea-ice algae; Phytoplankton; Microscopy; DNA barcoding; Diversity; Algal pigments</t>
  </si>
  <si>
    <t>1ST-YEAR SEA-ICE; SOUTHERN-OCEAN; MICROBIAL COMMUNITIES; MARINE-PHYTOPLANKTON; CHLOROPHYLL-A; PIGMENT COMPOSITION; ROSS SEA; PHAEOCYSTIS-ANTARCTICA; NORTHERN HOKKAIDO; LIGHT-ABSORPTION</t>
  </si>
  <si>
    <t>Sea ice algae, comprised mainly of diatoms, are the main primary producers in polar ecosystems, and they are generally distributed with the highest biomass at the bottom of ice. The taxonomy of ice algae has been traditionally investigated using light microscopy, but molecular techniques, including pigment analysis, have recently provided new insights into the diversity and physiology of ice algae. However, no comparative taxonomic survey has been conducted for ice algae thus far. Here, we investigated differences and similarities in (1) the diversity and (2) the photosynthetic strategies of diatom communities in sea ice and the underlying seawater of Saroma-Ko Lagoon, Hokkaido, Japan, using algal pigment signatures determined by ultra-high performance liquid chromatography, light and scanning electron microscopy and Ion Torrent next-generation sequencing techniques targeting the 18S rRNA gene (i.e., DNA barcoding). Ice algae typically possessed greater biomass (&gt; 20-fold) and chlorophyll (Chl)abreakdown products than under-ice phytoplankton, suggesting that the ice algae formed blooms, and cell senescence and disruption could be significant mitigating factors. At the genus level, the diversity of diatoms in sea ice was higher than in under-ice seawater, although the evenness was comparable or lower in ice algae than in under-ice phytoplankton. Ice algae had a larger xanthophyll pool size and a higher ratio of photoprotective to photosynthetic pigments (11-fold and 4.5-fold higher, respectively) than under-ice phytoplankton. The results indicated that ice algae were well adapted to changes in the light regime, which could partly support their survival capability and high taxonomic diversity.</t>
  </si>
  <si>
    <t>[Yoshida, Kazuhiro; Toyota, Takenobu; Suzuki, Koji] Hokkaido Univ, Grad Sch Environm Sci, Kita Ku, N10W5, Sapporo, Hokkaido 0600810, Japan; [Yoshida, Kazuhiro; McMinn, Andrew] Univ Tasmania, Inst Marine &amp; Antarctic Studies, 20 Castray Esplanade, Battery Point, Tas 7004, Australia; [Hattori, Hiroshi] Tokai Univ, Dept Marine Biol &amp; Sci, Minami Ku, 5-1-1-1 Minami Sawa, Sapporo, Hokkaido 0058601, Japan; [Toyota, Takenobu] Hokkaido Univ, Inst Low Temp Sci, Kita Ku, N19W8, Sapporo, Hokkaido 0600819, Japan; [Suzuki, Koji] Hokkaido Univ, Fac Environm Earth Sci, Kita Ku, N10W5, Sapporo, Hokkaido 0600810, Japan</t>
  </si>
  <si>
    <t>Hokkaido University; University of Tasmania; Tokai University; Hokkaido University; Hokkaido University</t>
  </si>
  <si>
    <t>Yoshida, K; Suzuki, K (corresponding author), Hokkaido Univ, Grad Sch Environm Sci, Kita Ku, N10W5, Sapporo, Hokkaido 0600810, Japan.;Yoshida, K (corresponding author), Univ Tasmania, Inst Marine &amp; Antarctic Studies, 20 Castray Esplanade, Battery Point, Tas 7004, Australia.;Suzuki, K (corresponding author), Hokkaido Univ, Fac Environm Earth Sci, Kita Ku, N10W5, Sapporo, Hokkaido 0600810, Japan.</t>
  </si>
  <si>
    <t>kyoshida711@ees.hokudai.ac.jp; kojis@ees.hokudai.ac.jp</t>
  </si>
  <si>
    <t>Toyota, Takenobu/D-9101-2012; Yoshida, Kazuhiro/AFT-5503-2022; Yoshida, Kazuhiro/AAG-8324-2021; McMinn, Andrew/A-9910-2008; Suzuki, Koji/AAD-2630-2022; Suzuki, Koji/A-4349-2013; Suzuki, Koji/GVS-9807-2022</t>
  </si>
  <si>
    <t>Yoshida, Kazuhiro/0000-0001-5768-8561; Yoshida, Kazuhiro/0000-0001-5768-8561; Suzuki, Koji/0000-0001-5354-1044; Suzuki, Koji/0000-0001-5354-1044; McMinn, Andrew/0000-0002-2133-3854; Toyota, Takenobu/0000-0003-1264-1844</t>
  </si>
  <si>
    <t>JSPS KAKENHI [JP18H00352, JP17H00775]</t>
  </si>
  <si>
    <t>JSPS KAKENHI(Ministry of Education, Culture, Sports, Science and Technology, Japan (MEXT)Japan Society for the Promotion of ScienceGrants-in-Aid for Scientific Research (KAKENHI))</t>
  </si>
  <si>
    <t>The authors are grateful to Ms. Haruka Nakajima, Mr. Tetsu Tosaka, and Ms. Wendy Wyker for their assistance in the identification of protists with light microscopy. We wish to acknowledge Dr. Toru Hirawake and Dr. Andrew Martin for their assistance in the sea ice sampling. We are grateful to Prof. Shigeru Aoki for organizing the sea ice observations in Saroma-Ko Lagoon. This work was partially supported by JSPS KAKENHI (Grant Numbers JP18H00352 and JP17H00775).</t>
  </si>
  <si>
    <t>10.1007/s00300-020-02751-x</t>
  </si>
  <si>
    <t>WOS:000572697300001</t>
  </si>
  <si>
    <t>Zhang, T; Wang, NF; Yu, LY</t>
  </si>
  <si>
    <t>Zhang, Tao; Wang, Nengfei; Yu, Liyan</t>
  </si>
  <si>
    <t>Soil fungal community composition differs significantly among the Antarctic, Arctic, and Tibetan Plateau</t>
  </si>
  <si>
    <t>EXTREMOPHILES</t>
  </si>
  <si>
    <t>Fungal diversity; High-throughput sequencing; Geographical location; Physicochemical properties</t>
  </si>
  <si>
    <t>DISTINCT MICROBIAL COMMUNITIES; DIVERSITY; BIOGEOGRAPHY</t>
  </si>
  <si>
    <t>Fungi are widely distributed in all terrestrial ecosystems, and they are essential to the recycling of nutrients in all terrestrial habitats on earth. We wanted to determine the relationship between soil fungal communities and geochemical factors (geographical location and soil physicochemical properties) in three widely separated geographical regions (the Antarctic, Arctic, and Tibet Plateau). Using high-throughput Illumina amplicon sequencing, we characterized the fungal communities in 53 soil samples collected from the three regions. The fungal richness and diversity indices were not significantly different among the three regions. However, fungal community composition and many fungal taxa (Thelebolales,Verrucariales,Sordariales,Chaetothyriales,Hypocreales,Pleosporales,Capnodiales, andDothideales) significantly differed among three regions. Furthermore, geographical location (latitude and altitude) and six soil physicochemical properties (SiO42--Si, pH, NO3--N, organic nitrogen, NO2--N, and organic carbon) were significant geochemical factors those were correlated with the soil fungal community composition. These results suggest that many geochemical factors influence the distribution of the fungal species within the Antarctic, Arctic, and Tibet Plateau.</t>
  </si>
  <si>
    <t>[Zhang, Tao; Yu, Liyan] Chinese Acad Med Sci, Inst Med Biotechnol, China Pharmaceut Culture Collect, Beijing, Peoples R China; [Zhang, Tao; Yu, Liyan] Peking Union Med Coll, Beijing, Peoples R China; [Wang, Nengfei] Minist Nat Resources, Inst Oceanog 1, Key Lab Marine Bioact Subst, Qingdao, Peoples R China</t>
  </si>
  <si>
    <t>Chinese Academy of Medical Sciences - Peking Union Medical College; Institute of Medicinal Biotechnology - CAMS; Chinese Academy of Medical Sciences - Peking Union Medical College; Peking Union Medical College; First Institute of Oceanography, Ministry of Natural Resources; Ministry of Natural Resources of the People's Republic of China</t>
  </si>
  <si>
    <t>Zhang, T; Yu, LY (corresponding author), Chinese Acad Med Sci, Inst Med Biotechnol, China Pharmaceut Culture Collect, Beijing, Peoples R China.;Zhang, T; Yu, LY (corresponding author), Peking Union Med Coll, Beijing, Peoples R China.</t>
  </si>
  <si>
    <t>zhangt@cpcc.ac.cn; yly@cpcc.ac.cn</t>
  </si>
  <si>
    <t>yu, liyan/GYD-2950-2022</t>
  </si>
  <si>
    <t>yu, liyan/0000-0002-8861-9806</t>
  </si>
  <si>
    <t>National Natural Science Foundation of China (NSFC) [31670025, 81621064]; National Science and Technology Project of China [2017ZX09301072, 2018ZX09711001-007-001]; Projects of the Chinese Arctic and Antarctic Administration, State Oceanic Administration; National Infrastructure of Microbial Resources [NIMR-2020-3]; CAMS Innovation Fund for Medical Sciences [2016-I2M-2-002]</t>
  </si>
  <si>
    <t>National Natural Science Foundation of China (NSFC)(National Natural Science Foundation of China (NSFC)); National Science and Technology Project of China; Projects of the Chinese Arctic and Antarctic Administration, State Oceanic Administration; National Infrastructure of Microbial Resources; CAMS Innovation Fund for Medical Sciences</t>
  </si>
  <si>
    <t>This research was supported by National Natural Science Foundation of China (NSFC) (Grant nos. 31670025 and 81621064); National Science and Technology Project of China (Nos. 2017ZX09301072 and 2018ZX09711001-007-001); Projects of the Chinese Arctic and Antarctic Administration, State Oceanic Administration; National Infrastructure of Microbial Resources (Grant No. NIMR-2020-3); CAMS Innovation Fund for Medical Sciences (Grant No. 2016-I2M-2-002).</t>
  </si>
  <si>
    <t>SPRINGER JAPAN KK</t>
  </si>
  <si>
    <t>SHIROYAMA TRUST TOWER 5F, 4-3-1 TORANOMON, MINATO-KU, TOKYO, 105-6005, JAPAN</t>
  </si>
  <si>
    <t>1431-0651</t>
  </si>
  <si>
    <t>1433-4909</t>
  </si>
  <si>
    <t>Extremophiles</t>
  </si>
  <si>
    <t>10.1007/s00792-020-01197-7</t>
  </si>
  <si>
    <t>Biochemistry &amp; Molecular Biology; Microbiology</t>
  </si>
  <si>
    <t>OA9KA</t>
  </si>
  <si>
    <t>WOS:000572587400001</t>
  </si>
  <si>
    <t>Henderson, AF; McMahon, CR; Harcourt, R; Guinet, C; Picard, B; Wotherspoon, S; Hindell, MA</t>
  </si>
  <si>
    <t>Henderson, Angus F.; McMahon, Clive R.; Harcourt, Rob; Guinet, Christophe; Picard, Baptiste; Wotherspoon, Simon; Hindell, Mark A.</t>
  </si>
  <si>
    <t>Inferring Variation in Southern Elephant Seal At-Sea Mortality by Modelling Tag Failure</t>
  </si>
  <si>
    <t>satellite telemetry; Southern Ocean; ARGOS; Mirounge leonine; survival %; migration; SES; IMOS animal tracking facility</t>
  </si>
  <si>
    <t>MIROUNGA-LEONINA; GOOSE BARNACLES; BODY CONDITION; CLIMATE-CHANGE; POPULATION; SURVIVAL; KERGUELEN; BEHAVIOR; MOTHERS; CIRCULATION</t>
  </si>
  <si>
    <t>Identifying factors influencing survivorship is key to understanding population persistence. Although satellite telemetry is a powerful tool for studying remote animal ecology and behaviour it is rarely used for demographic studies because distinguishing the death of the animal (individual mortality) from failure of the tag (mechanical tag failure) has proven difficult. Southern elephant seals present an opportunity to separate tag failure from animal mortality thanks to the availability of large tracking datasets, broad knowledge of demographic rates, and because for these large animals, satellite tags are known not to influence mortality rates. A key rationale for investigating satellite telemetry to estimate mortality as compared to using traditional Capture-Mark-Recapture methods is the potential for obtaining spatially and temporally specific information, particularly while the animals are at sea and largely unobservable. We used satellite tag data from 182 seals from Isles Kerguelen, deployed between 2004 and 2018. Of these, 76 (42%) tags transmitted for the full post-moult foraging trip (max. 265 days for females and max. 305 days for sub-adult males) with the remaining 107 tags (58%) ceasing transmission at sea. We found that contrary to expectations, behavioural choices seem not to influence tag failure rates by mechanical means, rather the signals we detected seemed to align with previously described variation in mortality between groups. There was evidence, albeit limited, for an increase in tag failure for adult females in years with negative Southern Annular Mode (lower Southern Ocean productivity). We speculate that this increase in failure may suggest higher mortality in these years. Also, males using the Kerguelen Plateau had higher tag failure rates than those in the sea-ice zone, perhaps indicative of higher mortality. We suspect that these differences in tag failure rates between groups reflect variation in predator exposure and foraging success. This suggests satellite telemetry could be used to infer mortality events for southern elephant seals while they are at sea.</t>
  </si>
  <si>
    <t>[Henderson, Angus F.; McMahon, Clive R.; Wotherspoon, Simon; Hindell, Mark A.] Univ Tasmania, Coll Sci &amp; Engn, Inst Marine &amp; Antarctic Studies, Hobart, Tas, Australia; [McMahon, Clive R.] Sydney Inst Marine Sci, IMOS Anim Tracking Facil Satellite Tagging, Mosman, NSW, Australia; [McMahon, Clive R.; Harcourt, Rob] Macquarie Univ, Fac Sci &amp; Engn, Dept Biol Sci, Sydney, NSW, Australia; [Guinet, Christophe; Picard, Baptiste] La Rochelle Univ, Ctr Etud Biol Chize, UMR 7372, CNRS, Villiers En Bois, France; [Wotherspoon, Simon] Australian Antarctic Div, Kingston, Tas, Australia</t>
  </si>
  <si>
    <t>University of Tasmania; Sydney Institute of Marine Science; Macquarie University; Centre National de la Recherche Scientifique (CNRS); CNRS - Institute of Ecology &amp; Environment (INEE); Australian Antarctic Division</t>
  </si>
  <si>
    <t>Henderson, AF (corresponding author), Univ Tasmania, Coll Sci &amp; Engn, Inst Marine &amp; Antarctic Studies, Hobart, Tas, Australia.</t>
  </si>
  <si>
    <t>angus.henderson@utas.edu.au</t>
  </si>
  <si>
    <t>Hindell, Mark A/K-1131-2013; Wotherspoon, Simon J/B-2390-2013; McMahon, Clive R/D-5713-2013</t>
  </si>
  <si>
    <t>Wotherspoon, Simon J/0000-0002-6947-4445; McMahon, Clive R/0000-0001-5241-8917; Baptiste, Picard/0000-0001-9565-9446; Henderson, Angus/0000-0002-0112-3913; Harcourt, Robert/0000-0003-4666-2934</t>
  </si>
  <si>
    <t>French Polar Institute [109, 1201]; SNO-MEMO; CNES-TOSCA</t>
  </si>
  <si>
    <t>French Polar Institute; SNO-MEMO; CNES-TOSCA</t>
  </si>
  <si>
    <t>This work was supported by the French Polar Institute (programme 109: PI. H. Weimerskirch and 1201: PI. C. Gilbert and CG), the SNO-MEMO and CNES-TOSCA. In collaboration with The Integrated Marine Observing System. Australia's Integrated Marine Observing System (IMOS) is enabled by the National Collaborative Research Infrastructure Strategy (NCRIS). It is operated by a consortium of institutions as an unincorporated joint venture, with the University of Tasmania as Lead Agent.</t>
  </si>
  <si>
    <t>SEP 24</t>
  </si>
  <si>
    <t>10.3389/fmars.2020.517901</t>
  </si>
  <si>
    <t>NX2XY</t>
  </si>
  <si>
    <t>WOS:000575578600001</t>
  </si>
  <si>
    <t>Heymans, JJ; Bundy, A; Christensen, V; Coll, M; de Mutsert, K; Fulton, EA; Piroddi, C; Shin, YJ; Steenbeek, J; Travers-Trolet, M</t>
  </si>
  <si>
    <t>Heymans, Johanna J.; Bundy, Alida; Christensen, Villy; Coll, Marta; de Mutsert, Kim; Fulton, Elizabeth A.; Piroddi, Chiara; Shin, Yunne-Jai; Steenbeek, Jeroen; Travers-Trolet, Morgane</t>
  </si>
  <si>
    <t>The Ocean Decade: A True Ecosystem Modeling Challenge</t>
  </si>
  <si>
    <t>Ocean Decade; ecosystem modeling; climate change; ecosystem based management (EBM); sustainable development goals (SDG)</t>
  </si>
  <si>
    <t>FOOD-WEB</t>
  </si>
  <si>
    <t>[Heymans, Johanna J.] European Marine Board EMB, Oostende, Belgium; [Bundy, Alida] Bedford Inst Oceanog BIO, Ocean Ecosyst Sci Div, Dartmouth, NS, Canada; [Christensen, Villy] Univ British Columbia, Inst Oceans &amp; Fisheries, Vancouver, BC, Canada; [Coll, Marta] Spanish Natl Res Council, Inst Marine Sci, Barcelona, Spain; [Coll, Marta; Steenbeek, Jeroen] Ecopath Int Initiat, Barcelona, Spain; [de Mutsert, Kim] George Mason Univ, Dept Environm Sci &amp; Policy, Fairfax, VA 22030 USA; [de Mutsert, Kim; Fulton, Elizabeth A.] Univ Tasmania, Coll Sci &amp; Engn, Inst Marine &amp; Antarctic Studies, Ctr Marine Socioecol, Hobart, Tas, Australia; [de Mutsert, Kim; Fulton, Elizabeth A.] Oceans &amp; Atmosphere CSIRO, Hobart, Tas, Australia; [Piroddi, Chiara] European Commiss, Joint Res Ctr JRC, Ispra, Italy; [Shin, Yunne-Jai] Univ Montpellier, IRD, IFREMER, CNRS,MARBEC, Montpellier, France; [Travers-Trolet, Morgane] Inst Francais Rech Exploitat Mer IFREMER, Nantes, France</t>
  </si>
  <si>
    <t>Bedford Institute of Oceanography; University of British Columbia; Consejo Superior de Investigaciones Cientificas (CSIC); CSIC - Centro Mediterraneo de Investigaciones Marinas y Ambientales (CMIMA); CSIC - Instituto de Ciencias del Mar (ICM); George Mason University; University of Tasmania; Commonwealth Scientific &amp; Industrial Research Organisation (CSIRO); European Commission Joint Research Centre; EC JRC ISPRA Site; Ifremer; Centre National de la Recherche Scientifique (CNRS); Institut de Recherche pour le Developpement (IRD); Universite de Montpellier; Ifremer</t>
  </si>
  <si>
    <t>Heymans, JJ (corresponding author), European Marine Board EMB, Oostende, Belgium.</t>
  </si>
  <si>
    <t>sheilaheymans@yahoo.com</t>
  </si>
  <si>
    <t>de Mutsert, Kim/AAV-1035-2020; Steenbeek, Jeroen Gerhard/F-9936-2016; Fulton, Beth/A-2871-2008; Coll, Marta/A-9488-2012; Piroddi, Chiara/AAD-8895-2019; Shin, Yunne-Jai/A-7575-2012; Christensen, Villy/C-3945-2009</t>
  </si>
  <si>
    <t>de Mutsert, Kim/0000-0002-7902-3787; Steenbeek, Jeroen Gerhard/0000-0002-7878-8075; Travers-Trolet, Morgane/0000-0003-1493-662X; Shin, Yunne-Jai/0000-0002-7259-9265; Christensen, Villy/0000-0003-0688-2633</t>
  </si>
  <si>
    <t>Biodiversa and Belmont Forumproject SOMBEE (BiodivScen programme, ANR) [ANR-18-EBI4-0003-01]; European Union [817578, 869300]; NSERC Discovery Grant [RGPIN2019-04901]; Agence Nationale de la Recherche (ANR) [ANR-18-EBI4-0003] Funding Source: Agence Nationale de la Recherche (ANR)</t>
  </si>
  <si>
    <t>Biodiversa and Belmont Forumproject SOMBEE (BiodivScen programme, ANR)(Agence Nationale de la Recherche (ANR)); European Union(European Union (EU)); NSERC Discovery Grant(Natural Sciences and Engineering Research Council of Canada (NSERC)); Agence Nationale de la Recherche (ANR)(Agence Nationale de la Recherche (ANR))</t>
  </si>
  <si>
    <t>Y-jS and MT-T have been partially funded by the Biodiversa and Belmont Forumproject SOMBEE (BiodivScen programme, ANR contract N.ANR-18-EBI4-0003-01). MC and JS were funded by the European Union's Horizon 2020 research and innovation programme under grant agreement N. 817578 (TRIATLAS project) and MC also received funding from the European Union's Horizon 2020 research and innovation programme under grant agreement N. 869300 (FutureMARES project). VC acknowledges support through NSERC Discovery Grant RGPIN2019-04901.</t>
  </si>
  <si>
    <t>10.3389/fmars.2020.554573</t>
  </si>
  <si>
    <t>NX2XM</t>
  </si>
  <si>
    <t>WOS:000575577400001</t>
  </si>
  <si>
    <t>Langlois, T; Goetze, J; Bond, T; Monk, J; Abesamis, RA; Asher, J; Barrett, N; Bernard, ATF; Bouchet, PJ; Birt, MJ; Cappo, M; Currey-Randall, LM; Driessen, D; Fairclough, DV; Fullwood, LAF; Gibbons, BA; Harasti, D; Heupel, MR; Hicks, J; Holmes, TH; Huveneers, C; Ierodiaconou, D; Jordan, A; Knott, NA; Lindfield, S; Malcolm, HA; McLean, D; Meekan, M; Miller, D; Mitchell, PJ; Newman, SJ; Radford, B; Rolim, FA; Saunders, BJ; Stowar, M; Smith, ANH; Travers, MJ; Wakefield, CB; Whitmarsh, SK; Williams, J; Harvey, ES</t>
  </si>
  <si>
    <t>Langlois, Tim; Goetze, Jordan; Bond, Todd; Monk, Jacquomo; Abesamis, Rene A.; Asher, Jacob; Barrett, Neville; Bernard, Anthony T. F.; Bouchet, Phil J.; Birt, Matthew J.; Cappo, Mike; Currey-Randall, Leanne M.; Driessen, Damon; Fairclough, David V.; Fullwood, Laura A. F.; Gibbons, Brooke A.; Harasti, David; Heupel, Michelle R.; Hicks, Jamie; Holmes, Thomas H.; Huveneers, Charlie; Ierodiaconou, Daniel; Jordan, Alan; Knott, Nathan A.; Lindfield, Steve; Malcolm, Hamish A.; McLean, Dianne; Meekan, Mark; Miller, David; Mitchell, Peter J.; Newman, Stephen J.; Radford, Ben; Rolim, Fernanda A.; Saunders, Benjamin J.; Stowar, Marcus; Smith, Adam N. H.; Travers, Michael J.; Wakefield, Corey B.; Whitmarsh, Sasha K.; Williams, Joel; Harvey, Euan S.</t>
  </si>
  <si>
    <t>A field and video annotation guide for baited remote underwater stereo-video surveys of demersal fish assemblages</t>
  </si>
  <si>
    <t>METHODS IN ECOLOGY AND EVOLUTION</t>
  </si>
  <si>
    <t>monitoring (population ecology); population ecology; sampling</t>
  </si>
  <si>
    <t>REEF FISH; HABITAT ASSOCIATIONS; LENGTH; SYSTEM; ABUNDANCE; ASSESSMENTS; INDICATORS; PATTERNS; STATIONS; BIOMASS</t>
  </si>
  <si>
    <t>Baited remote underwater stereo-video systems (stereo-BRUVs) are a popular tool to sample demersal fish assemblages and gather data on their relative abundance and body size structure in a robust, cost-effective and non-invasive manner. Given the rapid uptake of the method, subtle differences have emerged in the way stereo-BRUVs are deployed and how the resulting imagery is annotated. These disparities limit the interoperability of datasets obtained across studies, preventing broadscale insights into the dynamics of ecological systems. We provide the first globally accepted guide for using stereo-BRUVs to survey demersal fish assemblages and associated benthic habitats. Information on stereo-BRUVs design, camera settings, field operations and image annotation are outlined. Additionally, we provide links to protocols for data validation, archiving and sharing. Globally, the use of stereo-BRUVs is spreading rapidly. We provide a standardized protocol that will reduce methodological variation among researchers and encourage the use of Findable, Accessible, Interoperable and Reusable workflows to increase the ability to synthesize global datasets and answer a broad suite of ecological questions.</t>
  </si>
  <si>
    <t>[Langlois, Tim; Bond, Todd; Gibbons, Brooke A.; Holmes, Thomas H.; McLean, Dianne] Univ Western Australia, UWA Oceans Inst, Perth, WA, Australia; [Langlois, Tim; Bond, Todd; Gibbons, Brooke A.; Holmes, Thomas H.; McLean, Dianne] Univ Western Australia, Sch Biol Sci, Perth, WA, Australia; [Goetze, Jordan; Holmes, Thomas H.] Dept Biodivers Conservat &amp; Attract, Marine Sci Program, Biodivers &amp; Conservat Sci, Kensington, WA, Australia; [Goetze, Jordan; Driessen, Damon; Fairclough, David V.; Fullwood, Laura A. F.; Newman, Stephen J.; Saunders, Benjamin J.; Travers, Michael J.; Wakefield, Corey B.; Harvey, Euan S.] Curtin Univ, Sch Mol &amp; Life Sci, Perth, WA, Australia; [Monk, Jacquomo; Barrett, Neville; Jordan, Alan] Univ Tasmania, Inst Marine &amp; Antarctic Studies, Hobart, Tas, Australia; [Abesamis, Rene A.] Silliman Univ, Angelo King Ctr Res &amp; Environm Management, Dumaguete, Philippines; [Asher, Jacob] NOAA Inouye Reg Ctr, NOAA Fisheries, Pacific Isl Fisheries Sci Ctr, Sci Operat Div, Honolulu, HI USA; [Asher, Jacob] Univ Hawaii Manoa, Joint Inst Marine &amp; Atmospher Res, Honolulu, HI 96822 USA; [Bernard, Anthony T. F.] South African Inst Aquat Biodivers, Grahamstown, South Africa; [Bernard, Anthony T. F.] Rhodes Univ, Dept Zool &amp; Entomol, Grahamstown, South Africa; [Bouchet, Phil J.] Univ St Andrews, Ctr Res Ecol &amp; Environm Modelling, Sch Math &amp; Stat, St Andrews, Fife, Scotland; [Birt, Matthew J.; McLean, Dianne; Meekan, Mark; Radford, Ben] Indian Ocean Marine Res Ctr, Australian Inst Marine Sci, Perth, WA, Australia; [Cappo, Mike; Currey-Randall, Leanne M.; Heupel, Michelle R.; Stowar, Marcus] Australian Inst Marine Sci, Townsville, Qld, Australia; [Fairclough, David V.; Newman, Stephen J.; Travers, Michael J.; Wakefield, Corey B.] Govt Western Australia, Western Australian Fisheries &amp; Marine Res Labs, Dept Primary Ind &amp; Reg Dev, North Beach, WA, Australia; [Harasti, David; Williams, Joel] NSW Dept Primary Ind, Fisheries Res, Taylors Beach, NSW, Australia; [Hicks, Jamie; Miller, David] Dept Environm &amp; Water, Marine Sci Program, Sci &amp; Corp Serv Div, Adelaide, SA, Australia; [Huveneers, Charlie; Whitmarsh, Sasha K.] Flinders Univ S Australia, Southern Shark Ecol Grp, Coll Sci &amp; Engn, Bedford Pk, SA, Australia; [Ierodiaconou, Daniel] Deakin Univ, Sch Life &amp; Environm Sci, Ctr Integrat Ecol, Warrnambool, Vic, Australia; [Knott, Nathan A.] NSW Dept Primary Ind, Fisheries Res, Huskisson, NSW, Australia; [Lindfield, Steve] Coral Reef Res Fdn, Koror, Palau; [Malcolm, Hamish A.] NSW Dept Primary Ind, Fisheries Res, Coffs Harbour, NSW, Australia; [Mitchell, Peter J.] Ctr Environm Fisheries &amp; Aquaculture Sci, Lowestoft, Suffolk, England; [Rolim, Fernanda A.] Sao Paulo State Univ, Elasmobranch Res Lab, Inst Biosci, Sao Vicente, SP, Brazil; [Smith, Adam N. H.] Massey Univ, Sch Nat &amp; Computat Sci, Auckland, New Zealand</t>
  </si>
  <si>
    <t>University of Western Australia; University of Western Australia; Curtin University; University of Tasmania; Silliman University; National Oceanic Atmospheric Admin (NOAA) - USA; University of Hawaii System; University of Hawaii Manoa; National Research Foundation - South Africa; South African Institute for Aquatic Biodiversity; Rhodes University; University of St Andrews; University of Western Australia; Australian Institute of Marine Science; Australian Institute of Marine Science; Western Australian Fisheries &amp; Marine Research Laboratories; Government of Western Australia; NSW Department of Primary Industries; Flinders University South Australia; Deakin University; NSW Department of Primary Industries; NSW Department of Primary Industries; Centre for Environment Fisheries &amp; Aquaculture Science; Universidade Estadual Paulista; Massey University</t>
  </si>
  <si>
    <t>Goetze, J (corresponding author), Dept Biodivers Conservat &amp; Attract, Marine Sci Program, Biodivers &amp; Conservat Sci, Kensington, WA, Australia.;Goetze, J (corresponding author), Curtin Univ, Sch Mol &amp; Life Sci, Perth, WA, Australia.</t>
  </si>
  <si>
    <t>gertza@gmail.com</t>
  </si>
  <si>
    <t>Bouchet, Phil J/I-4360-2019; Rolim, Fernanda/U-4498-2019; Bond, Todd/AAO-9083-2020; Williams, Joel/R-8997-2019; Knott, Nathan/AAA-8888-2019; Abesamis, Rene A./AAE-1917-2022; Bernard, Anthony/M-8292-2019; Ierodiaconou, Daniel A/B-9915-2008; Saunders, Benjamin/AAB-6617-2019; Goetze, Jordan/J-3099-2015; Barrett, Neville/J-7593-2014; McLean, Dianne/H-2449-2012; Harvey, Euan/B-2896-2011; Newman, Stephen/C-4507-2016</t>
  </si>
  <si>
    <t>Bouchet, Phil J/0000-0002-2144-2049; Rolim, Fernanda/0000-0003-3761-3970; Bond, Todd/0000-0001-6064-7015; Williams, Joel/0000-0002-4173-3855; Knott, Nathan/0000-0002-7873-0412; Abesamis, Rene A./0000-0001-7456-1415; Bernard, Anthony/0000-0003-0482-6283; Saunders, Benjamin/0000-0003-1929-518X; Currey-Randall, Leanne M/0000-0002-3772-1288; Goetze, Jordan/0000-0002-3090-9763; Barrett, Neville/0000-0002-6167-1356; Fairclough, David/0000-0002-9620-5064; McLean, Dianne/0000-0002-0306-8348; Harvey, Euan/0000-0002-9069-4581; Meekan, Mark/0000-0002-3067-9427; Huveneers, Charlie/0000-0001-8937-1358; Smith, Adam/0000-0003-0059-6206; Langlois, Tim/0000-0001-6404-4000; Gibbons, Brooke/0000-0002-0628-7781; Newman, Stephen/0000-0002-5324-5568</t>
  </si>
  <si>
    <t>Australian Government's National Environmental Science Program; Australian Research Data Commons; GorgonBarrow Island Gorgon Barrow Island Net Conservation Benefits Fund</t>
  </si>
  <si>
    <t>Australian Government's National Environmental Science Program(Australian Government); Australian Research Data Commons; GorgonBarrow Island Gorgon Barrow Island Net Conservation Benefits Fund</t>
  </si>
  <si>
    <t>2041-210X</t>
  </si>
  <si>
    <t>2041-2096</t>
  </si>
  <si>
    <t>METHODS ECOL EVOL</t>
  </si>
  <si>
    <t>Methods Ecol. Evol.</t>
  </si>
  <si>
    <t>10.1111/2041-210X.13470</t>
  </si>
  <si>
    <t>OJ2CW</t>
  </si>
  <si>
    <t>WOS:000572262800001</t>
  </si>
  <si>
    <t>Garbe, J; Albrecht, T; Levermann, A; Donges, JF; Winkelmann, R</t>
  </si>
  <si>
    <t>Garbe, Julius; Albrecht, Torsten; Levermann, Anders; Donges, Jonathan F.; Winkelmann, Ricarda</t>
  </si>
  <si>
    <t>The hysteresis of the Antarctic Ice Sheet</t>
  </si>
  <si>
    <t>WEST ANTARCTICA; PINE ISLAND; MODEL PISM; CLIMATE; GLACIERS; STABILITY; DISCHARGE; CONFIGURATION; PERFORMANCE; THRESHOLDS</t>
  </si>
  <si>
    <t>More than half of Earth's freshwater resources are held by the Antarctic Ice Sheet, which thus represents by far the largest potential source for global sea-level rise under future warming conditions(1). Its long-term stability determines the fate of our coastal cities and cultural heritage. Feedbacks between ice, atmosphere, ocean, and the solid Earth give rise to potential nonlinearities in its response to temperature changes. So far, we are lacking a comprehensive stability analysis of the Antarctic Ice Sheet for different amounts of global warming. Here we show that the Antarctic Ice Sheet exhibits a multitude of temperature thresholds beyond which ice loss is irreversible. Consistent with palaeodata(2)we find, using the Parallel Ice Sheet Model(3-5), that at global warming levels around 2 degrees Celsius above pre-industrial levels, West Antarctica is committed to long-term partial collapse owing to the marine ice-sheet instability. Between 6 and 9 degrees of warming above pre-industrial levels, the loss of more than 70 per cent of the present-day ice volume is triggered, mainly caused by the surface elevation feedback. At more than 10 degrees of warming above pre-industrial levels, Antarctica is committed to become virtually ice-free. The ice sheet's temperature sensitivity is 1.3 metres of sea-level equivalent per degree of warming up to 2 degrees above pre-industrial levels, almost doubling to 2.4 metres per degree of warming between 2 and 6 degrees and increasing to about 10 metres per degree of warming between 6 and 9 degrees. Each of these thresholds gives rise to hysteresis behaviour: that is, the currently observed ice-sheet configuration is not regained even if temperatures are reversed to present-day levels. In particular, the West Antarctic Ice Sheet does not regrow to its modern extent until temperatures are at least one degree Celsius lower than pre-industrial levels. Our results show that if the Paris Agreement is not met, Antarctica's long-term sea-level contribution will dramatically increase and exceed that of all other sources. Modelling shows that the Antarctic Ice Sheet exhibits multiple temperature thresholds beyond which ice loss would become irreversible, and once melted, the ice sheet can regain its previous mass only if the climate cools well below pre-industrial temperatures.</t>
  </si>
  <si>
    <t>[Garbe, Julius; Albrecht, Torsten; Levermann, Anders; Donges, Jonathan F.; Winkelmann, Ricarda] Leibniz Assoc, Potsdam Inst Climate Impact Res PIK, Potsdam, Germany; [Garbe, Julius; Levermann, Anders; Winkelmann, Ricarda] Univ Potsdam, Inst Phys &amp; Astron, Potsdam, Germany; [Levermann, Anders] Columbia Univ, Lamont Doherty Earth Observ, New York, NY USA; [Donges, Jonathan F.] Stockholm Univ, Stockholm Resilience Ctr, Stockholm, Sweden</t>
  </si>
  <si>
    <t>Potsdam Institut fur Klimafolgenforschung; University of Potsdam; Columbia University; Stockholm University</t>
  </si>
  <si>
    <t>Winkelmann, R (corresponding author), Leibniz Assoc, Potsdam Inst Climate Impact Res PIK, Potsdam, Germany.;Winkelmann, R (corresponding author), Univ Potsdam, Inst Phys &amp; Astron, Potsdam, Germany.</t>
  </si>
  <si>
    <t>ricarda.winkelmann@pik-potsdam.de</t>
  </si>
  <si>
    <t>Garbe, Julius/AAY-2415-2020; albrecht, torsten/J-8259-2019; Donges, Jonathan F./HCI-2311-2022; Levermann, Anders/G-4666-2011</t>
  </si>
  <si>
    <t>Garbe, Julius/0000-0003-3140-3307; albrecht, torsten/0000-0001-7459-2860; Levermann, Anders/0000-0003-4432-4704</t>
  </si>
  <si>
    <t>10.1038/s41586-020-2727-5</t>
  </si>
  <si>
    <t>NS9DW</t>
  </si>
  <si>
    <t>WOS:000572556300018</t>
  </si>
  <si>
    <t>Konecky, BL; McKay, NP; Churakova, OV; Comas-Bru, L; Dassié, EP; DeLong, KL; Falster, GM; Fischer, MJ; Jones, MD; Jonkers, L; Kaufman, DS; Leduc, G; Managave, SR; Martrat, B; Opel, T; Orsi, AJ; Partin, JW; Sayani, HR; Thomas, EK; Thompson, DM; Tyler, JJ; Abram, NJ; Atwood, AR; Cartapanis, O; Conroy, JL; Curran, MA; Dee, SG; Deininger, M; Divine, DV; Kern, Z; Porter, TJ; Stevenson, SL; von Gunten, L</t>
  </si>
  <si>
    <t>Konecky, Bronwen L.; McKay, Nicholas P.; Churakova (Sidorova), Olga V.; Comas-Bru, Laia; Dassie, Emilie P.; DeLong, Kristine L.; Falster, Georgina M.; Fischer, Matt J.; Jones, Matthew D.; Jonkers, Lukas; Kaufman, Darrell S.; Leduc, Guillaume; Managave, Shreyas R.; Martrat, Belen; Opel, Thomas; Orsi, Anais J.; Partin, Judson W.; Sayani, Hussein R.; Thomas, Elizabeth K.; Thompson, Diane M.; Tyler, Jonathan J.; Abram, Nerilie J.; Atwood, Alyssa R.; Cartapanis, Olivier; Conroy, Jessica L.; Curran, Mark A.; Dee, Sylvia G.; Deininger, Michael; Divine, Dmitry V.; Kern, Zoltan; Porter, Trevor J.; Stevenson, Samantha L.; von Gunten, Lucien</t>
  </si>
  <si>
    <t>Iso2k Project</t>
  </si>
  <si>
    <t>The Iso2k database: a global compilation of paleo-δ18O and δ2H records to aid understanding of Common Era climate</t>
  </si>
  <si>
    <t>EARTH SYSTEM SCIENCE DATA</t>
  </si>
  <si>
    <t>TROPICAL PACIFIC CLIMATE; HYDROGEN-ISOTOPIC COMPOSITION; WATER-BALANCE; CORAL DELTA-O-18; STABLE-ISOTOPES; OXYGEN ISOTOPES; LAKE; VARIABILITY; TEMPERATURE; SEDIMENT</t>
  </si>
  <si>
    <t>Reconstructions of global hydroclimate during the Common Era (CE; the past similar to 2000 years) are important for providing context for current and future global environmental change. Stable isotope ratios in water are quantitative indicators of hydroclimate on regional to global scales, and these signals are encoded in a wide range of natural geologic archives. Here we present the Iso2k database, a global compilation of previously published datasets from a variety of natural archives that record the stable oxygen (delta O-18) or hydrogen (delta H-2) isotopic compositions of environmental waters, which reflect hydroclimate changes over the CE. The Iso2k database contains 759 isotope records from the terrestrial and marine realms, including glacier and ground ice (210); speleothems (68); corals, sclerosponges, and mollusks (143); wood (81); lake sediments and other terrestrial sediments (e.g., loess) (158); and marine sediments (99). Individual datasets have temporal resolutions ranging from sub-annual to centennial and include chronological data where available. A fundamental feature of the database is its comprehensive metadata, which will assist both experts and nonexperts in the interpretation of each record and in data synthesis. Key metadata fields have standardized vocabularies to facilitate comparisons across diverse archives and with climate-model-simulated fields. This is the first global-scale collection of water isotope proxy records from multiple types of geological and biological archives. It is suitable for evaluating hydroclimate processes through time and space using large-scale synthesis, model-data intercomparison and (paleo)data assimilation. The Iso2k database is available for download at https://doi.org/10.25921/57j8-vs18 (Konecky and McKay, 2020) and is also accessible via the NOAA/WDS Paleo Data landing page: https://www.ncdc.noaa.gov/paleo/study/29593 (last access: 30 July 2020).</t>
  </si>
  <si>
    <t>[Konecky, Bronwen L.; Falster, Georgina M.] Washington Univ, Dept Earth &amp; Planetary Sci, St Louis, MO 63108 USA; [McKay, Nicholas P.; Kaufman, Darrell S.] No Arizona Univ, Sch Earth &amp; Sustainabil, Flagstaff, AZ 86011 USA; [Churakova (Sidorova), Olga V.] Siberian Fed Univ, Inst Ecol &amp; Geog, Krasnoyarsk 660041, Russia; [Churakova (Sidorova), Olga V.] Swiss Fed Inst Forest Snow &amp; Landscape Res WSL, Dept Forest Dynam, CH-8903 Birmensdorf, Switzerland; [Comas-Bru, Laia] Univ Reading, Sch Archaeol Geography &amp; Environm Sci, Russell Bldg, Reading RG6 6DR, Berks, England; [Dassie, Emilie P.] Univ Bordeaux, EPOC Lab, F-33615 Bordeaux, France; [DeLong, Kristine L.] Louisiana State Univ, Inst Coastal Studies, Dept Geog &amp; Anthropol, Baton Rouge, LA 70803 USA; [Fischer, Matt J.] ANSTO, NSTLI Environm, Sydney, NSW 2234, Australia; [Jones, Matthew D.] Univ Nottingham, Sch Geog, Nottingham NG7 2RD, England; [Jonkers, Lukas] Bremen Univ, MARUM Ctr Marine Environm Sci, D-28359 Bremen, Germany; [Leduc, Guillaume] Aix Marseille Univ, CNRS, IRD, INRAE,Coll France,CEREGE, F-13545 Aix En Provence, France; [Managave, Shreyas R.] Indian Inst Sci Educ &amp; Res, Earth &amp; Climate Sci, Pune 411008, Maharashtra, India; [Martrat, Belen] Spanish Council Sci Res CSIC, Inst Environm Assessment &amp; Water Res IDAEA, Dept Environm Chem, Barcelona 08034, Spain; [Opel, Thomas] Helmholtz Ctr Polar &amp; Marine Res, Alfred Wegener Inst, Polar Terr Environm Syst &amp; PALICE Helmholtz Young, D-14473 Potsdam, Germany; [Orsi, Anais J.] Univ Paris Saclay, UVSQ, Lab Sci Climat &amp; Environm, L IPSL,CEA,CNRS, F-91191 Gif Sur Yvette, France; [Partin, Judson W.] Univ Texas Austin, Inst Geophys, Austin, TX 78758 USA; [Sayani, Hussein R.] Georgia Inst Technol, Sch Earth &amp; Atmospher Sci, Atlanta, GA 30332 USA; [Thomas, Elizabeth K.] SUNY Buffalo, Dept Geol, Buffalo, NY 14260 USA; [Thompson, Diane M.] Univ Arizona, Dept Geosci, Tucson, AZ 85719 USA; [Tyler, Jonathan J.] Univ Adelaide, Dept Earth Sci, Adelaide, SA 5005, Australia; [Abram, Nerilie J.] Australian Natl Univ, Res Sch Earth Sci, Canberra, ACT 2601, Australia; [Abram, Nerilie J.] Australian Natl Univ, Ctr Excellence Climate Extremes, Canberra, ACT 2601, Australia; [Atwood, Alyssa R.] Florida State Univ, Dept Earth Ocean &amp; Atmospher Sci, Tallahassee, FL 32306 USA; [Cartapanis, Olivier] Univ Bern, Inst Geol Sci, CH-3012 Bern, Switzerland; [Cartapanis, Olivier] Univ Bern, Oeschger Ctr Climate Change Res, CH-3012 Bern, Switzerland; [Conroy, Jessica L.] Univ Illinois, Dept Geol, Urbana, IL 61822 USA; [Curran, Mark A.] Australian Antarctic Div, Channel Highway, Kingston, Tas 7050, Australia; [Dee, Sylvia G.] Rice Univ, Dept Earth Environm &amp; Planetary Sci, Houston, TX 77005 USA; [Deininger, Michael] Johannes Gutenberg Univ Mainz, Inst Geosci, D-55128 Mainz, Germany; [Divine, Dmitry V.] Norwegian Polar Res Inst, N-9296 Tromso, Norway; [Kern, Zoltan] MTA Ctr Excellence, Res Ctr Astron &amp; Earth Sci, Inst Geol &amp; Geochem Res, H-1112 Budapest, Hungary; [Porter, Trevor J.] Univ Toronto, Dept Geog, Mississauga, ON L5L 1C6, Canada; [Stevenson, Samantha L.] Univ Calif Santa Barbara, Bren Sch Environm Sci &amp; Management, Santa Barbara, CA 93106 USA; [von Gunten, Lucien] PAGES Int Project Off, CH-3012 Bern, Switzerland</t>
  </si>
  <si>
    <t>Washington University (WUSTL); Northern Arizona University; Siberian Federal University; Swiss Federal Institutes of Technology Domain; Swiss Federal Institute for Forest, Snow &amp; Landscape Research; University of Reading; Universite de Bordeaux; Louisiana State University System; Louisiana State University; Australian Nuclear Science &amp; Technology Organisation; University of Nottingham; University of Bremen; Centre National de la Recherche Scientifique (CNRS); Universite PSL; College de France; Aix-Marseille Universite; Institut de Recherche pour le Developpement (IRD); INRAE; Indian Institute of Science Education &amp; Research (IISER) Pune; Consejo Superior de Investigaciones Cientificas (CSIC); CSIC - Centro de Investigacion y Desarrollo Pascual Vila (CID-CSIC); CSIC - Instituto de Diagnostico Ambiental y Estudios del Agua (IDAEA); Helmholtz Association; Alfred Wegener Institute, Helmholtz Centre for Polar &amp; Marine Research; Universite Paris Saclay; Universite Paris Cite; CEA; Centre National de la Recherche Scientifique (CNRS); University of Texas System; University of Texas Austin; University System of Georgia; Georgia Institute of Technology; State University of New York (SUNY) System; State University of New York (SUNY) Buffalo; University of Arizona; University of Adelaide; Australian National University; Australian National University; State University System of Florida; Florida State University; University of Bern; University of Bern; University of Illinois System; University of Illinois Urbana-Champaign; Australian Antarctic Division; Rice University; Johannes Gutenberg University of Mainz; Norwegian Polar Institute; Hungarian Research Network; Hungarian Academy of Sciences; HUN-REN Research Centre for Astronomy &amp; Earth Sciences; Institute for Geological &amp; Geochemical Research - HAS; University of Toronto; University Toronto Mississauga; University of California System; University of California Santa Barbara</t>
  </si>
  <si>
    <t>Konecky, BL (corresponding author), Washington Univ, Dept Earth &amp; Planetary Sci, St Louis, MO 63108 USA.</t>
  </si>
  <si>
    <t>bkonecky@wustl.edu</t>
  </si>
  <si>
    <t>IPO, PAGES/JXY-7546-2024; Cartapanis, Olivier/AAM-9779-2021; DeLong, Kristine/B-7500-2008; Partin, Judson W/A-3086-2012; Marie-Alexandrine, Sicre/AAR-1516-2020; Jonkers, Lukas/H-6314-2011; Abram, Nerilie/AAT-5171-2021; McKay, Nicholas Paul/JYQ-5440-2024; Falster, Georgina/AEN-9770-2022; Thompson, Diane M/O-7629-2017; Martrat, Belen/I-5952-2015; Kaufman, Darrell S/A-2471-2008; Opel, Thomas/O-9037-2014; Braun, Kerstin/F-4492-2011; Mortyn, P. Graham/I-3860-2015; Carre, Matthieu/G-6324-2012</t>
  </si>
  <si>
    <t>Cartapanis, Olivier/0000-0001-8542-6884; DeLong, Kristine/0000-0001-6320-421X; Marie-Alexandrine, Sicre/0000-0002-5015-1400; Falster, Georgina/0000-0001-8567-7413; Martrat, Belen/0000-0001-9904-9178; Opel, Thomas/0000-0003-1315-8256; Braun, Kerstin/0000-0003-4028-7758; Mortyn, P. Graham/0000-0002-9473-4309; von Gunten, Lucien/0000-0003-0425-2881; Partin, Judson/0000-0003-0315-5545; McKay, Nicholas/0000-0003-3598-5113; Carre, Matthieu/0000-0001-8178-7316; Abram, Nerilie/0000-0003-1246-2344</t>
  </si>
  <si>
    <t>Swiss Academy of Sciences; US National Science Foundation; Chinese Academy of Sciences; NSF-AGS [1805141]; NSF-AGS PRF [1433408]; PalMod, the German paleoclimate modeling initiative; German Federal Ministry of Education and Research (BMBF); Directorate For Geosciences; Div Atmospheric &amp; Geospace Sciences [1805141] Funding Source: National Science Foundation</t>
  </si>
  <si>
    <t>Swiss Academy of Sciences; US National Science Foundation(National Science Foundation (NSF)); Chinese Academy of Sciences(Chinese Academy of Sciences); NSF-AGS; NSF-AGS PRF; PalMod, the German paleoclimate modeling initiative; German Federal Ministry of Education and Research (BMBF)(Federal Ministry of Education &amp; Research (BMBF)); Directorate For Geosciences; Div Atmospheric &amp; Geospace Sciences(National Science Foundation (NSF)NSF - Directorate for Geosciences (GEO))</t>
  </si>
  <si>
    <t>PAGES received support from the Swiss Academy of Sciences, the US National Science Foundation, and the Chinese Academy of Sciences. Support for this work includes NSF-AGS no. 1805141 to Bronwen L. Konecky and Samantha L. Stevenson and NSF-AGS PRF no. 1433408 to Bronwen L. Konecky. Lukas Jonkers was funded through PalMod, the German paleoclimate modeling initiative. PalMod is part of the Research for Sustainable Development initiative funded by the German Federal Ministry of Education and Research (BMBF).</t>
  </si>
  <si>
    <t>1866-3508</t>
  </si>
  <si>
    <t>1866-3516</t>
  </si>
  <si>
    <t>EARTH SYST SCI DATA</t>
  </si>
  <si>
    <t>Earth Syst. Sci. Data</t>
  </si>
  <si>
    <t>SEP 23</t>
  </si>
  <si>
    <t>10.5194/essd-12-2261-2020</t>
  </si>
  <si>
    <t>NX0JB</t>
  </si>
  <si>
    <t>WOS:000575404300001</t>
  </si>
  <si>
    <t>Nyborg, C; Melau, J; Bonnevie-Svendsen, M; Mathiasen, M; Melsom, HS; Storsve, AB; Hisdal, J</t>
  </si>
  <si>
    <t>Nyborg, Christoffer; Melau, Jorgen; Bonnevie-Svendsen, Martin; Mathiasen, Maria; Melsom, Helene Stole; Storsve, Andreas B.; Hisdal, Jonny</t>
  </si>
  <si>
    <t>Biochemical markers after the Norseman Extreme Triathlon</t>
  </si>
  <si>
    <t>C-REACTIVE PROTEIN; BRAIN NATRIURETIC PEPTIDE; BLOOD-CELL COUNT; NT-PROBNP; HEART-FAILURE; ASPARTATE-AMINOTRANSFERASE; EXERCISE; BNP; LEUKOCYTOSIS; OBESITY</t>
  </si>
  <si>
    <t>Prolonged exercise is known to cause changes in common biomarkers. Occasionally, competition athletes need medical assistance and hospitalisation during prolonged exercise events. To aid clinicians treating patients and medical teams in such events we have studied common biomarkers after at The Norseman Xtreme Triathlon (Norseman), an Ironman distance triathlon with an accumulated climb of 5200 m, and an Olympic triathlon for comparison. Blood samples were collected before, immediately after, and the day following the Norseman Xtreme Triatlon (n = 98) and Oslo Olympic Triathlon (n = 15). Increased levels of clinical significance were seen at the finish line of the Norseman in white blood cells count (WBC) (14.2 [13.5-14.9] 109/L, p &lt; 0.001), creatinine kinase (CK) (2450 [1620-3950] U/L, p &lt; 0.001) and NT-proBNP (576 [331-856] ng/L, p &lt; 0.001). The following day there were clinically significant changes in CRP (39 [27-56] mg/L, p &lt; 0.001) and Aspartate Aminotransferase (AST) (142 [99-191] U/L, p &lt; 0.001). In comparison, after the Olympic triathlon distance, there were statistically significant, but less clinically important, changes in WBC (7.8 [6.7-9.6] 109/L, p &lt; 0.001), CK (303 [182-393] U/L, p &lt; 0.001) and NT-proBNP (77 [49-88] ng/L, p &lt; 0.01) immediately after the race, and in CRP (2 [1-3] mg/L, p &lt; 0.001) and AST (31 [26-41] U/L, p &lt; 0.01) the following day. Subclinical changes were also observed in Hemoglobin, Thrombocytes, K+, Ca2+, Mg2+, Creatinine, Alanine Aminotransferase and Thyroxine after the Norseman. In conclusion, there were significant changes in biomarkers used in a clinical setting after the Norseman. Of largest clinical importance were clinically significant increased WBC, CRP, AST, CK and NT-proBNP after the Norseman. This is important to be aware of when athletes engaging in prolonged exercise events receive medical assistance or are hospitalised.</t>
  </si>
  <si>
    <t>[Nyborg, Christoffer; Melau, Jorgen; Melsom, Helene Stole; Hisdal, Jonny] Univ Oslo, Fac Med, Dept Clin Med, Oslo, Norway; [Nyborg, Christoffer; Melau, Jorgen; Bonnevie-Svendsen, Martin; Melsom, Helene Stole; Hisdal, Jonny] Oslo Univ Hosp, Sect Vasc Invest, Aker, Norway; [Melau, Jorgen] Vestfold Hosp Trust, Prehosp Div, Tonsberg, Norway; [Mathiasen, Maria] Telemark Hosp Trust, Dept Cardiol, Notodden, Norway; [Storsve, Andreas B.] Aker BioMarine Antarctic AS, Lysaker, Norway</t>
  </si>
  <si>
    <t>University of Oslo; University of Oslo; Telemark Hospital Trust</t>
  </si>
  <si>
    <t>Nyborg, C (corresponding author), Univ Oslo, Fac Med, Dept Clin Med, Oslo, Norway.;Nyborg, C (corresponding author), Oslo Univ Hosp, Sect Vasc Invest, Aker, Norway.</t>
  </si>
  <si>
    <t>nyborgchristoffer@gmail.com</t>
  </si>
  <si>
    <t>Melau, Jørgen/G-9021-2016</t>
  </si>
  <si>
    <t>Melau, Jørgen/0000-0002-3860-3988; Storsve, Andreas B/0000-0001-6807-8638; Nyborg, Christoffer/0000-0002-6777-0670</t>
  </si>
  <si>
    <t>Aker BioMarine Antarctic AS</t>
  </si>
  <si>
    <t>This study was founded through a grant form Aker BioMarine Antarctic AS (http://www.akerbiomarine.com/).The funder provided support in the form of salaries for author ABS and research materials but did not have any additional role in the study design, data collection and analysis, decision to publish, or preparation of the manuscript. The specific roles of the author are articulated in the `author contributions' section.; This study was conducted by the Norseman Research team. The Norseman Research team consists of scientists from serval institutions furthering the knowledge of extreme endurance exercise in cooperation with the Norseman Xtreme Triathlon and volunteering participants.</t>
  </si>
  <si>
    <t>e0239158</t>
  </si>
  <si>
    <t>10.1371/journal.pone.0239158</t>
  </si>
  <si>
    <t>NX4NF</t>
  </si>
  <si>
    <t>WOS:000575688700065</t>
  </si>
  <si>
    <t>Meynecke, JO; Seyboth, E; De Bie, J; Barraqueta, JLM; Chama, A; Dey, SP; Lee, SB; Tulloch, V; Vichi, M; Findlay, K; Roychoudhury, AN; Mackey, B</t>
  </si>
  <si>
    <t>Meynecke, Jan-Olaf; Seyboth, Elisa; De Bie, Jasper; Menzel Barraqueta, Jan-Lukas; Chama, Abdoulkadri; Prakash Dey, Subhra; Lee, Serena Blyth; Tulloch, Vivitskaia; Vichi, Marcello; Findlay, Ken; Roychoudhury, Alakendra Narayan; Mackey, Brendan</t>
  </si>
  <si>
    <t>Responses of humpback whales to a changing climate in the Southern Hemisphere: Priorities for research efforts</t>
  </si>
  <si>
    <t>MARINE ECOLOGY-AN EVOLUTIONARY PERSPECTIVE</t>
  </si>
  <si>
    <t>baleen whales; biogeochemical cycles; climate change; conservation; Megaptera novaeangliae; modelling</t>
  </si>
  <si>
    <t>WEST ANTARCTIC PENINSULA; SEA-ICE; INTERANNUAL VARIABILITY; MEGAPTERA-NOVAEANGLIAE; SHELF WATERS; OCEAN; ECOSYSTEM; HABITAT; KRILL; ABUNDANCE</t>
  </si>
  <si>
    <t>Globally, baleen whales were severely depleted by historic whaling. Recovering populations have been observed to alter their behaviour. These changes have been attributed to climate change in some cases and raise concerns over the successful recovery of baleen whale populations. Current data-driven statistical habitat and behavioural models have proven useful for addressing questions of whale distribution changes within their limitations. Given observed changes in oceanic conditions, a new approach to managing baleen whale population recovery is necessary. Model predictions of future whale movements and distributions under climate change scenarios are vital to enable adequate conservation management. This paper presents a new perspective on understanding the impacts of climate change on humpback whales, arguing the need for a system-based multidisciplinary research approach. Our approach includes coupled, mechanistic models based upon robust ecological principles, and integrates key physical, biogeochemical, biological and ecological modules to address long-term changes associated with climate change. To illustrate the need for this system-based multidisciplinary approach, we focus on Southern Hemisphere humpback whales, the recovery of which may be impacted by rapid changes in habitat conditions brought about by anthropogenic climate change.</t>
  </si>
  <si>
    <t>[Meynecke, Jan-Olaf; De Bie, Jasper; Lee, Serena Blyth; Mackey, Brendan] Griffith Univ, Griffith Climate Change Response Program, Southport, Qld, Australia; [Meynecke, Jan-Olaf; De Bie, Jasper; Lee, Serena Blyth] Griffith Univ, Griffith Ctr Coastal Management, Southport, Qld, Australia; [Seyboth, Elisa; Findlay, Ken] Cape Peninsula Univ Technol, Fac Appl Sci, Ctr Sustainable Oceans, Cape Town, South Africa; [Menzel Barraqueta, Jan-Lukas; Roychoudhury, Alakendra Narayan] Stellenbosch Univ, Earth Sci, Cape Town, South Africa; [Chama, Abdoulkadri; Prakash Dey, Subhra; Vichi, Marcello] Univ Cape Town, Dept Oceanog, Cape Town, South Africa; [Chama, Abdoulkadri; Prakash Dey, Subhra; Vichi, Marcello] Univ Cape Town, Marine Res Inst, Cape Town, South Africa; [Tulloch, Vivitskaia] Griffith Univ, Australian Rivers Inst, Southport, Qld, Australia</t>
  </si>
  <si>
    <t>Griffith University; Griffith University - Gold Coast Campus; Griffith University; Griffith University - Gold Coast Campus; Cape Peninsula University of Technology; Stellenbosch University; University of Cape Town; University of Cape Town; Griffith University; Griffith University - Gold Coast Campus</t>
  </si>
  <si>
    <t>Meynecke, JO (corresponding author), Griffith Univ, Whales &amp; Climate Program, Southport, Qld, Australia.</t>
  </si>
  <si>
    <t>o.meynecke@griffith.edu.au</t>
  </si>
  <si>
    <t>Tulloch, Vivitskaia/GNH-4554-2022; Vichi, Marcello/GLR-9823-2022; Mackey, Brendan/ABE-3805-2020; Chama, Abdoulkadri/AGP-7797-2022; Findlay, Ken/A-5766-2019</t>
  </si>
  <si>
    <t>Vichi, Marcello/0000-0002-0686-9634; Chama, Abdoulkadri/0000-0001-5572-5250; de Bie, Jasper/0000-0002-8371-4089; Lee, Serena/0000-0002-7295-4714; Mackey, Brendan/0000-0003-1996-4064; Findlay, Ken/0000-0001-7154-8805; , Jan-Olaf/0000-0002-4639-4055</t>
  </si>
  <si>
    <t>0173-9565</t>
  </si>
  <si>
    <t>1439-0485</t>
  </si>
  <si>
    <t>MAR ECOL-EVOL PERSP</t>
  </si>
  <si>
    <t>Mar. Ecol.-Evol. Persp.</t>
  </si>
  <si>
    <t>e12616</t>
  </si>
  <si>
    <t>10.1111/maec.12616</t>
  </si>
  <si>
    <t>PI7XK</t>
  </si>
  <si>
    <t>WOS:000571848800001</t>
  </si>
  <si>
    <t>Weidner, G; King, J; Box, JE; Colwell, S; Jones, P; Lazzara, M; Cappelen, J; Brunet, M; Cerveny, RS</t>
  </si>
  <si>
    <t>Weidner, George; King, John; Box, Jason E.; Colwell, Steve; Jones, Phil; Lazzara, Matthew; Cappelen, John; Brunet, Manola; Cerveny, Randall S.</t>
  </si>
  <si>
    <t>WMO evaluation of northern hemispheric coldest temperature:-69.6 °C at Klinck, Greenland, 22 December 1991</t>
  </si>
  <si>
    <t>QUARTERLY JOURNAL OF THE ROYAL METEOROLOGICAL SOCIETY</t>
  </si>
  <si>
    <t>observations &lt; 1. Tools and methods; observational data analysis &lt; 1. Tools and methods; polar &lt; 5. Geographic/climatic zone</t>
  </si>
  <si>
    <t>REANALYSIS</t>
  </si>
  <si>
    <t>A World Meteorological Organization (WMO) Extremes Evaluation Committee investigated an observation of -69.6 degrees C by Klinck Automatic Weather Station (AWS) in Greenland on 22 December 1991 as the lowest temperature observed in Greenland, thereby making it the lowest recorded near-surface air temperature for the Northern and Western Hemispheres and for WMO Region VI. The committee examined the metadata and observations of the station as well as the regional synoptic circulation. The committee concluded that the observation is credible in terms of instrument calibration, monitoring of the station and the synoptic situation. Consequently, the WMO Rapporteur accepted the observation as the officially lowest observed near-surface air temperature for Greenland, the Northern and Western Hemisphere and for WMO Region VI. As a supplement to this investigation, the committee also recommends that opportunities be investigated such that AWS data from Greenland can be efficiently incorporated into real-time weather forecasts and hence into reanalysis datasets.</t>
  </si>
  <si>
    <t>[Weidner, George; Lazzara, Matthew] Univ Wisconsin, Madison, WI USA; [King, John; Colwell, Steve] British Antarctic Survey, Cambridge, England; [Box, Jason E.] Geol Survey Denmark &amp; Greenland, Copenhagen, Denmark; [Jones, Phil; Brunet, Manola] Univ East Anglia, Sch Environm Sci, Climat Res Unit, Norwich, Norfolk, England; [Lazzara, Matthew] Madison Area Tech Coll, Madison, WI USA; [Cappelen, John] Danish Meteorol Inst, Copenhagen, Denmark; [Brunet, Manola] Univ Rovira &amp; Virgili, Tarragona, Spain; [Cerveny, Randall S.] Arizona State Univ, Tempe, AZ 85287 USA</t>
  </si>
  <si>
    <t>University of Wisconsin System; University of Wisconsin Madison; UK Research &amp; Innovation (UKRI); Natural Environment Research Council (NERC); NERC British Antarctic Survey; Geological Survey Of Denmark &amp; Greenland; University of East Anglia; Danish Meteorological Institute DMI; Universitat Rovira i Virgili; Arizona State University; Arizona State University-Tempe</t>
  </si>
  <si>
    <t>Cerveny, RS (corresponding author), Arizona State Univ, Tempe, AZ 85287 USA.</t>
  </si>
  <si>
    <t>cerveny@asu.edu</t>
  </si>
  <si>
    <t>Jones, Philip Douglas/C-8718-2009; Box, Jason/H-5770-2013</t>
  </si>
  <si>
    <t>Jones, Philip Douglas/0000-0001-5032-5493; Box, Jason/0000-0003-0052-8705</t>
  </si>
  <si>
    <t>National Science Foundation [9200806, 1543305, 1848710, 9303569]; NERC [bas0100032] Funding Source: UKRI; Office of Polar Programs; Office Of The Director [9303569] Funding Source: National Science Foundation; Office Of The Director; Office of Polar Programs [9200806] Funding Source: National Science Foundation</t>
  </si>
  <si>
    <t>National Science Foundation(National Science Foundation (NSF)); NERC(UK Research &amp; Innovation (UKRI)Natural Environment Research Council (NERC)); Office of Polar Programs; Office Of The Director(National Science Foundation (NSF)NSF - Directorate for Geosciences (GEO)NSF - Office of the Director (OD)); Office Of The Director; Office of Polar Programs(National Science Foundation (NSF)NSF - Office of the Director (OD)NSF - Directorate for Geosciences (GEO))</t>
  </si>
  <si>
    <t>National Science Foundation, Grant/Award Numbers: OPP grant 9200806, OPP grant 1543305, OPP grant 1848710, OPP grant 9303569</t>
  </si>
  <si>
    <t>0035-9009</t>
  </si>
  <si>
    <t>1477-870X</t>
  </si>
  <si>
    <t>Q J ROY METEOR SOC</t>
  </si>
  <si>
    <t>Q. J. R. Meteorol. Soc.</t>
  </si>
  <si>
    <t>10.1002/qj.3901</t>
  </si>
  <si>
    <t>QB1IN</t>
  </si>
  <si>
    <t>WOS:000571785200001</t>
  </si>
  <si>
    <t>Rohmana, QA; Fischer, AM; Cumming, J; Blackwell, BD; Gemmill, J</t>
  </si>
  <si>
    <t>Rohmana, Qurratu A'Yunin; Fischer, Andrew M.; Cumming, John; Blackwell, Boyd D.; Gemmill, John</t>
  </si>
  <si>
    <t>Increased Transparency and Resource Prioritization for the Management of Pollutants From Wastewater Treatment Plants: A National Perspective From Australia</t>
  </si>
  <si>
    <t>effluent; outfalls; pollutants; spatial data management; impacts; human health; environment</t>
  </si>
  <si>
    <t>LAND-USE; NUTRIENT CONCENTRATIONS; QUALITY; POLLUTION; RESPONSES; DISCHARGES; GOVERNANCE; CHALLENGES; DYNAMICS; EFFLUENT</t>
  </si>
  <si>
    <t>With increasing human populations in coastal regions, there is growing concern over the quality of wastewater treatment plant (WTP) discharge and its impacts on coastal biodiversity, recreational amenities, and human health. In Australia, the current system of WTP monitoring and reporting varies across states and jurisdictions leading to a lack of data transparency and accountability, leading to a reduced ability to comprehensively assess regional and national scale biodiversity impacts and health risks. The National Outfall Database (NOD) was developed to provide a centralized spatial data management system for sharing and communicating comprehensive, national-scale WTP pollutant data. This research describes the structure of the NOD and through self-organizing maps and principal component analysis, provides a comprehensive, national-scale analysis of WTP effluent. Such a broad understanding of the constituents and level of pollutants in coastal WTP effluent within a public database provides for improved transparency and accountability and an opportunity to evaluate health risks and develop national water quality standards.</t>
  </si>
  <si>
    <t>[Rohmana, Qurratu A'Yunin; Fischer, Andrew M.; Blackwell, Boyd D.] Univ Tasmania, Inst Marine &amp; Antarctic Studies, Hobart, Tas, Australia; [Rohmana, Qurratu A'Yunin; Cumming, John; Gemmill, John] Clean Ocean Fdn, Wonthaggi, Vic, Australia; [Cumming, John] Infotech Res, South Yarra, Vic, Australia; [Blackwell, Boyd D.] AquaEquis Consulting, Armidale, NSW, Australia</t>
  </si>
  <si>
    <t>Rohmana, QA (corresponding author), Univ Tasmania, Inst Marine &amp; Antarctic Studies, Hobart, Tas, Australia.;Rohmana, QA (corresponding author), Clean Ocean Fdn, Wonthaggi, Vic, Australia.</t>
  </si>
  <si>
    <t>qurratu@utas.edu.au</t>
  </si>
  <si>
    <t>Blackwell, Boyd/I-1362-2018</t>
  </si>
  <si>
    <t>Blackwell, Boyd/0000-0001-8143-158X; Fischer, Andrew/0000-0001-5284-6428</t>
  </si>
  <si>
    <t>Marine Biodiversity Hub through Australian Government's National Environmental Science Program</t>
  </si>
  <si>
    <t>This research project was supported by the Marine Biodiversity Hub through funding from the Australian Government's National Environmental Science Program.</t>
  </si>
  <si>
    <t>SEP 22</t>
  </si>
  <si>
    <t>10.3389/fmars.2020.564598</t>
  </si>
  <si>
    <t>NW8NA</t>
  </si>
  <si>
    <t>WOS:000575272300001</t>
  </si>
  <si>
    <t>Byun, DS; Hart, DE</t>
  </si>
  <si>
    <t>Byun, Do-Seong; Hart, Deirdre E.</t>
  </si>
  <si>
    <t>Predicting tidal heights for extreme environments: from 25 h observations to accurate predictions at Jang Bogo Antarctic Research Station, Ross Sea, Antarctica</t>
  </si>
  <si>
    <t>SYNTHETIC-APERTURE RADAR; ICE SHELVES; OCEAN TIDES; FILCHNER; RONNE; MODEL</t>
  </si>
  <si>
    <t>Accurate tidal height data for the seas around Antarctica are much needed, given the crucial role of these tides in the regional and global ocean, marine cryosphere, and climate processes. However, obtaining long-term sea level records for traditional tidal predictions is extremely difficult around ice-affected coasts. This study evaluates the ability of a relatively new tidal-species-based approach, the complete tidal species modulation with tidal constant corrections (CTSM + TCC) method, to accurately predict tides for a temporary observation station in the Ross Sea, Antarctica, using a record from a neighbouring reference station characterised by a similar tidal regime. Predictions for the mixed, mainly diurnal regime of Jang Bogo Antarctic Research Station (JBARS) were made and evaluated based on summertime (2017; and 2018 to 2019) short-term (25 h) observations at this temporary station, along with tidal prediction data derived from year-long observations (2013) from the neighbouring diurnal regime of Cape Roberts (ROBT). Results reveal the CTSM + TCC method can produce accurate (to within similar to 5 cm root mean square errors) tidal predictions for JBARS when using short-term (25 h) tidal data from periods with higher-than-average tidal ranges (i.e. those at high lunar declinations). We demonstrate how to determine optimal short-term data collection periods based on the Moon's declination and/or the modulated amplitude ratio and phase lag difference between the diurnal and semidiurnal species predicted from CTSM at ROBT (i.e. the reference tidal station). The importance of using long-period tides to improve tidal prediction accuracy is also considered and, finally, the unique tidal regimes of the Ross Sea examined in this pa- per are situated within a wider Antarctic tidal context using Finite Element Solution 2014 (FES2014) model data.</t>
  </si>
  <si>
    <t>[Byun, Do-Seong] Korea Hydrog &amp; Oceanog Agcy, Ocean Res Div, Busan, South Korea; [Hart, Deirdre E.] Univ Canterbury, Sch Earth &amp; Environm, Christchurch, New Zealand</t>
  </si>
  <si>
    <t>University of Canterbury</t>
  </si>
  <si>
    <t>Hart, DE (corresponding author), Univ Canterbury, Sch Earth &amp; Environm, Christchurch, New Zealand.</t>
  </si>
  <si>
    <t>deirdre.hart@canterbury.ac.nz</t>
  </si>
  <si>
    <t>Byun, Do-Seong/AAK-7132-2021</t>
  </si>
  <si>
    <t>Hart, Deirdre E./0000-0001-8127-9581</t>
  </si>
  <si>
    <t>Land Information New Zealand (LINZ)</t>
  </si>
  <si>
    <t>We are grateful to Land Information New Zealand (LINZ) and the Hydrographic Survey Division of the Korea Hydrographic and Oceanographic Agency (KHOA) for supplying the tidal data used in this research. Special thanks are given to Glen Rowe from LINZ for sharing his extensive knowledge of the Cape Roberts sea level gauge site and its records, and to a KHOA colleague for providing the photograph in Fig. 1. Further, we gratefully thank Hyowon Kim at KHOA for her kind assistance with drafting figures. We are also grateful to Philip Woodworth, Glen Rowe, and an anonymous reviewer for comments that greatly helped us improve our manuscript.</t>
  </si>
  <si>
    <t>10.5194/os-16-1111-2020</t>
  </si>
  <si>
    <t>NW3XL</t>
  </si>
  <si>
    <t>WOS:000574943400002</t>
  </si>
  <si>
    <t>Lenz, M; Savelieva, L; Frolova, L; Cherezova, A; Moros, M; Baumer, M; Gromig, R; Kostromina, N; Nigmatullin, N; Kolka, V; Wagner, B; Fedorov, G; Melles, M</t>
  </si>
  <si>
    <t>Lenz, Matthias; Savelieva, Larisa; Frolova, Larisa; Cherezova, Anna; Moros, Matthias; Baumer, Marlene; Gromig, Raphael; Kostromina, Natalia; Nigmatullin, Niyaz; Kolka, Vasili; Wagner, Benrd; Fedorov, Grigory; Melles, Martin</t>
  </si>
  <si>
    <t>Lateglacial and Holocene environmental history of the central Kola region, northwestern Russia revealed by a sediment succession from Lake Imandra</t>
  </si>
  <si>
    <t>BOREAS</t>
  </si>
  <si>
    <t>NORTH-ATLANTIC REGION; DRYAS END MORAINES; SEA-LEVEL CHANGE; TREE-LINE AREA; ICE-SHEET; CLIMATE-CHANGE; VEGETATION HISTORY; TEMPERATURE RECONSTRUCTION; GLACIER FLUCTUATIONS; DEGLACIATION HISTORY</t>
  </si>
  <si>
    <t>Bolshaya Imandra, the northern sub-basin of Lake Imandra, was investigated by a hydro-acoustic survey followed by sediment coring down to the acoustic basement. The sediment record was analysed by a combined physical, biogeochemical, sedimentological, granulometrical and micropalaeontological approach to reconstruct the regional climatic and environmental history. Chronological control was obtained by(14)C dating,Cs-137, and Hg markers as well as pollen stratigraphy and revealed that the sediment succession offers the first continuous record spanning the Lateglacial and Holocene. Following the deglaciation prior toc. 13 200 cal. aBP, the lake's sub-basin initially was occupied by a glacifluvial river system, before a proglacial lake with glaciolacustrine sedimentation established. Rather mild climate, a sparse vegetation cover and successive retreat of the Scandinavian Ice Sheet (SIS) from the lake catchment characterized the Bolling/Allerod interstadial, lasting until 12 710 cal. aBP. During the subsequent Younger Dryas chronozone, until 11 550 cal. aBP, climate cooling led to a decrease in vegetation cover and a re-advance of theSIS. TheSISdisappeared from the catchment at the Holocene transition, but small glaciers persisted in the mountains at the eastern lake shore. During the Early Holocene, until 8400 cal. aBP, sedimentation changed from glaciolacustrine to lacustrine and rising temperatures caused the spread of thermophilous vegetation. The Middle Holocene, until 3700 cal. aBP, comprises the regional Holocene Thermal Maximum (8000-4600 cal. aBP) with relatively stable temperatures, denser vegetation cover and absence of mountain glaciers. Reoccurrence of mountain glaciers during the Late Holocene, until 30 cal. aBP, presumably results from a slight cooling and increased humidity. Sincec. 30 cal. aBPLake Imandra has been strongly influenced by human impact, originating in industrial and mining activities. Our results are in overall agreement with vegetation and climate reconstructions in the Kola region.</t>
  </si>
  <si>
    <t>[Lenz, Matthias; Baumer, Marlene; Gromig, Raphael; Wagner, Benrd; Melles, Martin] Univ Cologne, Inst Geol &amp; Mineral, Zulpicher Str 49a, D-50674 Cologne, Germany; [Savelieva, Larisa] St Petersburg State Univ, Univ Skaya Nab 7-9, St Petersburg 199034, Russia; [Frolova, Larisa; Nigmatullin, Niyaz] Kazan Fed Univ, Lab Paleoclimatol, Paleoecol, Paleomagnetism, Kremlevskaya St 18, Kazan 420008, Russia; [Cherezova, Anna] Karpinski Russian Geol Res Inst, Sredny Prospect 74, St Petersburg 199106, Russia; [Moros, Matthias] Leibniz Inst Balt Sea Res Warnemunde, Seestr 15, D-18119 Rostock, Germany; [Kostromina, Natalia; Fedorov, Grigory] St Petersburg State Univ, Univ Skaya Nab 7-9, St Petersburg 199034, Russia; [Kostromina, Natalia] Gramberg All Russia Sci Res Inst Geol &amp; Mineral R, Angliyskiy Ave 1, St Petersburg 190121, Russia; [Kolka, Vasili] Kola Sci Ctr RAS, Inst Geol, 14 Fersman St, Apatity 184209, Russia; [Fedorov, Grigory] St Petersburg State Univ, Univ Skaya Nab 7-9, St Petersburg 199397, Russia; [Fedorov, Grigory] Arctic &amp; Antarctic Res Inst, Bering Str 38, St Petersburg 199397, Russia</t>
  </si>
  <si>
    <t>University of Cologne; Saint Petersburg State University; Kazan Federal University; Leibniz Institut fur Ostseeforschung Warnemunde; Saint Petersburg State University; Russian Academy of Sciences; Kola Science Centre of the Russian Academy of Sciences; Geological Institute, Kola Science Centre of the Russian Academy of Sciences; Saint Petersburg State University; Arctic &amp; Antarctic Research Institute</t>
  </si>
  <si>
    <t>Lenz, M (corresponding author), Univ Cologne, Inst Geol &amp; Mineral, Zulpicher Str 49a, D-50674 Cologne, Germany.</t>
  </si>
  <si>
    <t>lenzm2@uni-koeln.de</t>
  </si>
  <si>
    <t>Kostromina, Natalia/AAM-8972-2021; Melles, Martin/J-4070-2012; Frolova, Larisa/K-8721-2015; Savelieva, Larisa/H-9135-2013; Frolova, Larisa/JCE-4625-2023; Fedorov, Grigory/N-5788-2019; Nigmatullin, Niyaz/AAQ-6672-2021; Wagner, Bernd/J-4682-2012; Cherezova, Anna A./R-7459-2017; Frolova, Larisa/ABF-2087-2020</t>
  </si>
  <si>
    <t>Melles, Martin/0000-0003-0977-9463; Frolova, Larisa/0000-0001-8505-0151; Fedorov, Grigory/0000-0003-2269-4501; Wagner, Bernd/0000-0002-1369-7893; Kostromina, Natalia/0000-0003-2681-0565; Cherezova, Anna/0000-0002-6199-8164</t>
  </si>
  <si>
    <t>German Research Foundation (DFG) [ME 1169/28]; St. Petersburg State University (SPBU) [18.65.39.2017]; German Federal Ministry of Education and Research (BMBF) [03G0859A]; Russian Foundation for Basic Research [18-05-60291]; Russian Government Program of Competitive Growth of Kazan Federal University; Russian Scientific Foundation [20-17-00135]; Russian Science Foundation [20-17-00135] Funding Source: Russian Science Foundation</t>
  </si>
  <si>
    <t>German Research Foundation (DFG)(German Research Foundation (DFG)); St. Petersburg State University (SPBU); German Federal Ministry of Education and Research (BMBF)(Federal Ministry of Education &amp; Research (BMBF)); Russian Foundation for Basic Research(Russian Foundation for Basic Research (RFBR)Spanish Government); Russian Government Program of Competitive Growth of Kazan Federal University; Russian Scientific Foundation(Russian Science Foundation (RSF)); Russian Science Foundation(Russian Science Foundation (RSF))</t>
  </si>
  <si>
    <t>Financial support for this study was provided by the German Research Foundation (DFG - grant no. ME 1169/28), St. Petersburg State University (SPBU - grant no. 18.65.39.2017) and the German Federal Ministry of Education and Research (BMBF - grant no. 03G0859A). The work of G. Fedorov and N. Kostromina was also sponsored by the Russian Foundation for Basic Research (grant 18-05-60291). L. Frolova was supported by the Russian Government Program of Competitive Growth of Kazan Federal University and by a grant from the Russian Scientific Foundation (project 20-17-00135). We are grateful to various colleagues from the Geological Institute of the Kola Science Centre of Russian Academy of Sciences (GI KSC RAS) in Apatity for their expertise and logistical help during the fieldwork in summer 2017. We thank Nicole Mantke and Dorothea Klinghardt from the University of Cologne for assistance and help with the laboratory work. We also thank the two anonymous reviewers as well as editor Jan A. Piotrowski for their constructive comments. The authors declare no conflict of interest. All data are accessible in the Pangaea data repository.</t>
  </si>
  <si>
    <t>0300-9483</t>
  </si>
  <si>
    <t>1502-3885</t>
  </si>
  <si>
    <t>Boreas</t>
  </si>
  <si>
    <t>10.1111/bor.12465</t>
  </si>
  <si>
    <t>PT4EY</t>
  </si>
  <si>
    <t>WOS:000572783600001</t>
  </si>
  <si>
    <t>Zhang, LP; Cooke, W</t>
  </si>
  <si>
    <t>Zhang, Liping; Cooke, William</t>
  </si>
  <si>
    <t>Simulated changes of the Southern Ocean air-sea heat flux feedback in a warmer climate</t>
  </si>
  <si>
    <t>SURFACE TEMPERATURE ANOMALIES; NORTH-ATLANTIC; VARIABILITY; CONVECTION</t>
  </si>
  <si>
    <t>In this paper, we have evaluated the Southern Ocean (SO) heat flux feedback in a fully coupled model and for the first time examined how this feedback evolves in response to global warming. The model broadly captures the observed characteristics of heat flux feedback over the SO. The heat flux tends to damp SST anomalies over the SO and thus the feedback is negative. In a warmer climate, the negative heat flux feedback in the SO, contributed mainly from turbulent component, becomes stronger. The turbulent feedback in the present day is primarily balanced by the upper boundary that strongly depends on background SST and wind and the thermal adjustment of boundary layer to SST anomalies. It is found that this balance shifts a little bit under global warming scenario. The upper limit increases in a warmer climate due to warm SST responses. The thermal adjustment of boundary layer becomes weaker in a warmer climate because of decreased atmospheric background heat convergence. The mean Deacon Cell transports anomalous heat caused by the greenhouse gas effect northward, leading to a heat convergence along the northern flank of the Antarctic Circumpolar Current. Constrained by the energy, the atmospheric northward heat transport has a corresponding divergence north of 55 degrees S. This anomalous heat transport divergence favors air heat leaving away from 55 degrees S-35 degrees S regions to the polar region, leads to smaller air temperature tendencies in the local compared to the present day and therefore leads to a weakened thermal adjustment of boundary layer. Therefore, both changes in the upper limit and thermal adjustment of boundary layer contribute positively to the enhanced turbulent feedback in a warmer climate. The dynamic component due to changes in wind tends to compensate these two positive contributors, but its magnitude is too small to become a dominant factor.</t>
  </si>
  <si>
    <t>[Zhang, Liping] Princeton Univ, Atmospher &amp; Ocean Sci, Princeton, NJ 08544 USA; [Zhang, Liping; Cooke, William] NOAA, Geophys Fluid Dynam Lab, Princeton, NJ 08540 USA; [Zhang, Liping; Cooke, William] Univ Corp Atmospher Res, Boulder, CO 80301 USA</t>
  </si>
  <si>
    <t>Princeton University; National Oceanic Atmospheric Admin (NOAA) - USA; National Center Atmospheric Research (NCAR) - USA</t>
  </si>
  <si>
    <t>Zhang, LP (corresponding author), Princeton Univ, Atmospher &amp; Ocean Sci, Princeton, NJ 08544 USA.;Zhang, LP (corresponding author), NOAA, Geophys Fluid Dynam Lab, Princeton, NJ 08540 USA.;Zhang, LP (corresponding author), Univ Corp Atmospher Res, Boulder, CO 80301 USA.</t>
  </si>
  <si>
    <t>Liping.Zhang@noaa.gov</t>
  </si>
  <si>
    <t>; Zhang, Liping/L-6480-2015</t>
  </si>
  <si>
    <t>Cooke, William/0000-0003-4550-3210; Zhang, Liping/0000-0003-1122-8927</t>
  </si>
  <si>
    <t>10.1007/s00382-020-05460-7</t>
  </si>
  <si>
    <t>WOS:000572033700001</t>
  </si>
  <si>
    <t>Marizcurrena, JJ; Lamparter, T; Castro-Sowinski, S</t>
  </si>
  <si>
    <t>Marizcurrena, Juan Jose; Lamparter, Tilman; Castro-Sowinski, Susana</t>
  </si>
  <si>
    <t>A (6-4)-photolyase from the Antarctic bacteriumSphingomonassp. UV9: recombinant production and in silico features</t>
  </si>
  <si>
    <t>Photolyase; Antarctica; Sphingomonas; DNA damage; (6-4)-photoproduct; Photo repair</t>
  </si>
  <si>
    <t>DNA-REPAIR; 6-4 PHOTOLYASE; CRYSTAL-STRUCTURE; PROTEINS; CLUSTER; LIGHT</t>
  </si>
  <si>
    <t>Photolyases are proteins that enzymatically repair the UV-induced DNA damage by a protein-DNA electron transfer mechanism. They repair either cyclobutane pyrimidine dimers or pyrimidine (6-4) pyrimidone photoproducts or just (6-4)-photoproducts. In this work, we report the production and partial characterization of a recombinant (6-4)-photolyase (SphPhrB97) from a bacterial psychrotolerant Antarctic isolate identified asSphingomonassp. strain UV9. The spectrum analysis and the in silico study of SphPhrB97 suggest that this enzyme has similar features as compared to the (6-4)-photolyase fromAgrobacterium tumefaciens(4DJA; PhrB), including the presence of three cofactors: FAD, DMRL (6,7-dimethyl-8-(1 '-D-ribityl) lumazine), and an Fe-S cluster. The homology model of SphPhrB97 predicts that the DNA-binding pocket (area and volume) is larger as compared to (6-4)-photolyases from mesophilic microbes. Based on sequence comparison and on the homology model, we propose an electron transfer pathway towards the FAD cofactor involving the residues Trp342, Trp390, Tyr40, Tyr391, and Tyr399. The phylogenetic tree performed using curated and well-characterized prokaryotic (6-4)-photolyases suggests that SphPhrB97 may have an ancient evolutionary origin. The results suggest that SphPhrB97 is a cold-adapted enzyme, ready to cope with the UV irradiation stress found in a hostile environment, such as Antarctica.</t>
  </si>
  <si>
    <t>[Marizcurrena, Juan Jose; Castro-Sowinski, Susana] Univ Republica, Fac Sci, Biochem &amp; Mol Biol, Igua 4225, Montevideo 11400, Uruguay; [Lamparter, Tilman] Karlsruhe Inst Technol, Inst Bot, Fritz Haber Weg 4, D-76131 Karlsruhe, Germany; [Castro-Sowinski, Susana] Univ Republica, Fac Sci, Lab Hydrolyt Enzymes, Igua 4225, Montevideo 11400, Uruguay</t>
  </si>
  <si>
    <t>Universidad de la Republica, Uruguay; Helmholtz Association; Karlsruhe Institute of Technology; Universidad de la Republica, Uruguay</t>
  </si>
  <si>
    <t>Marizcurrena, JJ (corresponding author), Univ Republica, Fac Sci, Biochem &amp; Mol Biol, Igua 4225, Montevideo 11400, Uruguay.</t>
  </si>
  <si>
    <t>jmarizcurrena@fcien.edu.uy</t>
  </si>
  <si>
    <t>Lamparter, Tilman/E-4421-2013; Lamparter, Tilman/KFR-2495-2024</t>
  </si>
  <si>
    <t>Marizcurrena, Juan Jose/0000-0002-5191-1539</t>
  </si>
  <si>
    <t>PEDECIBA (Programa de Desarrollo de las Ciencias Basicas); CSIC [C667]; ANII [FMV_3_2016_1_1226654]; CAP (Comision Academica de Posgrado, UdelaR); ANII</t>
  </si>
  <si>
    <t>PEDECIBA (Programa de Desarrollo de las Ciencias Basicas); CSIC; ANII; CAP (Comision Academica de Posgrado, UdelaR); ANII</t>
  </si>
  <si>
    <t>The authors thank the Uruguayan Antarctic Institute for the logistic support during the stay in the Antarctic Base Artigas. S. Castro-Sowinski and J. J. Marizcurrena are members of the National Research System (SNI, Sistema Nacional de Investigadores). This work was partially supported by PEDECIBA (Programa de Desarrollo de las Ciencias Basicas), CSIC (Project C667), and ANII (Project FMV_3_2016_1_1226654). The work of JJM was supported by ANII and CAP (Comision Academica de Posgrado, UdelaR).</t>
  </si>
  <si>
    <t>10.1007/s00792-020-01202-z</t>
  </si>
  <si>
    <t>WOS:000572022900001</t>
  </si>
  <si>
    <t>Haas, B; Haward, M; McGee, J; Fleming, A</t>
  </si>
  <si>
    <t>Haas, Bianca; Haward, Marcus; McGee, Jeffrey; Fleming, Aysha</t>
  </si>
  <si>
    <t>Regional fisheries management organizations and the new biodiversity agreement: Challenge or opportunity?</t>
  </si>
  <si>
    <t>binding agreement; conservation; fisheries management; high seas; marine resources; ocean governance</t>
  </si>
  <si>
    <t>UNDERMINING POSSIBILITIES; NATIONAL JURISDICTION; AREAS; GOVERNANCE; FUTURE</t>
  </si>
  <si>
    <t>In 2018, the international community began formal intergovernmental negotiations over a new legally binding instrument for the protection of marine biodiversity of areas beyond national jurisdiction. Protecting marine biodiversity is imperative for a sustainable future, and all the different organizations and agreements will have to work together to achieve this common goal. One of the first key principles to be agreed was to not undermine the existing legal instruments or mandates of regional and sectoral marine governance organizations. While fisheries are not being discussed during the negotiations, a marine biodiversity agreement is likely to still impact regional fisheries management organizations (RFMOs), due to overlapping areas of interest. This article aims to firstly, assess the potential constraints posed by the commitment to not undermine; secondly, consider how aspects of the biodiversity agreement, such as area-based management and environmental impact assessments, might enhance RFMOs; and thirdly, suggest meaningful ways to ensure cooperation between RFMOs and the marine biodiversity agreement.</t>
  </si>
  <si>
    <t>[Haas, Bianca; Haward, Marcus; McGee, Jeffrey] Inst Marine &amp; Antarctic Studies, Private Bag 129, Hobart, Tas 7001, Australia; [Haas, Bianca; Haward, Marcus; McGee, Jeffrey; Fleming, Aysha] Univ Tasmania, Ctr Marine Socioecol, Hobart, Tas, Australia; [McGee, Jeffrey] Univ Tasmania, Fac Law, Hobart, Tas, Australia; [Fleming, Aysha] CSIRO, Land &amp; Water, Hobart, Tas, Australia</t>
  </si>
  <si>
    <t>Fleming, Aysha/E-8753-2011; McGee, Jeffrey/K-7322-2015; Haward, Marcus/G-3369-2014</t>
  </si>
  <si>
    <t>Fleming, Aysha/0000-0001-9895-1928; McGee, Jeffrey/0000-0002-2093-5896; Haas, Bianca/0000-0002-7322-2929; Haward, Marcus/0000-0003-4775-0864</t>
  </si>
  <si>
    <t>10.1111/faf.12511</t>
  </si>
  <si>
    <t>PI2WD</t>
  </si>
  <si>
    <t>WOS:000572078600001</t>
  </si>
  <si>
    <t>Patel, S; Shah, ES; Jayaprasad, P; James, ME</t>
  </si>
  <si>
    <t>Patel, Shailee; Shah, Esha; Jayaprasad, P.; James, M. E.</t>
  </si>
  <si>
    <t>Temporal Changes Over Major Antarctic Ice Shelve Margins During 2001-2016</t>
  </si>
  <si>
    <t>JOURNAL OF THE INDIAN SOCIETY OF REMOTE SENSING</t>
  </si>
  <si>
    <t>Antarctic coastline; MODIS; Change detection; Ice shelf fronts; Rate of changes in Antarctic ice shelf margins</t>
  </si>
  <si>
    <t>RIFT PROPAGATION; CLIMATE; RETREAT; DISINTEGRATION; COASTLINE; SHEET; SAR; EXTRACTION; PENINSULA; PATTERNS</t>
  </si>
  <si>
    <t>In spite of importance of the ice shelves as a probable sign of global climate change, temporal changes of Antarctic ice shelf margins are largely unknown. In the present article, an attempt has been made for chronological mapping of major four Antarctic ice shelf fronts for the period 2001-2016, using MODerate resolution Imaging Satellite images. Vector layers of individual ice shelves from 2001 to 2015 have been overlaid on the image of 2016. It is found that all the four ice shelves have advanced; the Filchner ice shelf advanced maximum (24 km) and the Ross ice shelf advanced minimum (16 km). Maximum range in yearly rate of advance is observed at Ronne Ice Shelf and the highest variability in rate of advance is observed over Filchner ice shelf. In terms of area change, maximum expansion occurred at Ronne ice shelf (8813 km(2)) and least expansion is observed over Amery ice shelf (2520 km(2)). Poor correlation between rates of change at different ice shelves suggests that different atmospheric and oceanic drivers are responsible for changes at individual ice shelves. Interestingly, the highest rate of advance as well as higher variability in rate of advance is observed over the latter half of the study period.</t>
  </si>
  <si>
    <t>[Patel, Shailee; Shah, Esha; James, M. E.] Gujarat Univ, Phys Dept, Ahmadabad 380009, Gujarat, India; [Jayaprasad, P.] Space Applicat Ctr ISRO, Ahmadabad 380015, Gujarat, India</t>
  </si>
  <si>
    <t>Gujarat University; Department of Space (DoS), Government of India; Indian Space Research Organisation (ISRO); Space Applications Centre (SAC)</t>
  </si>
  <si>
    <t>Jayaprasad, P (corresponding author), Space Applicat Ctr ISRO, Ahmadabad 380015, Gujarat, India.</t>
  </si>
  <si>
    <t>Shaileeharsha31@gmail.com; eshu7456@gmail.com; jayaprasadp@gmail.com; mejames1962@gmail.com</t>
  </si>
  <si>
    <t>Patel, Shailee/0000-0002-4202-5615</t>
  </si>
  <si>
    <t>UGC; DST</t>
  </si>
  <si>
    <t>UGC(University Grants Commission, India); DST(Department of Science &amp; Technology (India))</t>
  </si>
  <si>
    <t>The authors are thankful to Dr. Raj Kumar, Deputy Director EPSA, SAC and Dr. Arundhati Misra, Group Director, AMHTDG/EPSA, SAC for their support. Authors also extend their sincere thanks to Prof. V.M. Raval for going through the manuscript meticulously and suggesting various modifications. Authors acknowledge the financial support extended to the Physics Department, Gujarat University by UGC and DST trough SAP and FIST programs.</t>
  </si>
  <si>
    <t>0255-660X</t>
  </si>
  <si>
    <t>0974-3006</t>
  </si>
  <si>
    <t>J INDIAN SOC REMOTE</t>
  </si>
  <si>
    <t>J. Indian Soc. Remote Sens.</t>
  </si>
  <si>
    <t>10.1007/s12524-020-01174-9</t>
  </si>
  <si>
    <t>Environmental Sciences; Remote Sensing</t>
  </si>
  <si>
    <t>Environmental Sciences &amp; Ecology; Remote Sensing</t>
  </si>
  <si>
    <t>OM4GU</t>
  </si>
  <si>
    <t>WOS:000572026000001</t>
  </si>
  <si>
    <t>Zhang, WL; Feckan, M; Wang, JR</t>
  </si>
  <si>
    <t>Zhang, Wenlin; Feckan, Michal; Wang, JinRong</t>
  </si>
  <si>
    <t>Positive solutions to integral boundary value problems from geophysical fluid flows</t>
  </si>
  <si>
    <t>MONATSHEFTE FUR MATHEMATIK</t>
  </si>
  <si>
    <t>Antarctic circumpolar current; Positive solutions; Fixed point theory</t>
  </si>
  <si>
    <t>ANTARCTIC CIRCUMPOLAR CURRENT; WAVES; DYNAMICS; STEADY; EDDIES; MODEL; WIND</t>
  </si>
  <si>
    <t>The mathematical model of the Antarctic Circumpolar Current with integral boundary conditions is established and the explicit expression of green's function is obtained. The existence and uniqueness of solutions are proved by using the mixed monotone operator theory. The sufficient conditions for the existence of positive solutions of the model are given and the existence of positive solutions with integral boundary is proved by using the fixed point technique in cone.</t>
  </si>
  <si>
    <t>[Zhang, Wenlin; Wang, JinRong] Guizhou Univ, Dept Math, Guiyang 550025, Guizhou, Peoples R China; [Feckan, Michal] Comenius Univ, Fac Math, Dept Math Anal &amp; Numer Math, Bratislava 84248, Slovakia; [Feckan, Michal] Slovak Acad Sci, Math Inst, Stefanikova 49, Bratislava 81473, Slovakia; [Wang, JinRong] Qufu Normal Univ, Sch Math Sci, Qufu 273165, Shandong, Peoples R China; [Zhang, Wenlin] Liupanshui Normal Univ, Sch Math &amp; Comp Sci, Liupanshui 553004, Guizhou, Peoples R China</t>
  </si>
  <si>
    <t>Guizhou University; Comenius University Bratislava; Slovak Academy of Sciences; Mathematical Institute, SAS; Qufu Normal University</t>
  </si>
  <si>
    <t>Wang, JR (corresponding author), Guizhou Univ, Dept Math, Guiyang 550025, Guizhou, Peoples R China.;Wang, JR (corresponding author), Qufu Normal Univ, Sch Math Sci, Qufu 273165, Shandong, Peoples R China.</t>
  </si>
  <si>
    <t>wlzhang1025@163.com; Michal.Feckan@fmph.uniba.sk; jrwang@gzu.edu.cn</t>
  </si>
  <si>
    <t>Fečkan, Michal/T-4397-2018; Wang, JinRong/O-5745-2017</t>
  </si>
  <si>
    <t>Fečkan, Michal/0000-0002-7385-6737; Wang, JinRong/0000-0002-6642-1946</t>
  </si>
  <si>
    <t>National Natural Science Foundation of China [11661016]; Training Object of High Level and Innovative Talents of Guizhou Province [(2016)4006]; Natural Science Foundation of Guizhou Province [[2018]387]; Guizhou Data Driven Modeling Learning and Optimization Innovation Team [[2020]5016]; Slovak Research and Development Agency [APVV-18-0308]; Slovak Grant Agency VEGA [1/0358/20, 2/0127/20]</t>
  </si>
  <si>
    <t>National Natural Science Foundation of China(National Natural Science Foundation of China (NSFC)); Training Object of High Level and Innovative Talents of Guizhou Province; Natural Science Foundation of Guizhou Province; Guizhou Data Driven Modeling Learning and Optimization Innovation Team; Slovak Research and Development Agency(Slovak Research and Development Agency); Slovak Grant Agency VEGA(Vedecka grantova agentura MSVVaS SR a SAV (VEGA))</t>
  </si>
  <si>
    <t>This work is partially supported by the National Natural Science Foundation of China (11661016), Training Object of High Level and Innovative Talents of Guizhou Province ((2016)4006), Natural Science Foundation of Guizhou Province ([2018]387), Guizhou Data Driven Modeling Learning and Optimization Innovation Team ([2020]5016), the Slovak Research and Development Agency under the contract No. APVV-18-0308, and the Slovak Grant Agency VEGA Nos. 1/0358/20 and 2/0127/20.</t>
  </si>
  <si>
    <t>SPRINGER WIEN</t>
  </si>
  <si>
    <t>WIEN</t>
  </si>
  <si>
    <t>SACHSENPLATZ 4-6, PO BOX 89, A-1201 WIEN, AUSTRIA</t>
  </si>
  <si>
    <t>0026-9255</t>
  </si>
  <si>
    <t>1436-5081</t>
  </si>
  <si>
    <t>MONATSH MATH</t>
  </si>
  <si>
    <t>Mon.heft. Math.</t>
  </si>
  <si>
    <t>10.1007/s00605-020-01467-8</t>
  </si>
  <si>
    <t>Mathematics</t>
  </si>
  <si>
    <t>NX7SU</t>
  </si>
  <si>
    <t>WOS:000572052200002</t>
  </si>
  <si>
    <t>Skinner, L; Menviel, L; Broadfield, L; Gottschalk, J; Greaves, M</t>
  </si>
  <si>
    <t>Skinner, Luke; Menviel, Laurie; Broadfield, Lauren; Gottschalk, Julia; Greaves, Mervyn</t>
  </si>
  <si>
    <t>Southern Ocean convection amplified past Antarctic warming and atmospheric CO2 rise during Heinrich Stadial 4</t>
  </si>
  <si>
    <t>FORAMINIFERAL MG/CA PALEOTHERMOMETRY; MERIDIONAL OVERTURNING CIRCULATION; ABRUPT CLIMATE-CHANGE; GLACIAL CLIMATE; DEEP-WATER; ATLANTIC; MODEL; SIMULATIONS; TEMPERATURE; VARIABILITY</t>
  </si>
  <si>
    <t>The record of past climate highlights recurrent and intense millennial anomalies, characterised by a distinct pattern of inter-polar temperature change, termed the 'thermal bipolar seesaw', which is widely believed to arise from rapid changes in the Atlantic overturning circulation. By forcing a suppression of North Atlantic convection, models have been able to reproduce many of the general features of the thermal bipolar seesaw; however, they typically fail to capture the full magnitude of temperature change reconstructed using polar ice cores from both hemispheres. Here we use deep-water temperature reconstructions, combined with parallel oxygenation and radiocarbon ventilation records, to demonstrate the occurrence of enhanced deep convection in the Southern Ocean across the particularly intense millennial climate anomaly, Heinrich Stadial 4. Our results underline the important role of Southern Ocean convection as a potential amplifier of Antarctic warming, and atmospheric CO2 rise, that is responsive to triggers originating in the North Atlantic. Antarctic warming and the rise of atmospheric CO2 levels during Heinrich Stadial 4 were amplified by enhanced convection and air-sea gas and heat exchange in the Southern Ocean, according to an analysis of deep water ventilation and temperature proxies</t>
  </si>
  <si>
    <t>[Skinner, Luke; Broadfield, Lauren; Greaves, Mervyn] Univ Cambridge, Earth Sci Dept, Godwin Lab Palaeoclimate Res, Downing St, Cambridge CB2 3EQ, England; [Menviel, Laurie] Univ New South Wales, Climate Change Res Ctr, PANGEA, Sydney, NSW, Australia; [Gottschalk, Julia] Columbia Univ, Lamont Doherty Earth Observ, Palisades, NY USA</t>
  </si>
  <si>
    <t>University of Cambridge; University of New South Wales Sydney; Columbia University</t>
  </si>
  <si>
    <t>Skinner, L (corresponding author), Univ Cambridge, Earth Sci Dept, Godwin Lab Palaeoclimate Res, Downing St, Cambridge CB2 3EQ, England.</t>
  </si>
  <si>
    <t>luke00@esc.cam.ac.uk</t>
  </si>
  <si>
    <t>Menviel, Laurie/D-6902-2013</t>
  </si>
  <si>
    <t>Menviel, Laurie/0000-0002-5068-1591; Gottschalk, Julia/0000-0002-0403-3059; Greaves, Mervyn/0000-0001-8014-8627</t>
  </si>
  <si>
    <t>NERC [NE/J010545/1]; Australian Research Council [FT180100606]; German Research Foundation [GO 2294/2-1]; NERC [NE/J010545/1] Funding Source: UKRI</t>
  </si>
  <si>
    <t>NERC(UK Research &amp; Innovation (UKRI)Natural Environment Research Council (NERC)); Australian Research Council(Australian Research Council); German Research Foundation(German Research Foundation (DFG)); NERC(UK Research &amp; Innovation (UKRI)Natural Environment Research Council (NERC))</t>
  </si>
  <si>
    <t>L.S. acknowledges funding from NERC grant NE/J010545/1. L.M. acknowledges funding from the Australian Research Council grant FT180100606. J.G. acknowledges support from the German Research Foundation (grant GO 2294/2-1).</t>
  </si>
  <si>
    <t>10.1038/s43247-020-00024-3</t>
  </si>
  <si>
    <t>RZ4YG</t>
  </si>
  <si>
    <t>WOS:000648603200001</t>
  </si>
  <si>
    <t>Roberson, LA; Watson, RA; Klein, CJ</t>
  </si>
  <si>
    <t>Roberson, Leslie A.; Watson, Reg A.; Klein, Carissa J.</t>
  </si>
  <si>
    <t>Over 90 endangered fish and invertebrates are caught in industrial fisheries</t>
  </si>
  <si>
    <t>EXTINCTION RISK; GLOBAL PATTERNS; MARINE; TRACEABILITY; CONSERVATION; RECOVERY; COLLAPSE; IMPACTS; SHARKS</t>
  </si>
  <si>
    <t>Industrial-scale harvest of species at risk of extinction is controversial and usually highly regulated on land and for charismatic marine animals (e.g. whales). In contrast, threatened marine fish species can be legally caught in industrial fisheries. To determine the magnitude and extent of this problem, we analyze global fisheries catch and import data and find reported catch records of 91 globally threatened species. Thirteen of the species are traded internationally and predominantly consumed in European nations. Targeted industrial fishing for 73 of the threatened species accounts for nearly all (99%) of the threatened species catch volume and value. Our results are a conservative estimate of threatened species catch and trade because we only consider species-level data, excluding group records such as 'sharks and rays.' Given the development of new fisheries monitoring technologies and the current push for stronger international mechanisms for biodiversity management, industrial fishing of threatened fish and invertebrates should no longer be neglected in conservation and sustainability commitments. Due to legislative shortfalls, species of global conservation concern can still be captured in commercial fisheries. Here the authors show that 91 threatened species are reported in catch/landing databases, 13 of which are traded internationally despite their conservation concern.</t>
  </si>
  <si>
    <t>[Roberson, Leslie A.; Klein, Carissa J.] Univ Queensland, Sch Earth &amp; Environm Sci, Brisbane, Qld, Australia; [Roberson, Leslie A.; Klein, Carissa J.] Univ Queensland, Ctr Biodivers &amp; Conservat Sci, Brisbane, Qld, Australia; [Watson, Reg A.] Univ Tasmania, Inst Marine &amp; Antarctic Studies, Hobart, Tas, Australia</t>
  </si>
  <si>
    <t>University of Queensland; University of Queensland; University of Tasmania</t>
  </si>
  <si>
    <t>Roberson, LA (corresponding author), Univ Queensland, Sch Earth &amp; Environm Sci, Brisbane, Qld, Australia.;Roberson, LA (corresponding author), Univ Queensland, Ctr Biodivers &amp; Conservat Sci, Brisbane, Qld, Australia.</t>
  </si>
  <si>
    <t>leslie.roberson@gmail.com</t>
  </si>
  <si>
    <t>; klein, carissa/F-1632-2011</t>
  </si>
  <si>
    <t>Roberson, Leslie/0000-0002-7490-0795; klein, carissa/0000-0002-6299-6451</t>
  </si>
  <si>
    <t>Centre for Biodiversity and Conservation Science at the University of Queensland; University of Queensland Postdoctoral Fellowship</t>
  </si>
  <si>
    <t>Centre for Biodiversity and Conservation Science at the University of Queensland; University of Queensland Postdoctoral Fellowship(University of Queensland)</t>
  </si>
  <si>
    <t>L.A.R. and C.J.K. are supported by the Centre for Biodiversity and Conservation Science at the University of Queensland. C.J.K. is supported by a University of Queensland Postdoctoral Fellowship. We thank James E. Watson for comments that improved this work, Maria Deng Palomares and Beth Polidoro for assisting with data access during a chaotic time, and Stephane Guillou, Awais Hameed Khan, Jarren Simmons, and Dan Vallentyne for assistance conceptualising and designing the figures for this manuscript.</t>
  </si>
  <si>
    <t>SEP 21</t>
  </si>
  <si>
    <t>10.1038/s41467-020-18505-6</t>
  </si>
  <si>
    <t>PF2LM</t>
  </si>
  <si>
    <t>WOS:000598892400004</t>
  </si>
  <si>
    <t>Baláz, M; Goga, M; Hegedüs, M; Daneu, N; Kovácová, M; Tkaciková, L; Balázová, L; Backor, M</t>
  </si>
  <si>
    <t>Balaz, Matej; Goga, Michal; Hegedus, Michal; Daneu, Nina; Kovacova, Maria; Tkacikova, L'udmila; Balazova, L'udmila; Backor, Martin</t>
  </si>
  <si>
    <t>Biomechanochemical Solid-State Synthesis of Silver Nanoparticles with Antibacterial Activity Using Lichens</t>
  </si>
  <si>
    <t>ACS SUSTAINABLE CHEMISTRY &amp; ENGINEERING</t>
  </si>
  <si>
    <t>Ag nanoparticles; Lichens; Mechanochemistry; Antibacterial activity; Green synthesis</t>
  </si>
  <si>
    <t>MECHANOCHEMICAL SYNTHESIS; CYTOTOXIC ACTIVITIES; BIOLOGICAL SYNTHESIS; METAL NANOPARTICLES; GREEN SYNTHESIS; ANTIOXIDANT; AG; OPPORTUNITIES; CHEMISTRY; EXTRACTS</t>
  </si>
  <si>
    <t>A completely solid-state mechanochemical synthesis of silver nanoparticles overcoming the problem with water insolubility of lichen metabolites hampering their use for the classical green synthesis in water is shown herein. Four lichen species (Xanthoria elegans, Cetraria islandica, Usnea antarctica, and Leptogium puberulum) and AgNO3 were used as reducing agents and Ag(0) precursor, respectively. The reaction progress was rapid in the first two cases, whereas in the case of U. antarctica and L. puberulum, a significant amount of AgNO3 could still be detected after 6 h of milling. The products with a higher content of Ag(0) were shown to undergo a backward transformation documented by increasing content of AgNO3 with storage time; however, the repeated formation of Ag(0) could be observed upon remilling. Transmission electron microscopy analysis has shown bimodal nanocrystallite size distribution in all cases. However, the finer fraction was more abundant in the case of silver nanoparticles prepared using lichens with stronger reducing ability (X. elegans and C. islandica). All the products are excellent antibacterial agents. Whereas the as-received products exhibited higher activity against E. coli, the remilled samples were more active against S. aureus.</t>
  </si>
  <si>
    <t>[Goga, Michal; Backor, Martin] Univ Pavol Jozef Safarik, Inst Biol &amp; Ecol, Dept Bot, Kosice 04001, Slovakia; [Goga, Michal] Univ Vienna, Core Facil Cell Imaging &amp; Ultrastruct Res, A-1090 Vienna, Austria; [Hegedus, Michal] Synthon Sro, Blansko 67801, Czech Republic; [Daneu, Nina] Jozef Stefan Inst, Adv Mat Dept, SI-1000 Ljubljana, Slovenia; [Balaz, Matej; Kovacova, Maria] Slovak Acad Sci, Inst Geotech, Dept Mechanochem, Kosice 04001, Slovakia; [Tkacikova, L'udmila] Univ Vet Med &amp; Pharm, Dept Microbiol &amp; Immunol, Kosice 04181, Slovakia; [Balazova, L'udmila] Univ Vet Med &amp; Pharm, Dept Pharmacognosy &amp; Bot, Kosice 04181, Slovakia</t>
  </si>
  <si>
    <t>University of Pavol Jozef Safarik Kosice; University of Vienna; Slovenian Academy of Sciences &amp; Arts (SASA); Jozef Stefan Institute; Slovak Academy of Sciences; Institute of Geotechnics, SAS; University of Veterinary Medicine Kosice; University of Veterinary Medicine Kosice</t>
  </si>
  <si>
    <t>Baláz, M (corresponding author), Slovak Acad Sci, Inst Geotech, Dept Mechanochem, Kosice 04001, Slovakia.</t>
  </si>
  <si>
    <t>balazm@saske.sk</t>
  </si>
  <si>
    <t>Baláž, Matej/AAK-7505-2020; Daneu, Nina/M-8576-2014; Kovacova, Maria/AAG-7176-2021; Balážová, Ľudmila/GSM-9345-2022</t>
  </si>
  <si>
    <t>Baláž, Matej/0000-0001-6563-7588; Goga, Michal/0000-0001-9517-158X</t>
  </si>
  <si>
    <t>Slovak Research and Development Agency [APVV-18-0357]; Slovak Grant Agency VEGA [2/0044/18]; Operational Program Research and Development - European Regional Development Fund [ITMS 26220220186]; Slovenian Research Agency [P2-0091]; CzechPolar2 (Czech Polar Research Infrastructure) [LM2015078]</t>
  </si>
  <si>
    <t>Slovak Research and Development Agency(Slovak Research and Development Agency); Slovak Grant Agency VEGA(Vedecka grantova agentura MSVVaS SR a SAV (VEGA)); Operational Program Research and Development - European Regional Development Fund; Slovenian Research Agency(Slovenian Research Agency - Slovenia); CzechPolar2 (Czech Polar Research Infrastructure)</t>
  </si>
  <si>
    <t>The present study was financially supported by the Slovak Research and Development Agency under contract no. APVV-18-0357 and that of Slovak Grant Agency VEGA (project 2/0044/18). This work was realized within the frame of the project Research Centre of Advanced Materials and Technologies for Recent and Future Applications PROMATECH, ITMS 26220220186, supported by the Operational Program Research and Development financed through European Regional Development Fund. N.D. acknowledges financial support from the Slovenian Research Agency (research core funding no. P2-0091). The authors are grateful to CzechPolar2 (Czech Polar Research Infrastructure, project no. LM2015078) for an opportunity to conduct research during the Antarctic expedition in 2017.</t>
  </si>
  <si>
    <t>2168-0485</t>
  </si>
  <si>
    <t>ACS SUSTAIN CHEM ENG</t>
  </si>
  <si>
    <t>ACS Sustain. Chem. Eng.</t>
  </si>
  <si>
    <t>10.1021/acssuschemeng.0c03211</t>
  </si>
  <si>
    <t>Chemistry, Multidisciplinary; Green &amp; Sustainable Science &amp; Technology; Engineering, Chemical</t>
  </si>
  <si>
    <t>Chemistry; Science &amp; Technology - Other Topics; Engineering</t>
  </si>
  <si>
    <t>NW9QL</t>
  </si>
  <si>
    <t>WOS:000575352800008</t>
  </si>
  <si>
    <t>Yang, G; Atkinson, A; Hill, SL; Guglielmo, L; Granata, A; Li, CL</t>
  </si>
  <si>
    <t>Yang, Guang; Atkinson, Angus; Hill, Simeon L.; Guglielmo, Letterio; Granata, Antonia; Li, Chaolun</t>
  </si>
  <si>
    <t>Changing circumpolar distributions and isoscapes of Antarctic krill:Indo-Pacifichabitat refuges counter long-term degradation of the Atlantic sector</t>
  </si>
  <si>
    <t>EUPHAUSIA-SUPERBA; SOUTHERN-OCEAN; SEA-ICE; ROSS SEA; SCOTIA SEA; PACK-ICE; FOOD-WEB; VARIABILITY; ABUNDANCE; HABITAT</t>
  </si>
  <si>
    <t>The Southern Ocean provides strong contrasts in rates and directions of change in temperature and sea ice between its sectors, but it is unknown how these affect plankton species that are distributed right around Antarctica. Here, we quantify the changing circumpolar distributions of Antarctic krill, based on the CHINARE 2013/14 circum-Antarctic expedition, plus independent analyses of compiled abundance data (KRILLBASE: 1926-2016). In the 1920s-1930s, average krill densities in the Atlantic-Bellingshausen sector were eight times those in the other sectors. More recently, however, the concentration factor has dropped to only about twofold. This reflects a rebalancing broadly commensurate with climatic forcing: krill densities declined in the Atlantic-Bellingshausen sector which has warmed and lost sea ice, densities may have increased in the Ross-Pacific sector which showed the opposite climatic trend, while densities showed no significant changes in the more stable Lazarev-Indian sectors. Such changes would impact circumpolar food webs, so to better define these we examined circumpolar trends of isotopic values in krill and other zooplankton based on the CHINARE cruise and a literature meta-analysis. Krill delta N-15 values ranged significantly between sectors from 2.21 parts per thousand (Indian) to 3.59 parts per thousand (Ross-Pacific), about half a trophic level lower than another key euphausiid,Thysanoessa macrura. These isoscapes form a baseline for interpreting the reliance of predators on euphausiids, within the varying food webs around the continent. Overall, we suggest that the Indo-Pacific sector has acted as a refuge for the circumpolar krill stock while conditions for them deteriorated rapidly in the Atlantic sector.</t>
  </si>
  <si>
    <t>[Yang, Guang; Li, Chaolun] Chinese Acad Sci, Inst Oceanol, Key Lab Marine Ecol &amp; Environm Sci, Qingdao, Peoples R China; [Yang, Guang; Li, Chaolun] Qingdao Natl Lab Marine Sci &amp; Technol, Lab Marine Ecol &amp; Environm Sci, Qingdao, Peoples R China; [Yang, Guang; Li, Chaolun] Chinese Acad Sci, Ctr Ocean Mega Sci, Qingdao, Peoples R China; [Atkinson, Angus] Plymouth Marine Lab, Prospect Pl, Plymouth, Devon, England; [Hill, Simeon L.] British Antarctic Survey, Cambridge, England; [Guglielmo, Letterio] Stn Zool Anton Dohrn, BIOTECH Dept, Naples, Italy; [Granata, Antonia] Univ Messina, Dipartimento Sci Biol Chim Farmaceut &amp; Ambientali, Messina, Italy; [Li, Chaolun] Univ Chinese Acad Sci, Beijing, Peoples R China</t>
  </si>
  <si>
    <t>Chinese Academy of Sciences; Institute of Oceanology, CAS; Laoshan Laboratory; Chinese Academy of Sciences; Plymouth Marine Laboratory; UK Research &amp; Innovation (UKRI); Natural Environment Research Council (NERC); NERC British Antarctic Survey; Stazione Zoologica Anton Dohrn di Napoli; University of Messina; Chinese Academy of Sciences; University of Chinese Academy of Sciences, CAS</t>
  </si>
  <si>
    <t>Li, CL (corresponding author), Chinese Acad Sci, Inst Oceanol, Key Lab Marine Ecol &amp; Environm Sci, Qingdao, Peoples R China.;Li, CL (corresponding author), Qingdao Natl Lab Marine Sci &amp; Technol, Lab Marine Ecol &amp; Environm Sci, Qingdao, Peoples R China.;Li, CL (corresponding author), Chinese Acad Sci, Ctr Ocean Mega Sci, Qingdao, Peoples R China.;Li, CL (corresponding author), Univ Chinese Acad Sci, Beijing, Peoples R China.</t>
  </si>
  <si>
    <t>lcl@qdio.ac.cn</t>
  </si>
  <si>
    <t>Simeon, Hill L/B-2307-2008; Li, Chao/GSM-8117-2022; Atkinson, Angus/HOH-3417-2023</t>
  </si>
  <si>
    <t>Li, Chao/0000-0001-6110-6210; Yang, Guang/0000-0002-9410-0189; GRANATA, Antonia/0000-0001-7016-6418; Li, Chaolun/0000-0003-1890-0587</t>
  </si>
  <si>
    <t>National Key Research and Development Plan of China [2018YFC1406801]; National Science Foundation of China [41876217]; response and feedback of the Southern Ocean to climate change [RFSOCC2020-2025]; World Wildlife Fund; NERC [bas0100035, pml010004] Funding Source: UKRI</t>
  </si>
  <si>
    <t>National Key Research and Development Plan of China; National Science Foundation of China(National Natural Science Foundation of China (NSFC)); response and feedback of the Southern Ocean to climate change; World Wildlife Fund; NERC(UK Research &amp; Innovation (UKRI)Natural Environment Research Council (NERC))</t>
  </si>
  <si>
    <t>We thank Mentan Liu, Ye Zhang, and the crew on RV Xuelong for the collection and isotopic analysis of zooplankton. We also thank Yanqing Wang, Wenxiu Mu, and Chao Xu for the identification and counting of zooplankton. G.Y. was supported by National Key Research and Development Plan of China (2018YFC1406801), National Science Foundation of China (41876217), and the response and feedback of the Southern Ocean to climate change (RFSOCC2020-2025). This study is also based on a large amount of distribution and isotopic data for zooplankton collected over the last 100yrs, and we thank all of the crews and scientists for making these data available for reuse here. The World Wildlife Fund supported the contributions of A.A. and S.L.H. to this study.</t>
  </si>
  <si>
    <t>10.1002/lno.11603</t>
  </si>
  <si>
    <t>PT0QI</t>
  </si>
  <si>
    <t>WOS:000571639000001</t>
  </si>
  <si>
    <t>Chau, JH; Mtsi, NIS; Munbergova, Z; Greve, M; le Roux, PC; Mairal, M; Le Roux, JJ; Dorrington, RA; van Vuuren, BJ</t>
  </si>
  <si>
    <t>Chau, John H.; Mtsi, Nasipi I. S.; Munbergova, Zuzana; Greve, Michelle; le Roux, Peter C.; Mairal, Mario; Le Roux, Johannes J.; Dorrington, Rosemary A.; Jansen van Vuuren, Bettine</t>
  </si>
  <si>
    <t>An update on the indigenous vascular flora of sub-Antarctic Marion Island: taxonomic changes, sequences for DNA barcode loci, and genome size data</t>
  </si>
  <si>
    <t>C-value; Flow cytometry; matK; Nomenclature; Prince Edward islands; rbcL</t>
  </si>
  <si>
    <t>SOUTHERN-OCEAN ISLANDS; BLECHNACEAE POLYPODIALES; INVASION RESISTANCE; PHYLOGENY; POLYPLOIDY; BIOGEOGRAPHY; EVOLUTION; ANGIOSPERMS; ECOSYSTEM; CLIMATE</t>
  </si>
  <si>
    <t>The flora of sub-Antarctic Marion Island forms part of the unique South Indian Ocean Biogeographic Province, and is under threat from climate change and invasive species. Current information on the flora is necessary to rapidly identify and manage future changes. We conducted a literature search on the taxonomy of indigenous vascular plant species on Marion Island and found nomenclatural changes following taxonomic revisions forAustroblechnum penna-marina(Poir.) Gasper &amp; V.A.O.Dittrich,Carex dikei(Nelmes) K.L.Wilson,Leptinella plumosaHook.f.,Notogrammitis crassior(Kirk) Parris,Phlegmariurus saururus(Lam.) B.ollg., andPolypogon magellanicus(Lam.) Finot. Additionally,Ranunculus moseleyiHook.f. was removed from our species checklist due to its long absence in floristic surveys, leaving 21 species in the indigenous vascular plant flora present on Marion Island. We also amplified and sequenced the universal plant barcoding locirbcLandmatKfor 19 and 13 species, respectively, and found that ample interspecific genetic distance and minimal intraspecific genetic distance allowed for easy discrimination between species. Lastly, we obtained genome size estimates using flow cytometry for 12 species. Mean 2C genome size for species on Marion Island ranged from 0.44 to 21.44 pg, which is on the lower end of the known range for vascular plant species. We detected two distinct cytotypes inPoa cookii(Hook.f.) Hook.f. and one cytotype in all other species measured.</t>
  </si>
  <si>
    <t>[Chau, John H.; Jansen van Vuuren, Bettine] Univ Johannesburg, Dept Zool, Ctr Ecol Genom &amp; Wildlife Conservat, ZA-2006 Auckland Pk, South Africa; [Mtsi, Nasipi I. S.; Dorrington, Rosemary A.] Rhodes Univ, Dept Biochem &amp; Microbiol, POB 94, ZA-6140 Grahamstown, South Africa; [Munbergova, Zuzana] Charles Univ Prague, Dept Bot, Fac Sci, Prague 12801, Czech Republic; [Munbergova, Zuzana] Czech Acad Sci, Dept Populat Ecol, Zamek 1, Pruhonice 25243, Czech Republic; [Greve, Michelle; le Roux, Peter C.] Univ Pretoria, Dept Plant &amp; Soil Sci, Pretoria, South Africa; [Mairal, Mario] Stellenbosch Univ, Dept Bot &amp; Zool, Stellenbosch, South Africa; [Le Roux, Johannes J.] Macquarie Univ, Dept Biol Sci, Sydney, NSW, Australia</t>
  </si>
  <si>
    <t>University of Johannesburg; Rhodes University; Charles University Prague; Czech Academy of Sciences; Institute of Botany of the Czech Academy of Sciences; University of Pretoria; Stellenbosch University; Macquarie University</t>
  </si>
  <si>
    <t>van Vuuren, BJ (corresponding author), Univ Johannesburg, Dept Zool, Ctr Ecol Genom &amp; Wildlife Conservat, ZA-2006 Auckland Pk, South Africa.</t>
  </si>
  <si>
    <t>bettinevv@uj.ac.za</t>
  </si>
  <si>
    <t>Mairal, Mario/H-8911-2019; Jansen van Vuuren, Bettine/E-6227-2013; Münzbergová, Zuzana/F-6321-2013; le Roux, Peter Christiaan/E-7784-2011</t>
  </si>
  <si>
    <t>Mairal, Mario/0000-0002-6588-5634; Jansen van Vuuren, Bettine/0000-0002-5334-5358; Münzbergová, Zuzana/0000-0002-4026-6220; le Roux, Peter Christiaan/0000-0002-7941-7444; Dorrington, Rosemary/0000-0002-8694-367X; Greve, Michelle/0000-0002-6229-8506; Le Roux, Johannes/0000-0001-7911-9810</t>
  </si>
  <si>
    <t>South African National Research Foundation (NRF) through South African National Antarctic Program (SANAP) [110734, 110726, 110728]; Foundational Biodiversity Information Programme [UID: 98120]; South African Department of Environmental Affairs; SANAP; University of Johannesburg; NRF SANAP Masters Fellowship; Czech Academy of Sciences [RVO67985939]; Ministry of Education, Youth and Sports of the Czech Republic; Stellenbosch University</t>
  </si>
  <si>
    <t>South African National Research Foundation (NRF) through South African National Antarctic Program (SANAP); Foundational Biodiversity Information Programme; South African Department of Environmental Affairs; SANAP; University of Johannesburg; NRF SANAP Masters Fellowship; Czech Academy of Sciences(Czech Academy of Sciences); Ministry of Education, Youth and Sports of the Czech Republic(Ministry of Education, Youth &amp; Sports - Czech Republic); Stellenbosch University</t>
  </si>
  <si>
    <t>This research was funded by the South African National Research Foundation (NRF) through South African National Antarctic Program (SANAP) research grants to MG, PClR, and BJvV (Grant Numbers 110734, 110726, and 110728) and a Foundational Biodiversity Information Programme grant to RAD (UID: 98120). Sampling on Marion Island was conducted during the 2016 and 2018 relief voyages, which were logistically supported and funded by the South African Department of Environmental Affairs and SANAP. We thank the South African Department of Environmental Affairs (permits PEIMC1/2013 and PEIMR15/2016) and Cape Nature (0027-AAA008-00803) for permission to collect on Marion Island. JHC and MM were supported through grant-holder postdoctoral bursaries to BJvV (SANAP), with supplementary funding from the University of Johannesburg and Stellenbosch University. NISM was supported by a NRF SANAP Masters Fellowship. ZM was supported by the Czech Academy of Sciences (RVO67985939) and the Ministry of Education, Youth and Sports of the Czech Republic. We thank Tirupathi Rao Golla for assistance with DNA sequencing and Zuzana Liblova for assistance with flow cytometry. This manuscript was improved by the input of several anonymous reviewers.</t>
  </si>
  <si>
    <t>10.1007/s00300-020-02747-7</t>
  </si>
  <si>
    <t>WOS:000571668900001</t>
  </si>
  <si>
    <t>Carpenter-Kling, T; Reisinger, RR; Orgeret, F; Connan, M; Stevens, KL; Ryan, PG; Makhado, A; Pistorius, PA</t>
  </si>
  <si>
    <t>Carpenter-Kling, Tegan; Reisinger, Ryan R.; Orgeret, Florian; Connan, Maelle; Stevens, Kim L.; Ryan, Peter G.; Makhado, Azwianewi; Pistorius, Pierre A.</t>
  </si>
  <si>
    <t>Foraging in a dynamic environment: Response of four sympatric sub-Antarctic albatross species to interannual environmental variability</t>
  </si>
  <si>
    <t>behavioral plasticity; biologging; central place foragers; marine predators; resilience; Southern Annual Mode</t>
  </si>
  <si>
    <t>PRINCE EDWARD ISLANDS; AT-SEA DISTRIBUTION; CLIMATE-CHANGE; WANDERING ALBATROSSES; HABITAT USE; COMMUNITY STRUCTURE; CONVERGENCE SOUTH; SOOTY ALBATROSSES; MARION ISLAND; SITE FIDELITY</t>
  </si>
  <si>
    <t>Seasonal and annual climate variations are linked to fluctuations in the abundance and distribution of resources, posing a significant challenge to animals that need to adjust their foraging behavior accordingly. Particularly during adverse conditions, and while energetically constrained when breeding, animals ideally need to be flexible in their foraging behavior. Such behavioral plasticity may separate winners from losers in light of rapid environmental changes due to climate change. Here, the foraging behavior of four sub-Antarctic albatross species was investigated from 2015/16 to 2017/18, a period characterized by pronounced environmental variability. Over three breeding seasons on Marion Island, Prince Edward Archipelago, incubating wandering (WA,Diomedea exulans;n = 45), grey-headed (GHA,Thalassarche chrysostoma;n = 26), sooty (SA,Phoebetria fusca;n = 23), and light-mantled (LMSA,P. palpebrata;n = 22) albatrosses were tracked with GPS loggers. The response of birds to environmental variability was investigated by quantifying interannual changes in their foraging behavior along two axes: spatial distribution, using kernel density analysis, and foraging habitat preference, using generalized additive mixed models and Bayesian mixed models. All four species were shown to respond behaviorally to environmental variability, but with substantial differences in their foraging strategies. WA was most general in its habitat use defined by sea surface height, eddy kinetic energy, wind speed, ocean floor slope, and sea-level anomaly, with individuals foraging in a range of habitats. In contrast, the three smaller albatrosses exploited two main foraging habitats, with habitat use varying between years. Generalist habitat use by WA and interannually variable use of habitats by GHA, SA, and LMSA would likely offer these species some resilience to predicted changes in climate such as warming seas and strengthening of westerly winds. However, future investigations need to consider other life-history stages coupled with demographic studies, to better understand the link between behavioral plasticity and population responses.</t>
  </si>
  <si>
    <t>[Carpenter-Kling, Tegan; Reisinger, Ryan R.; Orgeret, Florian; Connan, Maelle; Pistorius, Pierre A.] Nelson Mandela Univ, Marine Apex Predator Res Unit MAPRU, Dept Zool, Inst Coastal &amp; Marine Res, Port Elizabeth, South Africa; [Carpenter-Kling, Tegan; Pistorius, Pierre A.] Nelson Mandela Univ, DST NRF Ctr Excellence, FitzPatrick Inst African Ornithol, Port Elizabeth, South Africa; [Reisinger, Ryan R.] Sorbonne Univ, LOCEAN IPSL, UMR CNRS 7159, IRD,MNHN, Paris, France; [Reisinger, Ryan R.] Univ La Rochelle, Ctr Etud Biol Chize, UMR CNRS 7372, Villiers En Bols, France; [Stevens, Kim L.; Ryan, Peter G.; Makhado, Azwianewi] Univ Cape Town, FitzPatrick Inst African Ornithol, DST NRF Ctr Excellence, Rondebosch, South Africa; [Makhado, Azwianewi] Oceans &amp; Coasts Res, Dept Environm Forestry &amp; Fisheries, Cape Town, South Africa</t>
  </si>
  <si>
    <t>Nelson Mandela University; National Research Foundation - South Africa; Nelson Mandela University; Museum National d'Histoire Naturelle (MNHN); Sorbonne Universite; Institut de Recherche pour le Developpement (IRD); La Rochelle Universite; National Research Foundation - South Africa; University of Cape Town</t>
  </si>
  <si>
    <t>Carpenter-Kling, T (corresponding author), Nelson Mandela Univ, Marine Apex Predator Res Unit MAPRU, Dept Zool, Inst Coastal &amp; Marine Res, Port Elizabeth, South Africa.</t>
  </si>
  <si>
    <t>tegan.carpenterkling@gmail.com</t>
  </si>
  <si>
    <t>Connan, Maelle/A-8468-2008; Reisinger, Ryan/D-6151-2014</t>
  </si>
  <si>
    <t>Connan, Maelle/0000-0002-1308-9118; Stevens, Kim/0000-0002-5885-1559; Ryan, Peter/0000-0002-3356-2056; Reisinger, Ryan/0000-0002-8933-6875</t>
  </si>
  <si>
    <t>South Africa's National Research Foundation (NRF) [SNA093071, 94916]</t>
  </si>
  <si>
    <t>South Africa's National Research Foundation (NRF)(National Research Foundation - South Africa)</t>
  </si>
  <si>
    <t>South Africa's National Research Foundation (NRF), Grant/Award Number: SNA093071 and 94916</t>
  </si>
  <si>
    <t>10.1002/ece3.6766</t>
  </si>
  <si>
    <t>ON9RN</t>
  </si>
  <si>
    <t>Green Submitted, Green Accepted, gold, Green Published</t>
  </si>
  <si>
    <t>WOS:000571351600001</t>
  </si>
  <si>
    <t>Jara, RF; Crego, RD; Samuel, MD; Rozzi, R; Jiménez, JE</t>
  </si>
  <si>
    <t>Fernanda Jara, Rocio; Crego, Ramiro Daniel; Samuel, Michael David; Rozzi, Ricardo; Jimenez, Jaime Enrique</t>
  </si>
  <si>
    <t>Nest-site selection and breeding success of passerines in the world's southernmost forests</t>
  </si>
  <si>
    <t>Anairetes parulus; Elaenia albiceps; Exotic species; Nesting; Phrygilus patagonicusraptors; Turdus falcklandii; Zonotrichia capensis; Predation; Navarino; Island</t>
  </si>
  <si>
    <t>HORN BIOSPHERE RESERVE; MINK MUSTELA-VISON; PREDATION RISK; AMERICAN MINK; HABITAT SELECTION; NAVARINO ISLAND; SURVIVAL; BIODIVERSITY; FLYCATCHER; PATTERNS</t>
  </si>
  <si>
    <t>Background. Birds can maximize their reproductive success through careful selection of nest-sites. The 'total-foliage' hypothesis predicts that nests concealed in vegetation should have higher survival. We propose an additional hypothesis, the 'predator proximity' hypothesis, which states that nests placed farther from predators would have higher survival. We examined these hypotheses in the world's southernmost forests of Navarino Island, in the Cape Horn Biosphere reserve, Chile (55 degrees S). This island has been free of mammalian ground predators until recently, and forest passerines have been subject to depredation only by diurnal and nocturnal raptors. Methods. During three breeding seasons (2014-2017), we monitored 104 nests for the five most abundant open-cup forest-dwelling passerines (Elaenia albiceps, Zonotrichia capensis, Phrygilus patagonicus, Turdus falcklandii, and Anairetes parulus). We identified nest predators using camera traps and assessed whether habitat characteristics affected nest-site selection and survival. Results. Nest predation was the main cause of nest failure (71% of failed nests). Milvago chimango was the most common predator, depredating 13 (87%) of the 15 nests where we could identify a predator. By contrast, the recently introduced mammal Neovison vison, the only ground predator, depredated one nest (7%). Species selected nest-sites with more understory cover and taller understory, which according to the total-foliage hypothesis would provide more concealment against both avian and mammal predators. However, these variables negatively influenced nest survival. The apparent disconnect between selecting nest-sites to avoid predation and the actual risk of predation could be due to recent changes in the predator assemblage driven by an increased abundance of native M. chimango associated with urban development, and/or the introduction of exotic mammalian ground predators to this island. These predator assemblage changes could have resulted in an ecological trap. Further research will be needed to assess hypotheses that could explain this mismatch between nest-site selection and nest survival.</t>
  </si>
  <si>
    <t>[Fernanda Jara, Rocio; Jimenez, Jaime Enrique] Univ North Texas, Dept Biol Sci, Denton, TX 76203 USA; [Fernanda Jara, Rocio; Crego, Ramiro Daniel; Rozzi, Ricardo] Univ North Texas, Sub Antarctic Biocultural Conservat Program, Denton, TX 76203 USA; [Fernanda Jara, Rocio; Crego, Ramiro Daniel; Rozzi, Ricardo] Inst Ecol &amp; Biodivers, Omora Pk Field Stn, Puerto Williams, Chile; [Crego, Ramiro Daniel] Smithsonian Conservat Biol Inst, Conservat Ecol Ctr, Natl Zool Pk, Front Royal, VA USA; [Samuel, Michael David] Univ Wisconsin, Dept Forest &amp; Wildlife Ecol, Madison, WI USA; [Rozzi, Ricardo] Univ Magallanes, Punta Arenas, Chile; [Rozzi, Ricardo] Univ North Texas, Dept Philosophy &amp; Relig, Denton, TX USA; [Rozzi, Ricardo; Jimenez, Jaime Enrique] Univ North Texas, Dept Biol Sci, Adv Environm Res Inst, Denton, TX USA</t>
  </si>
  <si>
    <t>University of North Texas System; University of North Texas Denton; University of North Texas System; University of North Texas Denton; Smithsonian Institution; Smithsonian National Zoological Park &amp; Conservation Biology Institute; University of Wisconsin System; University of Wisconsin Madison; Universidad de Magallanes; University of North Texas System; University of North Texas Denton; University of North Texas System; University of North Texas Denton</t>
  </si>
  <si>
    <t>Jara, RF (corresponding author), Univ North Texas, Dept Biol Sci, Denton, TX 76203 USA.;Jara, RF (corresponding author), Univ North Texas, Sub Antarctic Biocultural Conservat Program, Denton, TX 76203 USA.;Jara, RF (corresponding author), Inst Ecol &amp; Biodivers, Omora Pk Field Stn, Puerto Williams, Chile.</t>
  </si>
  <si>
    <t>RocioJara@my.unt.edu</t>
  </si>
  <si>
    <t>Jara, Rocio Fernanda/GOK-0262-2022; Rozzi, Ricardo/G-1047-2012; Crego, Ramiro Daniel/I-3964-2019</t>
  </si>
  <si>
    <t>Rozzi, Ricardo/0000-0001-5265-8726; Crego, Ramiro Daniel/0000-0001-8583-5936; Jara, Rocio Fernanda/0000-0001-7896-7885</t>
  </si>
  <si>
    <t>Chilean National Commission for Scientific and Technological Research (CONICYT); University of North Texas, Partners of the Americas fellowship; Agencia Nacional de Investigacion de Chile (ANID, Basal Funding) [AFB170008]</t>
  </si>
  <si>
    <t>Chilean National Commission for Scientific and Technological Research (CONICYT)(Comision Nacional de Investigacion Cientifica y Tecnologica (CONICYT)); University of North Texas, Partners of the Americas fellowship; Agencia Nacional de Investigacion de Chile (ANID, Basal Funding)</t>
  </si>
  <si>
    <t>Funding was provided by the Chilean National Commission for Scientific and Technological Research (CONICYT) in the form of graduate scholarship for Rocio F. Jara, the University of North Texas, Partners of the Americas fellowship, and the Agencia Nacional de Investigacion de Chile (ANID, Basal Funding AFB170008) to the Institute of Ecology and Biodiversity (IEB-Chile). The funders had no role in study design, data collection and analysis, decision to publish, or preparation of the manuscript.</t>
  </si>
  <si>
    <t>e9892</t>
  </si>
  <si>
    <t>10.7717/peerj.9892</t>
  </si>
  <si>
    <t>NR2JS</t>
  </si>
  <si>
    <t>WOS:000571389500006</t>
  </si>
  <si>
    <t>Borisova, TD; Blagoveshchenskaya, NF; Kalishin, AS; Häggström, MI; Rietveld, MT</t>
  </si>
  <si>
    <t>Borisova, T. D.; Blagoveshchenskaya, N. F.; Kalishin, A. S.; Haggstrom, M. I.; Rietveld, M. T.</t>
  </si>
  <si>
    <t>Excitation of Langmuir and Ion-Acoustic Turbulence in the High-Latitude Ionosphere by a High-Power HF Radio Wave Simultaneously Below and Above theF2-Layer Maximum</t>
  </si>
  <si>
    <t>RADIOPHYSICS AND QUANTUM ELECTRONICS</t>
  </si>
  <si>
    <t>HEATING EXPERIMENTS; F-REGION; PLASMA; EISCAT; FREQUENCIES; LINES; SPECTRA; TROMSO</t>
  </si>
  <si>
    <t>We present the results of experimental studies of the generation peculiarities and features of the Langmuir and ion-acoustic turbulence in the F region of the high-latitude ionosphere excited by high-power HF O-mode radio waves emitted by the EISCAT/Heating facility (Tromso, Norway) in the direction of the Earth's magnetic field. The experiment was carried out at frequencies fH close to the fourth gyroharmonic, f(H)&lt; 4f(ce), and the cutoff frequency of the F(2)layer, f(oF2), f(H)&lt; f(oF2)&lt; f(H)+f(ce)/2, where f(ce)is the electron gyrofrequency. By using the EISCAT incoherent scatter radar (930 MHz), a joint analysis of the plasma and ion line spectra simultaneously below and above the F-2-layer maximum was performed. The excitation of the HF-induced plasma lines outshifted by 0.35-0.45 MHz from the pump-wave frequency and HF-enhanced ion lines simultaneously below and above the F-2-layer maximum was found for the first time. The mechanisms of the pump-wave propagation to altitudes above the F-2-layer maximum and a plausible mechanism for the excitation of the instability responsible for the generation of HF-enhanced ion lines and HF-induced plasma lines above the F-2-layer maximum are discussed.</t>
  </si>
  <si>
    <t>[Borisova, T. D.; Blagoveshchenskaya, N. F.; Kalishin, A. S.] Arctic &amp; Antarctic Res Inst, St Petersburg, Russia; [Haggstrom, M. I.] EISCAT Sci Assoc, Kiruna, Sweden; [Rietveld, M. T.] EISCAT Sci Assoc, Tromso, Norway; [Rietveld, M. T.] Univ Tromso, Tromso, Norway</t>
  </si>
  <si>
    <t>Arctic &amp; Antarctic Research Institute; UiT The Arctic University of Tromso</t>
  </si>
  <si>
    <t>Borisova, TD (corresponding author), Arctic &amp; Antarctic Res Inst, St Petersburg, Russia.</t>
  </si>
  <si>
    <t>borisova@aari.ru</t>
  </si>
  <si>
    <t>Kalishin, Alexey/0000-0001-7299-6546</t>
  </si>
  <si>
    <t>0033-8443</t>
  </si>
  <si>
    <t>1573-9120</t>
  </si>
  <si>
    <t>RADIOPHYS QUANT EL+</t>
  </si>
  <si>
    <t>Radiophys. Quantum Electron.</t>
  </si>
  <si>
    <t>10.1007/s11141-020-10025-z</t>
  </si>
  <si>
    <t>Engineering, Electrical &amp; Electronic; Physics, Applied; Physics, Fluids &amp; Plasmas</t>
  </si>
  <si>
    <t>Engineering; Physics</t>
  </si>
  <si>
    <t>NV7DK</t>
  </si>
  <si>
    <t>WOS:000571367300003</t>
  </si>
  <si>
    <t>Shabangu, FW; Charif, RA</t>
  </si>
  <si>
    <t>Shabangu, Fannie W.; Charif, Russell A.</t>
  </si>
  <si>
    <t>Short moan call reveals seasonal occurrence and diel-calling pattern of crabeater seals in the Weddell Sea, Antarctica</t>
  </si>
  <si>
    <t>BIOACOUSTICS-THE INTERNATIONAL JOURNAL OF ANIMAL SOUND AND ITS RECORDING</t>
  </si>
  <si>
    <t>Crabeater seals; seasonal occurrence; diel behaviour; short moan call; acoustic repertoire</t>
  </si>
  <si>
    <t>PACK-ICE SEALS; LOBODON-CARCINOPHAGUS; UNDERWATER VOCALIZATIONS; MARINE MAMMALS; HYDRURGA-LEPTONYX; EUPHAUSIA-SUPERBA; SOUND</t>
  </si>
  <si>
    <t>Crabeater seals (Lobodon carcinophaga) are an important component of the Southern Ocean as they are the most abundant pinniped species in this krill-based ecosystem; however, their acoustic repertoire and ecology remain to be fully described. Seasonal occurrence and diel-calling pattern of crabeater seal off the Maud Rise, eastern Weddell Sea, are described using passive acoustic monitoring data collected over 8 months (mid-January to mid-September) in 2014. We describe a new call type of crabeater seals, the short moan call (mean 90% duration: 2.2 +/- 0.3 (SD) s, peak frequency: 596.5 +/- 109.4 Hz, and frequency range: 122-1024 Hz), which was the only detected call type and 1871 calls were enumerated. Those crabeater seal calls were detected from April until mid-September (with peak in calling around September), which coincided with the appearance of sea ice. Short moan call rates were highest at night in August (i.e., 6.4 calls per minute) and September, and showed no diel variations for April through July. Distance to the sea ice edge and month of the year were the most important predictors of call occurrence and call rates of crabeater seals. This study highlights the Maud Rise as a useful habitat for this species.</t>
  </si>
  <si>
    <t>[Shabangu, Fannie W.] Dept Environm Forestry &amp; Fisheries, Fisheries Management Branch, Cape Town, South Africa; [Shabangu, Fannie W.] Univ Pretoria, Mammal Res Inst, Whale Unit, Pretoria, South Africa; [Charif, Russell A.] Cornell Univ, Ctr Conservat Bioacoust, Cornell Lab Ornithol, Ithaca, NY USA</t>
  </si>
  <si>
    <t>University of Pretoria; Cornell University</t>
  </si>
  <si>
    <t>Shabangu, FW (corresponding author), Dept Environm Forestry &amp; Fisheries, Fisheries Management Branch, Cape Town, South Africa.;Shabangu, FW (corresponding author), Univ Pretoria, Mammal Res Inst, Whale Unit, Pretoria, South Africa.</t>
  </si>
  <si>
    <t>Charif, Russell A/AAA-8506-2021</t>
  </si>
  <si>
    <t>Shabangu, Fannie W./0000-0002-3668-3566; Charif, Russell/0000-0002-2228-4740</t>
  </si>
  <si>
    <t>This work was supported by the South African National Antarctic Programme [SNA 2011112500003].</t>
  </si>
  <si>
    <t>0952-4622</t>
  </si>
  <si>
    <t>2165-0586</t>
  </si>
  <si>
    <t>BIOACOUSTICS</t>
  </si>
  <si>
    <t>Bioacoustics</t>
  </si>
  <si>
    <t>SEP 3</t>
  </si>
  <si>
    <t>10.1080/09524622.2020.1819877</t>
  </si>
  <si>
    <t>UN3TF</t>
  </si>
  <si>
    <t>WOS:000571309700001</t>
  </si>
  <si>
    <t>Pereira, PS; van de Flierdt, T; Hemming, SR; Frederichs, T; Hammond, SJ; Brachfeld, S; Doherty, C; Kuhn, G; Smith, JA; Klages, JP; Hillenbrand, CD</t>
  </si>
  <si>
    <t>Pereira, Patric Simoes; van de Flierdt, Tina; Hemming, Sidney R.; Frederichs, Thomas; Hammond, Samantha J.; Brachfeld, Stefanie; Doherty, Cathleen; Kuhn, Gerhard; Smith, James A.; Klages, Johann P.; Hillenbrand, Claus-Dieter</t>
  </si>
  <si>
    <t>The geochemical and mineralogical fingerprint of West Antarctica's weak underbelly: Pine Island and Thwaites glaciers</t>
  </si>
  <si>
    <t>CHEMICAL GEOLOGY</t>
  </si>
  <si>
    <t>West Antarctic Ice Sheet; Sediment provenance; Geochemistry; Pine Island Glacier; Thwaites Glacier</t>
  </si>
  <si>
    <t>GROUNDING-LINE RETREAT; ICE-SHEET RETREAT; MARIE-BYRD-LAND; CONTINENTAL-MARGIN SEDIMENTS; AMUNDSEN SEA EMBAYMENT; SURFACE SEDIMENTS; PACIFIC MARGIN; SOUTHERN-OCEAN; PLEISTOCENE COLLAPSE; THURSTON ISLAND</t>
  </si>
  <si>
    <t>The marine-based West Antarctic Ice Sheet (WAIS) is considered the most unstable part of the Antarctic Ice Sheet, with particular vulnerability in the Amundsen Sea sector where glaciers are melting at an alarming rate. Far-field sea-level data and ice-sheet models have pointed towards at least one major WAIS disintegration during the Late Quaternary, but direct evidence for past collapse(s) from ice-proximal geological archives remains elusive. In order to facilitate geochemical and mineralogical tracing of the two most important glaciers draining into the Amundsen Sea, i.e. Pine Island Glacier (PIG) and Thwaites Glacier (TG), we here provide the first multiproxy provenance analysis of 26 seafloor surface sediment samples from Pine Island Bay. Our data show that the fingerprints of detritus delivered by PIG and TG are clearly distinct near the ice-shelf fronts of both ice-stream systems for all grain sizes and proxies investigated. Glacial detritus delivered by PIG is characterised by low epsilon(Nd) values (similar to - 9), high Sr-87/Sr-86 ratios (similar to 0.728), low smectite content (&lt;10%), and hornblende and biotite grains with Late Permian to Jurassic (170-270 Ma) cooling ages. In contrast, glacigenic detritus delivered by TG is characterised by higher epsilon(Nd) values (similar to - 4), lower Sr-87/Sr-86 ratios (0.714), higher smectite (20%) and kaolinite content (37%), biotite and hornblende grains with 40Ar/39Ar cooling ages of &lt;40 Ma and similar to 115 Ma, and high content of mafic minerals. The geochemical and mineralogical fingerprints for PIG and TG reported here provide novel insights into subice geology and allow us to trace both drainage systems in the geological past, under environmental conditions more similar to those envisioned in the next 50 to 100 years. The marine-based West Antarctic Ice Sheet (WAIS) is considered the most unstable part of the Antarctic Ice Sheet, with particular vulnerability in the Amundsen Sea sector where glaciers are melting at an alarming rate. Far-field sea-level data and ice-sheet models have pointed towards at least one major WAIS disintegration during the Late Quaternary, but direct evidence for past collapse(s) from ice-proximal geological archives remains elusive. In order to facilitate geochemical and mineralogical tracing of the two most important glaciers draining into the Amundsen Sea, i.e. Pine Island Glacier (PIG) and Thwaites Glacier (TG), we here provide the first multiproxy provenance analysis of 26 seafloor surface sediment samples from Pine Island Bay. Our data show that the fingerprints of detritus delivered by PIG and TG are clearly distinct near the ice-shelf fronts of both ice-stream systems for all grain sizes and proxies investigated. Glacial detritus delivered by PIG is characterised by low epsilon(Nd) values (similar to - 9), high Sr-87/Sr-86 ratios (similar to 0.728), low smectite content (&lt;10%), and hornblende and biotite grains with Late Permian to Jurassic (170-270 Ma) cooling ages. In contrast, glacigenic detritus delivered by TG is characterised by higher epsilon(Nd) values (similar to - 4), lower Sr-87/Sr-86 ratios (0.714), higher smectite (20%) and kaolinite content (37%), biotite and hornblende grains with 40Ar/39Ar cooling ages of &lt;40 Ma and similar to 115 Ma, and high content of mafic minerals. The geochemical and mineralogical fingerprints for PIG and TG reported here provide novel insights into subice geology and allow us to trace both drainage systems in the geological past, under environmental conditions more similar to those envisioned in the next 50 to 100 years. The marine-based West Antarctic Ice Sheet (WAIS) is considered the most unstable part of the Antarctic Ice Sheet, with particular vulnerability in the Amundsen Sea sector where glaciers are melting at an alarming rate. Far-field sea-level data and ice-sheet models have pointed towards at least one major WAIS disintegration during the Late Quaternary, but direct evidence for past collapse(s) from ice-proximal geological archives remains elusive. In order to facilitate geochemical and mineralogical tracing of the two most important glaciers draining into the Amundsen Sea, i.e. Pine Island Glacier (PIG) and Thwaites Glacier (TG), we here provide the first multiproxy provenance analysis of 26 seafloor surface sediment samples from Pine Island Bay. Our data show that the fingerprints of detritus delivered by PIG and TG are clearly distinct near the ice-shelf fronts of both ice-stream systems for all grain sizes and proxies investigated. Glacial detritus delivered by PIG is characterised by low epsilon(Nd) values (similar to - 9), high Sr-87/Sr-86 ratios (similar to 0.728), low smectite content (&lt;10%), and hornblende and biotite grains with Late Permian to Jurassic (170-270 Ma) cooling ages. In contrast, glacigenic detritus delivered by TG is characterised by higher epsilon(Nd) values (similar to - 4), lower Sr-87/Sr-86 ratios (0.714), higher smectite (20%) and kaolinite content (37%), biotite and hornblende grains with 40Ar/39Ar cooling ages of &lt;40 Ma and similar to 115 Ma, and high content of mafic minerals. The geochemical and mineralogical fingerprints for PIG and TG reported here provide novel insights into subice geology and allow us to trace both drainage systems in the geological past, under environmental conditions more similar to those envisioned in the next 50 to 100 years.</t>
  </si>
  <si>
    <t>[Pereira, Patric Simoes] Imperial Coll London, Grantham Inst Climate Change &amp; Environm, South Kensington Campus, London SW7 2AZ, England; [Pereira, Patric Simoes; van de Flierdt, Tina] Imperial Coll London, Dept Earth Sci &amp; Engn, South Kensington Campus, London SW7 2AZ, England; [Hemming, Sidney R.] Columbia Univ, Dept Earth &amp; Environm Sci, Palisades, NY 10964 USA; [Hemming, Sidney R.] Columbia Univ, Lamont Doherty Earth Observ, Palisades, NY 10964 USA; [Frederichs, Thomas] Univ Bremen, Fac Geosci, D-28359 Bremen, Germany; [Hammond, Samantha J.] Open Univ, Dept Environm Earth &amp; Ecosyst, Walton Hall, Milton Keynes MK7 6AA, Bucks, England; [Brachfeld, Stefanie] Montclair State Univ, Dept Earth &amp; Environm Studies, Montclair, NJ 07043 USA; [Doherty, Cathleen] Rutgers State Univ, Environm &amp; Occupat Hlth Sci Inst, Piscataway, NJ 08854 USA; [Kuhn, Gerhard; Klages, Johann P.] Helmholtz Zentrum Polar &amp; Meeresforsch, Alfred Wegener Inst, Marine Geosci, D-27568 Bremerhaven, Germany; [Smith, James A.; Hillenbrand, Claus-Dieter] British Antarctic Survey, Madingley Rd, Cambridge CB3 0ET, England</t>
  </si>
  <si>
    <t>Imperial College London; Imperial College London; Columbia University; Columbia University; University of Bremen; Open University - UK; Montclair State University; Rutgers University System; Rutgers University New Brunswick; Helmholtz Association; Alfred Wegener Institute, Helmholtz Centre for Polar &amp; Marine Research; UK Research &amp; Innovation (UKRI); Natural Environment Research Council (NERC); NERC British Antarctic Survey</t>
  </si>
  <si>
    <t>Pereira, PS (corresponding author), Univ Gothenburg, Dept Marine Sci, S-41319 Gothenburg, Sweden.</t>
  </si>
  <si>
    <t>patric.simoes.pereira@gu.se</t>
  </si>
  <si>
    <t>Brachfeld, Stefanie/0000-0003-4612-2866; van de Flierdt, Tina/0000-0001-7176-9755; Kuhn, Gerhard/0000-0001-6069-7485</t>
  </si>
  <si>
    <t>Kristian Gerhard Jebsen Foundation; U.S. National Science Foundation [0348274]; U.K. Natural Environment Research Council (NERC) [NE/M013081/1]; NERC UK IODP; NERC [bas0100030, NE/R018219/1, NE/M013081/1] Funding Source: UKRI</t>
  </si>
  <si>
    <t>Kristian Gerhard Jebsen Foundation; U.S. National Science Foundation(National Science Foundation (NSF)); U.K. Natural Environment Research Council (NERC)(UK Research &amp; Innovation (UKRI)Natural Environment Research Council (NERC)); NERC UK IODP; NERC(UK Research &amp; Innovation (UKRI)Natural Environment Research Council (NERC))</t>
  </si>
  <si>
    <t>P.S.P. thanks the Kristian Gerhard Jebsen Foundation for a PhD scholarship, Katharina Kreissig and Barry Coles for technical assistance in the lab and Pieter Vermeesch for constructive discussion on the statistical methodology. Werner Ehrmann and the Institute of Geophysics and Geology, University of Leipzig, is warmly thanked for their help and support with the clay mineral analyses. U.S. National Science Foundation grant 0348274 is acknowledged by S. Brachfeld and C. Doherty, and U.K. Natural Environment Research Council (NERC) Grant NE/M013081/1 is acknowledged by J.A. Smith and C.-D. Hillenbrand. NERC UK IODP is acknowledged for providing funding to P.S.P. and T.v.d.F. to participate in the PS104 expedition to the Amundsen Sea. We also thank the shipboard scientific parties, captains, officers and crews of the various expeditions and are grateful to the three anonymous reviewers, whose thoughtful comments improved this paper.</t>
  </si>
  <si>
    <t>0009-2541</t>
  </si>
  <si>
    <t>1872-6836</t>
  </si>
  <si>
    <t>CHEM GEOL</t>
  </si>
  <si>
    <t>Chem. Geol.</t>
  </si>
  <si>
    <t>SEP 20</t>
  </si>
  <si>
    <t>10.1016/j.chemgeo.2020.119649</t>
  </si>
  <si>
    <t>NE6FS</t>
  </si>
  <si>
    <t>WOS:000562695700004</t>
  </si>
  <si>
    <t>Whiterod, NS; Hammer, MP; Barnes, TC; Tucker, M; Adams, M; Raadik, TA</t>
  </si>
  <si>
    <t>Whiterod, Nick S.; Hammer, Michael P.; Barnes, Thomas C.; Tucker, Mel; Adams, Mark; Raadik, Tarmo A.</t>
  </si>
  <si>
    <t>Clear as mud: the ecology and conservation of a secretive wetland fish (Neochanna cleaveri:Galaxiidae) in a heavily altered landscape</t>
  </si>
  <si>
    <t>WETLANDS ECOLOGY AND MANAGEMENT</t>
  </si>
  <si>
    <t>Wetlands; Conservation; Freshwater fish; Rediscovery; Disjunct populations; Galaxiidae</t>
  </si>
  <si>
    <t>FRESH-WATER FISH; OTOLITH CHEMISTRY; PARTIAL MIGRATION; GALAXIID FISHES; LIFE-HISTORY; BIODIVERSITY; AUSTRALIA; BIOGEOGRAPHY; POPULATION; THREATS</t>
  </si>
  <si>
    <t>The rediscovery of presumed extirpated populations provides a second chance opportunity for species and habitat conservation. This study details the redetection of a westerly outlying population of a secretive wetland fish, the Australian MudfishNeochanna cleaveri, as a positive note in the face of major environmental change. It also documents the basic ecology of the population to inform natural resource management and better understand the needs of similar habitat specialists. Nuclear genetic markers (allozymes) revealed the rediscovered population to be closely related to those in other parts of the range. Targeted sampling in the south east of South Australia indicated a robust population, occupying vegetated ephemeral wetlands and drains across two fragmented and contrasting systems. Movement sampling failed to detect migrating juveniles, which was supported by otolith trace elemental chemistry, that implied a wholly freshwater or at least non-marine lifecycle. Together these data indicate specific conservation management is warranted for a regionally disjunct and independent population and emphasises the importance of both remnant ephemeral wetlands and some artificial habitats for maintaining freshwater biodiversity across heavily altered landscapes.</t>
  </si>
  <si>
    <t>[Whiterod, Nick S.; Hammer, Michael P.; Barnes, Thomas C.; Tucker, Mel] Aquasave Nat Glenelg Trust, Hindmarsh Valley, SA 5211, Australia; [Hammer, Michael P.] Museum &amp; Art Gallery Northern Terr, GPO Box 4646, Darwin, NT 0801, Australia; [Barnes, Thomas C.] Univ Tasmania, Inst Marine &amp; Antarctic Studies, Hobart, Tas 7001, Australia; [Barnes, Thomas C.] Univ Adelaide, Sch Biol Sci, Southern Seas Ecol Labs, Adelaide, SA 5005, Australia; [Barnes, Thomas C.] Port Stephens Fisheries Inst, New South Wales Dept Primary Ind, Locked Bag 1, Nelson Bay, NSW 2315, Australia; [Tucker, Mel] Wetland Res &amp; Management, Burswood, WA 6100, Australia; [Adams, Mark] South Australian Museum, Evolutionary Biol Unit, North Terrace, Adelaide, SA 5000, Australia; [Adams, Mark] Univ Adelaide, Sch Biol Sci, Adelaide, SA 5005, Australia; [Raadik, Tarmo A.] Arthur Rylah Inst Environm Res, Appl Aquat Ecol Sect, Dept Environm Land Water &amp; Planning, 123 Brown St, 3084 Heidelberg, VIC, Australia</t>
  </si>
  <si>
    <t>University of Tasmania; University of Adelaide; NSW Department of Primary Industries; South Australian Museum; University of Adelaide; Arthur Rylah Institute for Environmental Research (ARI)</t>
  </si>
  <si>
    <t>Whiterod, NS (corresponding author), Aquasave Nat Glenelg Trust, Hindmarsh Valley, SA 5211, Australia.</t>
  </si>
  <si>
    <t>nick.whiterod@aquasave.com.au</t>
  </si>
  <si>
    <t>Whiterod, Nick/0000-0002-7356-9834; Hammer, Michael/0000-0002-0981-4647</t>
  </si>
  <si>
    <t>SA Department for Environment and Water (DEW)</t>
  </si>
  <si>
    <t>The present study arose predominately from two research projects funded by the South Australian (SA) Department for Water (now subsumed into the SA Department for Environment and Water (DEW)). Other aspects were conducted, along with the decision to submit this manuscript for publication, by the authors independently of funding agencies.</t>
  </si>
  <si>
    <t>0923-4861</t>
  </si>
  <si>
    <t>1572-9834</t>
  </si>
  <si>
    <t>WETL ECOL MANAG</t>
  </si>
  <si>
    <t>Wetl. Ecol. Manag.</t>
  </si>
  <si>
    <t>10.1007/s11273-020-09748-7</t>
  </si>
  <si>
    <t>Environmental Sciences; Water Resources</t>
  </si>
  <si>
    <t>Environmental Sciences &amp; Ecology; Water Resources</t>
  </si>
  <si>
    <t>NV3ZT</t>
  </si>
  <si>
    <t>WOS:000571032100002</t>
  </si>
  <si>
    <t>Tixier, P; Lea, MA; Hindell, MA; Welsford, D; Mazé, C; Gourguet, S; Arnould, JPY</t>
  </si>
  <si>
    <t>Tixier, Paul; Lea, Mary-Anne; Hindell, Mark A.; Welsford, Dirk; Maze, Camille; Gourguet, Sophie; Arnould, John P. Y.</t>
  </si>
  <si>
    <t>When large marine predators feed on fisheries catches: Global patterns of the depredation conflict and directions for coexistence</t>
  </si>
  <si>
    <t>fisheries interactions; human-wildlife conflicts; marine mammals; mitigation; sharks; socio-ecosystem sustainability</t>
  </si>
  <si>
    <t>BOTTLE-NOSED DOLPHINS; AMERICAN SEA LIONS; HUMAN-WILDLIFE CONFLICT; SMALL-SCALE FISHERIES; WHALE ORCINUS-ORCA; TOOTHFISH DISSOSTICHUS-ELEGINOIDES; MACKEREL TRACHURUS-SYMMETRICUS; PELAGIC LONGLINE FISHERY; OTARIA-FLAVESCENS; TURSIOPS-TRUNCATUS</t>
  </si>
  <si>
    <t>The sustainable mitigation of human-wildlife conflicts has become a major societal and environmental challenge globally. Among these conflicts, large marine predators feeding on fisheries catches, a behaviour termed depredation, has emerged concomitantly with the expansion of the world's fisheries. Depredation poses threats to both the socio-economic viability of fisheries and species conservation, stressing the need for mitigation. This review synthesizes the extent and socio-ecological impacts of depredation by sharks and marine mammals across the world, and the various approaches used to minimize it. Depredation was reported in 214 fisheries between 1979 and 2019 (70% post-2000) and affected fleets from 44 countries, in all sectors (commercial, artisanal and recreational), and in all major fishing techniques (nets, traps and hook-and-lines). A total of 68 predator species were involved in depredation (20 odontocetes, 21 pinnipeds and 27 sharks), and most (73%) were subject to either by-catch and/or retaliatory killing from fishers when interacting with gear. Impacts on fishers were primarily associated with catch losses and gear damage but often lacked assessments. Deterrence was a major mitigation approach but also the least effective. Gear modifications or behavioural adaptation by fishers were more promising. This review highlights the need for improved monitoring, and interdisciplinary and integrated research to quantify the determinants and impacts of depredation in the socio-ecological dimension. More importantly, as the conflict is likely to escalate, efforts directed towards changing perceptions and integrating knowledge through adaptive co-management are raised as key directions towards coexistence between fisheries and large marine predators.</t>
  </si>
  <si>
    <t>[Tixier, Paul; Arnould, John P. Y.] Deakin Univ, Sch Life &amp; Environm Sci, Burwood Campus, Geelong, Vic, Australia; [Tixier, Paul] La Rochelle Univ, Ctr Etud Biol Chize CEBC, CNRS, UMR 7372, Villiers En Bois, France; [Lea, Mary-Anne; Hindell, Mark A.] Univ Tasmania, Inst Marine &amp; Antarctic Studies, Ecol &amp; Biodivers Ctr, Hobart, Tas, Australia; [Welsford, Dirk] Australian Antarctic Div, Dept Environm, Kingston, Tas, Australia; [Maze, Camille] CNRS, LIttoral Environm &amp; Soc LIENSs, UMR 7266, La Rochelle, France; [Gourguet, Sophie] Univ Brest, CNRS, IFREMER, AMURE,Unite Econ Maritime IUEM,UMR 6308, Plouzane, France</t>
  </si>
  <si>
    <t>Deakin University; Centre National de la Recherche Scientifique (CNRS); CNRS - Institute of Ecology &amp; Environment (INEE); University of Tasmania; Australian Antarctic Division; Centre National de la Recherche Scientifique (CNRS); CNRS - Institute of Ecology &amp; Environment (INEE); Centre National de la Recherche Scientifique (CNRS); CNRS - Institute of Ecology &amp; Environment (INEE); Universite de Bretagne Occidentale; Ifremer</t>
  </si>
  <si>
    <t>Tixier, P (corresponding author), Deakin Univ, Sch Life &amp; Environm Sci, Burwood Campus, Geelong, Vic, Australia.</t>
  </si>
  <si>
    <t>p.tixier@deakin.edu.au</t>
  </si>
  <si>
    <t>Tixier, Paul/AFU-7272-2022; Hindell, Mark A/K-1131-2013; Lea, Mary-Anne/E-9054-2013</t>
  </si>
  <si>
    <t>Tixier, Paul/0000-0002-7325-3573; Lea, Mary-Anne/0000-0001-8318-9299; Gourguet, Sophie/0000-0002-1565-4053</t>
  </si>
  <si>
    <t>Australian Research Council [LP160100329]; French National Research Agency; ORCADEPRED research project [ANR-17-CE32-0007]; Agence Nationale de la Recherche (ANR) [ANR-17-CE32-0007] Funding Source: Agence Nationale de la Recherche (ANR); Australian Research Council [LP160100329] Funding Source: Australian Research Council</t>
  </si>
  <si>
    <t>Australian Research Council(Australian Research Council); French National Research Agency(Agence Nationale de la Recherche (ANR)); ORCADEPRED research project; Agence Nationale de la Recherche (ANR)(Agence Nationale de la Recherche (ANR)); Australian Research Council(Australian Research Council)</t>
  </si>
  <si>
    <t>Australian Research Council, Grant/Award Number: LP160100329; French National Research Agency; ORCADEPRED research project, Grant/Award Number: ANR-17-CE32-0007</t>
  </si>
  <si>
    <t>10.1111/faf.12504</t>
  </si>
  <si>
    <t>WOS:000570766900001</t>
  </si>
  <si>
    <t>Branch, TA; Monnahan, CC</t>
  </si>
  <si>
    <t>Branch, Trevor A.; Monnahan, Cole C.</t>
  </si>
  <si>
    <t>Sex ratios in blue whales from conception onward: effects of space, time, and body size</t>
  </si>
  <si>
    <t>Antarctic blue whale; Balaenoptera musculus; Northern Hemisphere; pygmy blue whale; sex ratios; Southern Hemisphere</t>
  </si>
  <si>
    <t>FIN WHALES; MATURITY; GROWTH; LENGTH</t>
  </si>
  <si>
    <t>Deviations from equal sex ratios in mammals can reveal insights into sex-specific growth, survival, movements, and behavior. We assessed blue whale (Balaenoptera musculus) sex ratios based on 21,542 fetal and 311,901 whaling records, finding that males were slightly but significantly more common than females (51.3% fetal, 52.1% postnatal). Antarctic catches shifted from 52.4% male before 1951 to 48.0% male thereafter, even though larger females were preferentially targeted by whalers and should have declined. The southernmost land stations caught more males than those in southern Africa, and at land stations, sex ratios shifted subtly over the course of a year. Pelagic catches demonstrated spatial structure in sex ratios, including more males being caught in the Ross Sea. In utero, the smallest females were often misidentified as males, and there was some evidence for higher prenatal male mortality. Once born, medium-sized blue whales within each region were more often male, while the longest were nearly all female; explained entirely by females growing faster and reaching longer sizes. Overall, though, sex ratios are remarkably close to equality across time, space, and length; with any deviations best explained by faster female growth and size-selective whaling.</t>
  </si>
  <si>
    <t>[Branch, Trevor A.; Monnahan, Cole C.] Univ Washington, Sch Aquat &amp; Fishery Sci, Box 355020, Seattle, WA 98195 USA; [Monnahan, Cole C.] NOAA, Resource Ecol &amp; Fisheries Management, Alaska Fisheries Sci Ctr, Seattle, WA USA</t>
  </si>
  <si>
    <t>University of Washington; University of Washington Seattle; National Oceanic Atmospheric Admin (NOAA) - USA</t>
  </si>
  <si>
    <t>Branch, TA (corresponding author), Univ Washington, Sch Aquat &amp; Fishery Sci, Box 355020, Seattle, WA 98195 USA.</t>
  </si>
  <si>
    <t>tbranch@uw.edu</t>
  </si>
  <si>
    <t>Branch, Trevor/0000-0003-4308-8930; Monnahan, Cole/0000-0003-0871-6700</t>
  </si>
  <si>
    <t>Southern Ocean Research Programme (SORP); Richard C. and Lois M. Worthington Endowed Professor in Fisheries Management</t>
  </si>
  <si>
    <t>We thank Cherry Allison of the International Whaling Commission for curating and making available to us the database of individual whale catches, and for tracking down several key references. This project was funded by the Southern Ocean Research Programme (SORP), with additional funding for T.A.B. from the Richard C. and Lois M. Worthington Endowed Professor in Fisheries Management. The authors have no conflict of interest to declare.</t>
  </si>
  <si>
    <t>10.1111/mms.12741</t>
  </si>
  <si>
    <t>PR6QK</t>
  </si>
  <si>
    <t>WOS:000570737300001</t>
  </si>
  <si>
    <t>Zawierucha, K; Porazinska, DL; Ficetola, GF; Ambrosini, R; Baccolo, G; Buda, J; Ceballos, JL; Devetter, M; Dial, R; Franzetti, A; Fuglewicz, U; Gielly, L; Lokas, E; Janko, K; Jaromerska, TN; Koscinski, A; Kozlowska, A; Ono, M; Parnikoza, I; Pittino, F; Poniecka, E; Sommers, P; Schmidt, SK; Shain, D; Sikorska, S; Uetake, J; Takeuchi, N</t>
  </si>
  <si>
    <t>Zawierucha, K.; Porazinska, D. L.; Ficetola, G. F.; Ambrosini, R.; Baccolo, G.; Buda, J.; Ceballos, J. L.; Devetter, M.; Dial, R.; Franzetti, A.; Fuglewicz, U.; Gielly, L.; Lokas, E.; Janko, K.; Novotna Jaromerska, T.; Koscinski, A.; Kozlowska, A.; Ono, M.; Parnikoza, I.; Pittino, F.; Poniecka, E.; Sommers, P.; Schmidt, S. K.; Shain, D.; Sikorska, S.; Uetake, J.; Takeuchi, N.</t>
  </si>
  <si>
    <t>A hole in the nematosphere: tardigrades and rotifers dominate the cryoconite hole environment, whereas nematodes are missing</t>
  </si>
  <si>
    <t>JOURNAL OF ZOOLOGY</t>
  </si>
  <si>
    <t>ecological selection; extremophiles; distribution; glaciers; Nematoda; psychrophiles; Rotifera; Tardigrada</t>
  </si>
  <si>
    <t>FREE-LIVING NEMATODES; MCMURDO DRY VALLEYS; GLACIER ICE WORM; GLOBAL DIVERSITY; COLD TOLERANCE; TAYLOR VALLEY; BLACK CARBON; FOOD-WEB; BIOGEOGRAPHY; COMMUNITIES</t>
  </si>
  <si>
    <t>The worldwide distribution of microinvertebrates on glaciers, the coldest biome, is poorly known. Owing to their tolerance to hostile conditions, small size and dispersal abilities, nematodes, tardigrades and rotifers are considered cosmopolitan and together inhabit various ecosystems. In this study, we investigated their global distribution in cryoconite holes - a type of freshwater reservoir forming directly in the glacial ice that creates biodiversity hotspots on glaciers. We analysed cryoconite samples (using classical microscopic observations and environmental DNA metabarcoding) from 42 glaciers located around the world (the Arctic, Subarctic, Scandinavia, the Alps, the Caucasus, Siberia, Central Asia, Africa, South America and Antarctica), as well as using literature data. Samples from Antarctic, Karakoram and the Alps were analysed using next-generation sequencing (NGS) and classical observations under microscopes, while all other samples were analysed by microscope alone. Three general outcomes were found: (1) tardigrades and rotifers represented the most common invertebrates in cryoconite holes; (2) tardigrades and rotifers often coexisted together, with one or the other dominating, but the dominant taxon varied by region or by glacier; (3) nematodes - the most abundant, hyperdiverse and widespread metazoans on Earth, including in environments surrounding and seeding glacial surfaces - were consistently absent from cryoconite holes. Despite the general similarity of environmental conditions in cryoconite holes, the distribution of tardigrades and rotifers differed among glaciers, but not in any predictable way, suggesting that their distribution mostly depended on the random dispersal, extreme changes of supraglacial zone or competition. Although nematodes have been found in supraglacial habitats, cryoconite hole environments seem not to provide the necessary conditions for their growth and reproduction. Lack of physiological adaptations to permanently low temperatures (similar to 0 degrees C) and competition for different food resources in the cryoconite hole environment may explain the absence of nematodes in cryoconite holes.</t>
  </si>
  <si>
    <t>[Zawierucha, K.; Buda, J.; Kozlowska, A.; Sikorska, S.] Adam Mickiewicz Univ, Dept Anim Taxon &amp; Ecol, Uniwersytetu Poznanskiego 6, PL-61614 Poznan, Poland; [Porazinska, D. L.] Univ Florida, Dept Entomol &amp; Nematol, Gainesville, FL 32611 USA; [Ficetola, G. F.; Ambrosini, R.] Univ Milan, Dept Environm Sci &amp; Policy, Milan, Italy; [Ficetola, G. F.; Gielly, L.] Univ Savoie Mt Blanc, Univ Grenoble Alpes, CNRS, Lab Ecol Alpine,LECA, Grenoble, France; [Baccolo, G.; Franzetti, A.; Pittino, F.] Univ Milano Bicocca, Earth &amp; Environm Sci Dept, Milan, Italy; [Ceballos, J. L.] IDEAM, Inst Hydrol Meteorol &amp; Environm Studies, Bogota, Colombia; [Devetter, M.] Biol Ctr CAS, Inst Soil Biol, Ceske Budejovice, Czech Republic; [Devetter, M.] Univ South Bohemia, Ctr Polar Ecol, Fac Sci, Ceske Budejovice, Czech Republic; [Dial, R.] Alaska Pacific Univ, Inst Culture &amp; Environm, Anchorage, AK USA; [Lokas, E.] Polish Acad Sci, Dept Mass Spect, Inst Nucl Phys, Krakow, Poland; [Janko, K.] Acad Sci Czech Republ, Lab Fish Genet, Inst Anim Physiol &amp; Genet, Libechov, Czech Republic; [Janko, K.] Univ Ostrava, Dept Biol &amp; Ecol, Fac Sci, Ostrava, Czech Republic; [Novotna Jaromerska, T.] Charles Univ Prague, Dept Ecol, Fac Sci, Prague, Czech Republic; [Ono, M.] Chiba Univ, Grad Sch Sci &amp; Engn, Chiba, Japan; [Parnikoza, I.] Minist Educ &amp; Sci Ukraine, State Inst Natl Antarct Ctr, Kiev, Ukraine; [Parnikoza, I.] Natl Acad Sci Ukraine, Inst Mol Biol &amp; Genet, Kiev, Ukraine; [Poniecka, E.] Cardiff Univ, Sch Earth &amp; Ocean Sci, Cardiff, Wales; [Sommers, P.; Schmidt, S. K.] Univ Colorado, Ecol &amp; Evolutionary Biol Dept, Boulder, CO 80309 USA; [Shain, D.] Rutgers State Univ, Dept Biol, Camden, NJ USA; [Uetake, J.] Natl Inst Polar Res, Arctic Environm Res Ctr, Tachikawa, Tokyo, Japan; [Takeuchi, N.] Chiba Univ, Dept Earth Sci, Grad Sch Sci, Chiba, Japan</t>
  </si>
  <si>
    <t>Adam Mickiewicz University; State University System of Florida; University of Florida; University of Milan; Communaute Universite Grenoble Alpes; Universite Grenoble Alpes (UGA); Centre National de la Recherche Scientifique (CNRS); Universite Savoie Mont Blanc; University of Milano-Bicocca; Czech Academy of Sciences; Biology Centre of the Czech Academy of Sciences; University of South Bohemia Ceske Budejovice; Polish Academy of Sciences; Institute of Nuclear Physics - Polish Academy of Sciences; Czech Academy of Sciences; Institute of Animal Physiology &amp; Genetics of the Czech Academy of Sciences; University of Ostrava; Charles University Prague; Chiba University; Ministry of Education &amp; Science of Ukraine; State Institution National Antarctic Scientific Center; National Academy of Sciences Ukraine; Institute of Molecular Biology &amp; Genetics of NASU; Cardiff University; University of Colorado System; University of Colorado Boulder; Rutgers University System; Rutgers University Camden; Rutgers University New Brunswick; Research Organization of Information &amp; Systems (ROIS); National Institute of Polar Research (NIPR) - Japan; Chiba University</t>
  </si>
  <si>
    <t>Łokas, Edyta/AAM-4119-2021; Ficetola, Gentile Francesco/A-2813-2008; NovotnaJaromerska, Tereza/KFR-5522-2024; Gielly, Ludovic/ADQ-6036-2022; Schmidt, Steven K/G-2771-2010; Buda, Jakub/ABE-5873-2021; Devetter, Miloslav/AAE-1676-2021; Devetter, Miloslav/G-1087-2014; Zawierucha, Krzysztof/HDN-5985-2022; Parnikoza, Ivan/I-2398-2016; Zawierucha, Krzysztof/HTP-6506-2023; Takeuchi, Nozomu/Q-7869-2016; Baccolo, Giovanni/J-9543-2019</t>
  </si>
  <si>
    <t>Łokas, Edyta/0000-0001-9996-6523; Ficetola, Gentile Francesco/0000-0003-3414-5155; NovotnaJaromerska, Tereza/0000-0002-8676-7792; Devetter, Miloslav/0000-0003-1767-4266; Zawierucha, Krzysztof/0000-0002-0754-1411; Takeuchi, Nozomu/0000-0002-3267-5534; Baccolo, Giovanni/0000-0002-1246-8968; Buda, Jakub/0000-0002-4584-5897; Ono, Masato/0000-0001-6706-2167; Poniecka, Ewa/0000-0002-0772-8630; Sommers, Pacifica/0000-0002-7797-7341</t>
  </si>
  <si>
    <t>National Science Centre [NCN 2013/11/N/NZ8/00597]; European Research Council under the European Community's Horizon 2020 Programme [772284]; JSPS KAKENHI [19H01143, 20K21840]; Arctic Challenge for Sustainability II (ArCS II) [JPMXD1420318865]; National Science Foundation [1443578]; Centre for Polar Studies (the Leading National Research Centre in Earth Sciences for 2014-2018) [03/KNOW2/2014]; INTERACT Transnational Access; Grants-in-Aid for Scientific Research [20K21840] Funding Source: KAKEN</t>
  </si>
  <si>
    <t>National Science Centre(National Science Centre, Poland); European Research Council under the European Community's Horizon 2020 Programme(European Research Council (ERC)); JSPS KAKENHI(Ministry of Education, Culture, Sports, Science and Technology, Japan (MEXT)Japan Society for the Promotion of ScienceGrants-in-Aid for Scientific Research (KAKENHI)); Arctic Challenge for Sustainability II (ArCS II); National Science Foundation(National Science Foundation (NSF)); Centre for Polar Studies (the Leading National Research Centre in Earth Sciences for 2014-2018); INTERACT Transnational Access; Grants-in-Aid for Scientific Research(Ministry of Education, Culture, Sports, Science and Technology, Japan (MEXT)Japan Society for the Promotion of ScienceGrants-in-Aid for Scientific Research (KAKENHI))</t>
  </si>
  <si>
    <t>The authors would like to thank two anonymous reviewers for their valuable comments and corrections. Studies on Arctic glaciers were supported by the National Science Centre under Grant No. NCN 2013/11/N/NZ8/00597 awarded to K.Z. Samples from the Blaisen and Midtdalsbreen glaciers were collected within the Grant [ETANGO] awarded by INTERACT Transnational Access to K.Z. GFF was funded by the European Research Council under the European Community's Horizon 2020 Programme, Grant Agreement no. 772284 (IceCommunities). NT was supported by the funds from JSPS KAKENHI (19H01143 and 20K21840), and from the Arctic Challenge for Sustainability II (ArCS II), Program Grant Number JPMXD1420318865. Work on glaciers from the McMurdo Dry Valleys of Antarctica was supported by the National Science Foundation Award #1443578 to S.K.S. Fieldwork on Marr Ice Piedmont was realized according to kindly assistance of National scientific foundation (USA) and Palmer station crew. All of the samples were properly collected under the permission of local organizations or governments. The samples from the Ecology Glacier used in the paper were collected and transported based on the logistic support of Henryk Arctowski Polish Antarctic Station. The sampling on Ecology Glacier were initiated by the seminar, 'The role of cryoconite in the functioning of glacial systems' supported by the Centre for Polar Studies (the Leading National Research Centre in Earth Sciences for 2014-2018 No. 03/KNOW2/2014). K.Z. is grateful to Ela Wiejaczka for her support in gaining permission and access to samples from Africa, Joseph Cook for collection of samples in the dark zone of Greenland Ice Sheet, E.L. thanks Lukasz Pawlowski for collection of samples from Werenskiold Glacier, and T.J. thanks Matej Pokorny (Department of Ecology, Charles University) for collection of samples from Blancmange Glacier. Swedish samples were kindly provided to E.P. by Alexandre Anesio.</t>
  </si>
  <si>
    <t>0952-8369</t>
  </si>
  <si>
    <t>1469-7998</t>
  </si>
  <si>
    <t>J ZOOL</t>
  </si>
  <si>
    <t>J. Zool.</t>
  </si>
  <si>
    <t>10.1111/jzo.12832</t>
  </si>
  <si>
    <t>PQ9RA</t>
  </si>
  <si>
    <t>WOS:000570880300001</t>
  </si>
  <si>
    <t>Perez, JAA; Gavazzoni, L; de Souza, LHP; Sumida, PYC; Kitazato, H</t>
  </si>
  <si>
    <t>Perez, Jose Angel A.; Gavazzoni, Lucas; de Souza, Luis Henrique P.; Comes Sumida, Paulo Y.; Kitazato, Hiroshi</t>
  </si>
  <si>
    <t>Deep-Sea Habitats and Megafauna on the Slopes of the Sao Paulo Ridge, SW Atlantic</t>
  </si>
  <si>
    <t>Sao Paulo Ridge; Southwest Atlantic; depth gradients; NADW; AABW</t>
  </si>
  <si>
    <t>SOUTH-ATLANTIC; BOTTOM WATER; FLOOR; BIODIVERSITY; HYDROGRAPHY; ASSEMBLAGES; SUITABILITY; DISSOLUTION; CIRCULATION; MARGIN</t>
  </si>
  <si>
    <t>The Sao Paulo Ridge (SPR) is a 350 km-long linear geological feature located in the Continental Margin off Brazil (Latitude 28-29 degrees S, Longitude 40-45 degrees W). In 2013, the region was mapped during the SW Atlantic lata-Piuna expedition and explored by a series of deep-sea dives of the manned submersible Shinkai 6500. A digital bathymetric model analyzed for seafloor morphology, delimited four major bathymetric sectors namely plateau, ridge crest, ridge escarpment and ridge foot. These sectors further enclosed 12 morphological features at smaller spatial scales (structural classes) including plains, valleys, peaks, terraces, and troughs. Video profiles across the depth gradient (4,219-2,644 m depths) revealed that the slopes of the SPR southern flank were gentle and terraced, mostly covered by biogenic sediments and interrupted by rocky cliffs/crests, dispersed outcrops and loose particles. The North Atlantic Deep Water (NADW) and Antarctic Bottom Water (AABW) overlaid at the escarpment along which they established colder (0.4-1.0 degrees C; 4,200-3,400 m) and warmer (2.0-3.0 degrees C; 3,400-2,600 m) habitats, respectively. Physical components were used to define seven seascape units in the ridge foot (2), escarpment (3), and plateau-ridge crest (2), where a total of 914 organisms of the epibenthic and benthopelagic megafauna were recorded. Over 70% of these records were sessile suspension feeders, including sponges (61.5%) and anthozoans (11.4%). Most taxonomic groups concentrated above 3,800 m, under the influence of NADW, where densities reached maximum values (mean 0.26 organisms.m(-2); 0.024-0.027 organisms.m(2) 95% CI). Also, nearly half of megafauna records concentrated in patches delimited by the 3,800-3,300 m and 2,900-2,700 m isobaths. The deepest patch (3800-3300 m) coincided with the interface zone between AABW and NADW, where mixing processes create a density gradient. Evidences suggested that topography-related deep-water flow dynamics, and not substrate availability, drives benthic megafauna distribution at meso-habitat scale.</t>
  </si>
  <si>
    <t>[Perez, Jose Angel A.; Gavazzoni, Lucas; de Souza, Luis Henrique P.] Univ Vale Itajai UNIVALI, Escola Mar Ciencia &amp; Tecnol EMCT, Lab Estudos Marinhos Aplicados LEMA, Itajai, SC, Brazil; [Comes Sumida, Paulo Y.] Univ Estado Para, Inst Oceanog, Sao Paulo, Brazil; [Kitazato, Hiroshi] Tokyo Univ Marine Sci &amp; Technol, Sch Marine Resources &amp; Environm, Tokyo, Japan</t>
  </si>
  <si>
    <t>Universidade do Vale do Itajai; Universidade do Estado do Para (UEPA); Tokyo University of Marine Science &amp; Technology</t>
  </si>
  <si>
    <t>Perez, JAA (corresponding author), Univ Vale Itajai UNIVALI, Escola Mar Ciencia &amp; Tecnol EMCT, Lab Estudos Marinhos Aplicados LEMA, Itajai, SC, Brazil.</t>
  </si>
  <si>
    <t>angel.perez@univali.br</t>
  </si>
  <si>
    <t>Sumida, Paulo Y G/F-2561-2011</t>
  </si>
  <si>
    <t>Sumida, Paulo Y G/0000-0001-7549-4541; Alvarez Perez, Jose Angel/0000-0001-6431-5237; Gavazzoni, Lucas/0000-0002-5298-9856</t>
  </si>
  <si>
    <t>CAPES (Program CAPES - JSPS, Ministry of Education, Brazil) [AUXPE-JSPS-0059-2013]; CPNq productivity fellowship [307992/2019-5]</t>
  </si>
  <si>
    <t>CAPES (Program CAPES - JSPS, Ministry of Education, Brazil)(Coordenacao de Aperfeicoamento de Pessoal de Nivel Superior (CAPES)); CPNq productivity fellowship</t>
  </si>
  <si>
    <t>Funding of Brazilian scientists in the Iata-Piuna cruise was provided by a grant from CAPES (Program CAPES - JSPS, AUXPE-JSPS-0059-2013, Ministry of Education, Brazil). The senior author was supported by a CPNq productivity fellowship (Process 307992/2019-5). This study was within the umbrella of the National Institute of Science and Technology - Integrated Oceanography Centre (INCT - Mar COI, CNPq).</t>
  </si>
  <si>
    <t>SEP 18</t>
  </si>
  <si>
    <t>10.3389/fmars.2020.572166</t>
  </si>
  <si>
    <t>NU8KK</t>
  </si>
  <si>
    <t>WOS:000573886700001</t>
  </si>
  <si>
    <t>Reschke, M; Kröner, I; Laepple, T</t>
  </si>
  <si>
    <t>Reschke, Maria; Kroener, Igor; Laepple, Thomas</t>
  </si>
  <si>
    <t>Testing the consistency of Holocene and Last Glacial Maximum spatial correlations in temperature proxy records</t>
  </si>
  <si>
    <t>JOURNAL OF QUATERNARY SCIENCE</t>
  </si>
  <si>
    <t>Holocene; LGM; spatial correlation; temperature; Uk'37</t>
  </si>
  <si>
    <t>ANTARCTIC FIRN; MODEL; RECONSTRUCTIONS; DEGRADATION; VARIABILITY; ALKENONES</t>
  </si>
  <si>
    <t>Holocene temperature proxy records are commonly used in quantitative synthesis and model-data comparisons. However, comparing correlations between time series from records collected in proximity to one another with the expected correlations based on climate model simulations indicates either regional or noisy climate signals in Holocene temperature proxy records. In this study, we evaluate the consistency of spatial correlations present in Holocene proxy records with those found in data from the Last Glacial Maximum (LGM). Specifically, we predict correlations expected in LGM proxy records if the only difference to Holocene correlations would be due to more time uncertainty and more climate variability in the LGM. We compare this simple prediction to the actual correlation structure in the LGM proxy records. We found that time series data of ice-core stable isotope records and planktonic foraminifera Mg/Ca ratios were consistent between the Holocene and LGM periods, while time series of Uk'37 proxy records were not as we found no correlation between nearby LGM records. Our results support the finding of highly regional or noisy marine proxy records in the compilation analysed here and suggest the need for further studies on the role of climate proxies and the processes of climate signal recording and preservation.</t>
  </si>
  <si>
    <t>[Reschke, Maria; Kroener, Igor; Laepple, Thomas] Helmholtz Ctr Polar &amp; Marine Res, Alfred Wegener Inst, Telegrafenberg A45, D-14473 Potsdam, Germany; [Reschke, Maria; Kroener, Igor] Univ Potsdam, Inst Geosci, Karl Liebknecht Str 24-25, D-14476 Potsdam, Germany; [Laepple, Thomas] Univ Bremen, MARUM Ctr Marine Environm Sci, D-28334 Bremen, Germany; [Laepple, Thomas] Univ Bremen, Fac Geosci, D-28334 Bremen, Germany</t>
  </si>
  <si>
    <t>Helmholtz Association; Alfred Wegener Institute, Helmholtz Centre for Polar &amp; Marine Research; University of Potsdam; University of Bremen; University of Bremen</t>
  </si>
  <si>
    <t>Reschke, M (corresponding author), Helmholtz Ctr Polar &amp; Marine Res, Alfred Wegener Inst, Telegrafenberg A45, D-14473 Potsdam, Germany.;Reschke, M (corresponding author), Univ Potsdam, Inst Geosci, Karl Liebknecht Str 24-25, D-14476 Potsdam, Germany.</t>
  </si>
  <si>
    <t>mreschke@awi.de</t>
  </si>
  <si>
    <t>IPO, PAGES/JXY-7546-2024</t>
  </si>
  <si>
    <t>Detring, Igor/0000-0002-5345-5135</t>
  </si>
  <si>
    <t>Initiative and Networking Fund of the Helmholtz Association [VG-NH900]; European Research Council (ERC) under the European Union's Horizon 2020 research and innovation programme [716092]; Helmholtz Climate Initiative REKLIM (Regional Climate Change), a joint research project of the Helmholtz Association of German Research Centres (HGF); Projekt DEAL</t>
  </si>
  <si>
    <t>Initiative and Networking Fund of the Helmholtz Association; European Research Council (ERC) under the European Union's Horizon 2020 research and innovation programme(European Research Council (ERC)); Helmholtz Climate Initiative REKLIM (Regional Climate Change), a joint research project of the Helmholtz Association of German Research Centres (HGF); Projekt DEAL</t>
  </si>
  <si>
    <t>We thank Torben Kunz and Andrew Dolman for fruitful discussions and comments on the manuscript. The work profited from discussions at the CVAS working group of the Past Global Changes (PAGES) programme. This study was supported by the Initiative and Networking Fund of the Helmholtz Association (grant VG-NH900) as well as the European Research Council (ERC) under the European Union's Horizon 2020 research and innovation programme (grant agreement no. 716092). It further contributes to the German BMBF project PALMOD. I.K. was funded by the Helmholtz Climate Initiative REKLIM (Regional Climate Change), a joint research project of the Helmholtz Association of German Research Centres (HGF). Open access funding enabled and organized by Projekt DEAL.</t>
  </si>
  <si>
    <t>0267-8179</t>
  </si>
  <si>
    <t>1099-1417</t>
  </si>
  <si>
    <t>J QUATERNARY SCI</t>
  </si>
  <si>
    <t>J. Quat. Sci.</t>
  </si>
  <si>
    <t>10.1002/jqs.3245</t>
  </si>
  <si>
    <t>PN2TU</t>
  </si>
  <si>
    <t>WOS:000571663700001</t>
  </si>
  <si>
    <t>Zheng, ZJ; Wei, H; Luo, XF; Zhao, W</t>
  </si>
  <si>
    <t>Zheng, Zijia; Wei, Hao; Luo, Xiaofan; Zhao, Wei</t>
  </si>
  <si>
    <t>Mechanisms of Persistent High Primary Production During the Growing Season in the Chukchi Sea</t>
  </si>
  <si>
    <t>Persistent high primary production; Nitrate budget; Pacific winter water; Bering summer water; Biological hotspots; Chukchi Sea</t>
  </si>
  <si>
    <t>ICE PHYTOPLANKTON BLOOMS; BERING STRAIT; UNDER-ICE; WINTER WATER; HEAT-BUDGET; OCEAN; MODEL; SUMMER; CIRCULATION; DYNAMICS</t>
  </si>
  <si>
    <t>Persistent high primary production during the growing season in the Chukchi Sea (Arctic Ocean) plays a key role in maintaining an efficient biological carbon pump and diverse Arctic ecosystem. We used a three-dimensional ocean-sea ice-biogeochemical model to simulate monthly averaged net primary production from 1998 to 2015. The results show that the growing season in the Chukchi Sea lasts more than 150 days, with an annual net primary production of 30.85 +/- 3.67 Tg C y(-1). The mechanisms for maintaining high primary production differ in the southern and northern Chukchi Sea biological hotspots. Nutrient-rich Pacific Winter Water triggers phytoplankton blooms in both hotspots as light intensity increased in spring. After these initial blooms, Bering Summer Water and remnant Pacific Winter Water are the main contributors to nutrient levels and drive primary production during the growing season (May to September) in the southern and northern hotspots, respectively. Nitrate budget estimations in the euphotic zone reveal that after the spring blooms, persistent high primary production in the southern hotspot is mainly fueled by advecting Bering Summer Water through the Bering Strait. In the northern area, vertical mixing plays a critical role in upwelling nutrient-rich Pacific Winter Water from around the Hanna Shoal, where Pacific Winter Water is trapped for a long duration as a result of topography-influenced ocean circulation. Hence, high primary production exists in the northern Chukchi Sea during the summer and early autumn.</t>
  </si>
  <si>
    <t>[Zheng, Zijia; Wei, Hao; Luo, Xiaofan; Zhao, Wei] Tianjin Univ, Sch Marine Sci &amp; Technol, Tianjin, Peoples R China</t>
  </si>
  <si>
    <t>Tianjin University</t>
  </si>
  <si>
    <t>Luo, XF (corresponding author), Tianjin Univ, Sch Marine Sci &amp; Technol, Tianjin, Peoples R China.</t>
  </si>
  <si>
    <t>xiaofan.luo@tju.edu.cn</t>
  </si>
  <si>
    <t>Zheng, Zijia/KFP-9989-2024</t>
  </si>
  <si>
    <t>Zheng, Zijia/0000-0002-6662-708X; Wei, Hao/0000-0002-5227-8384</t>
  </si>
  <si>
    <t>National Natural Science Foundation of China [41630969, 41941013, 41806225]</t>
  </si>
  <si>
    <t>This work is funded by the National Natural Science Foundation of China (41630969, 41941013 and 41806225). The authors thank the NEMO team for providing the state-of-the-art models and the expert advices from colleagues within the CON-CEPTS network of Canada and the Mercator-Ocean International. The authors thank Chinese National Arctic &amp; Antarctic Data Center (http://www.china re.org.cn/en/index/) and the OC-CCI team (http s://esa-oceancolour-cci.org/) for providing the data used in this paper. The authors thank two anonymous reviewers for constructive comments on the original manuscript.</t>
  </si>
  <si>
    <t>JUN</t>
  </si>
  <si>
    <t>10.1007/s10021-020-00559-8</t>
  </si>
  <si>
    <t>SS1ZN</t>
  </si>
  <si>
    <t>WOS:000570840100001</t>
  </si>
  <si>
    <t>Power, SN; Salvatore, MR; Sokol, ER; Stanish, LF; Barrett, JE</t>
  </si>
  <si>
    <t>Power, Sarah N.; Salvatore, Mark R.; Sokol, Eric R.; Stanish, Lee F.; Barrett, J. E.</t>
  </si>
  <si>
    <t>Estimating microbial mat biomass in the McMurdo Dry Valleys, Antarctica using satellite imagery and ground surveys</t>
  </si>
  <si>
    <t>Antarctica; Microbial mat; Multispectral imagery; NDVI; Nostocales; Remote sensing</t>
  </si>
  <si>
    <t>SOUTHERN VICTORIA LAND; TAYLOR VALLEY; COMMUNITY COMPOSITION; SOIL BIODIVERSITY; ORGANIC-MATTER; DESERT; SCYTONEMIN; VEGETATION; ECOSYSTEMS; DIVERSITY</t>
  </si>
  <si>
    <t>Cyanobacterial mat communities are the main drivers of primary productivity in the McMurdo Dry Valleys, Antarctica. These microbial communities form laminar mats on desert pavement surfaces adjacent to glacial meltwater streams, ponds, and lakes. The low-density nature of these communities and their patchy distribution make assessments of distribution, biomass, and productivity challenging. We used satellite imagery coupled with in situ surveying, imaging, and sampling to systematically estimate microbial mat biomass in selected wetland regions in Taylor Valley, Antarctica. On January 19th, 2018, the WorldView-2 multispectral satellite acquired an image of our study areas, where we surveyed and sampled seven 100 m(2)plots of microbial mats for percent ground cover, ash-free dry mass (AFDM), and pigment content (chlorophyll-a, carotenoids, and scytonemin). Multispectral analyses revealed spectral signatures consistent with photosynthetic activity (relatively strong reflection at near-infrared wavelengths and relatively strong absorption at visible wavelengths), with average normalized difference vegetation index (NDVI) values of 0.09 to 0.28. Strong correlations of microbial mat ground cover (R-2 = 0.84), biomass (R-2 = 0.74), chlorophyll-a content (R-2 = 0.65), and scytonemin content (R-2 = 0.98) with logit transformed NDVI values demonstrate that satellite imagery can detect both the presence of microbial mats and their key biological properties. Using the NDVI-biomass correlation we developed, we estimate carbon (C) stocks of 21,715 kg (14.7 g C m(-2)) in the Canada Glacier Antarctic Specially Protected Area, with an upper and lower limit of 74,871 and 6312 kg of C, respectively.</t>
  </si>
  <si>
    <t>[Power, Sarah N.; Barrett, J. E.] Virginia Polytech Inst &amp; State Univ, Dept Biol Sci, 2125 Derring Hall,Mail Code 0406,926 West Campus, Blacksburg, VA 24061 USA; [Salvatore, Mark R.] No Arizona Univ, Dept Astron &amp; Planetary Sci, NAU Box 6010, Flagstaff, AZ 86011 USA; [Sokol, Eric R.; Stanish, Lee F.] Battelle Mem Inst, Natl Ecol Observ Network, 1685 38th St,Suite 100, Boulder, CO 80301 USA</t>
  </si>
  <si>
    <t>Virginia Polytechnic Institute &amp; State University; Northern Arizona University</t>
  </si>
  <si>
    <t>Power, SN (corresponding author), Virginia Polytech Inst &amp; State Univ, Dept Biol Sci, 2125 Derring Hall,Mail Code 0406,926 West Campus, Blacksburg, VA 24061 USA.</t>
  </si>
  <si>
    <t>snpower@vt.edu</t>
  </si>
  <si>
    <t>Sokol, Eric R/D-3956-2011; Sokol, Eric R./HZL-4014-2023; Barrett, John/D-5851-2016</t>
  </si>
  <si>
    <t>Sokol, Eric R./0000-0001-5923-0917; Power, Sarah/0000-0002-4863-290X; Barrett, John/0000-0002-7610-0505</t>
  </si>
  <si>
    <t>National Science Foundation [1637708, 1745053]</t>
  </si>
  <si>
    <t>National Science Foundation(National Science Foundation (NSF))</t>
  </si>
  <si>
    <t>The authors gratefully acknowledge Helen J. Peat and two anonymous reviewers whose feedback improved this manuscript. This project was supported by the National Science Foundation through Grant #1637708 to the McMurdo Dry Valleys Long Term Ecological Research Project and Grant #1745053 to M. Salvatore, Barrett, Sokol, and Stanish. We acknowledge the Polar Geospatial Center for geospatial support, DigitalGlobe, Inc. for access to satellite imagery, and UNAVCO of Boulder, CO, for assistance with high-resolution GPS. We also appreciate the logistical and helicopter contractors, Antarctic Support Contractors and Petroleum Helicopters Inc., for providing operational support in the field. We'd also like to thank Bobbie Niederlehner for her assistance with pigment analysis.</t>
  </si>
  <si>
    <t>10.1007/s00300-020-02742-y</t>
  </si>
  <si>
    <t>WOS:000570814800001</t>
  </si>
  <si>
    <t>Delpiani, SM; Bruno, DO; Vazquez, DM; Llompart, F; Delpiani, GE; Fernández, DA; Rosso, JJ; Mabragaña, E; de Astarloa, JMD</t>
  </si>
  <si>
    <t>Delpiani, S. M.; Bruno, D. O.; Vazquez, D. M.; Llompart, F.; Delpiani, G. E.; Fernandez, D. A.; Rosso, J. J.; Mabragana, E.; Diaz de Astarloa, J. M.</t>
  </si>
  <si>
    <t>Structure and distribution of fish assemblages at Burdwood Bank, the first Sub-Antarctic Marine Protected Area Namuncura in Argentina (Southwestern Atlantic Ocean)</t>
  </si>
  <si>
    <t>Fish fauna; Conservation; Sub-antarctic area; Nototheniidae; SW atlantic ocean</t>
  </si>
  <si>
    <t>CLIMATE-CHANGE; SOUTH-AMERICA; BIODIVERSITY; COMMUNITY; PATTERNS; PISCES; SHELF</t>
  </si>
  <si>
    <t>The first non-coastal Sub-Antarctic Marine Protected Area (Namuncura) in Argentina was created in 2013, at Burdwood Bank (MPAN-BB), an undersea plateau located about 200 km south from Malvinas/Falkland Islands, SW Atlantic Ocean. The main contribution of this work was to explore fish species composition and the structure of fish assemblages in three different zones of the MPAN-BB with different conservation strategies and different surrounding areas. Twenty-two fishing trawls were performed using a demersal bottom trawl pilot net at depths between 71 and 608 m. A total of 667 fish belonging to 30 species were collected in the surveyed area. The richest family in terms of species number was Nototheniidae (seven species), followed by Macrouridae, Myxinidae and Zoarcidae (four species each), then Moridae and Arhynchobatidae (three species each), and finally Muraenolepididae and Psychrolutidae (two species each). The remaining families were represented by a single species. Three significantly different fish assemblages were detected. These distinct assemblages were largely circumscribed at the plateau, the shelf-break slope, and the area west of the BB. The results showed that fish diversity in the MPAN-BB is relatively high constituting similar to 10% of the fish composition reported for the Atlantic sector of the Magellanic Province. The present data suggest that fishes are an important component of the benthic community planned to be protected by the implementation of the MPAN-BB. These findings have important implications for habitat preservation and threatened species conservation.</t>
  </si>
  <si>
    <t>[Delpiani, S. M.; Vazquez, D. M.; Delpiani, G. E.; Rosso, J. J.; Mabragana, E.; Diaz de Astarloa, J. M.] Univ Nacl Mar Del Plata UNMdP, Fac Ciencias Exactas &amp; Nat, Lab Biotaxon Morfol &amp; Mol Peces BIMOPE, Dean Funes 3350,B7602AYL, Mar Del Plata, Argentina; [Delpiani, S. M.; Vazquez, D. M.; Delpiani, G. E.; Rosso, J. J.; Mabragana, E.; Diaz de Astarloa, J. M.] UNMdP, CONICET, IIMyC, Inst Invest Marinas &amp; Costeras, Dean Funes 3350,B7602AYL, Mar Del Plata, Argentina; [Bruno, D. O.; Llompart, F.; Fernandez, D. A.] Consejo Nacl Invest Cient &amp; Tecn, CADIC, Ctr Austral Invest Cient, Lab Ecol Fisiol &amp; Evoluc Organismos Acuat LEFyE, Bernardo Houssay 200,V9410CAB Ushuaia, Tierra Del Fuego, Argentina; [Bruno, D. O.; Llompart, F.; Fernandez, D. A.] Univ Nacl Tierra Del Fuego, Inst Ciencias Polares Ambiente &amp; Recursos Nat, ICPA, UNTDF, Fuegia Basket 251,V9410CAB Ushuaia, Tierra Del Fuego, Argentina</t>
  </si>
  <si>
    <t>National University of Mar del Plata; Consejo Nacional de Investigaciones Cientificas y Tecnicas (CONICET); National University of Mar del Plata; Consejo Nacional de Investigaciones Cientificas y Tecnicas (CONICET)</t>
  </si>
  <si>
    <t>Delpiani, SM (corresponding author), Univ Nacl Mar Del Plata UNMdP, Fac Ciencias Exactas &amp; Nat, Lab Biotaxon Morfol &amp; Mol Peces BIMOPE, Dean Funes 3350,B7602AYL, Mar Del Plata, Argentina.;Delpiani, SM (corresponding author), UNMdP, CONICET, IIMyC, Inst Invest Marinas &amp; Costeras, Dean Funes 3350,B7602AYL, Mar Del Plata, Argentina.</t>
  </si>
  <si>
    <t>sdelpiani@mdp.edu.ar</t>
  </si>
  <si>
    <t>Rosso, Juan Jose/ABC-5504-2020; de Astarloa, Juan Diaz/F-5395-2012</t>
  </si>
  <si>
    <t>de Astarloa, Juan Diaz/0000-0002-9250-1771; Vazquez, Diego Martin/0000-0003-1259-9666; Rosso, Juan Jose/0000-0001-6730-9385</t>
  </si>
  <si>
    <t>Consejo Nacional de Investigaciones Cientificas y Tecnicas (CONICET-Argentina) [PIP 0440]; CONICET fellowship; creation law of MPA Namuncura-Banco Burdwood [26.875]</t>
  </si>
  <si>
    <t>Consejo Nacional de Investigaciones Cientificas y Tecnicas (CONICET-Argentina)(Consejo Nacional de Investigaciones Cientificas y Tecnicas (CONICET)); CONICET fellowship(Consejo Nacional de Investigaciones Cientificas y Tecnicas (CONICET)); creation law of MPA Namuncura-Banco Burdwood</t>
  </si>
  <si>
    <t>This study was supported by grants from Consejo Nacional de Investigaciones Cientificas y Tecnicas (CONICET-Argentina), PIP 0440 to DF Project-FONDO IBOL to SMD, EM, JMDA. D. M. Vazquez was supported by a CONICET fellowship. Operating costs were afforded by funds of the creation law of MPA Namuncura-Banco Burdwood (Law 26.875). This is the scientific contribution 42 of the Marine Protected Area Namuncura.</t>
  </si>
  <si>
    <t>10.1007/s00300-020-02744-w</t>
  </si>
  <si>
    <t>WOS:000570814800002</t>
  </si>
  <si>
    <t>Leis, JM</t>
  </si>
  <si>
    <t>Leis, Jeffrey M.</t>
  </si>
  <si>
    <t>Measurement of swimming ability in larval marine fishes: comparison of critical speed with in situ speed</t>
  </si>
  <si>
    <t>Critical speed; In situ speed; Swimming ontogeny; Larval dispersal; Dispersal models; Larval behaviour</t>
  </si>
  <si>
    <t>CORAL-REEF FISHES; PELAGIC LARVAE; POPULATION CONNECTIVITY; SETTLEMENT BEHAVIOR; STAGE LARVAE; ONTOGENY; TEMPERATE; DISPERSAL; DEMERSAL; POMACENTRIDAE</t>
  </si>
  <si>
    <t>For much of their pelagic larval dispersal (PLD) stage, larval perciform fishes are able to directly influence their dispersal by horizontal swimming, but it is unclear which means of measuring swimming ability is most appropriate for modelling dispersal and studying demographic and genetic connectivity. Most studies use critical speed (Ucrit), a laboratory flume measure derived by increasing flow until larvae can no longer maintain their position. Most swimming ability data on fish larvae are Ucrit, usually for larvae nearing the end of PLD. Recognizing that a forced laboratory measure is inappropriate for dispersal, researchers have used decreased Ucrit values, usually by 50%, and have argued that Ucrit is strongly correlated with more relevant swimming measures. Here I examined the suitability of Ucrit versus in situ speed (ISS), wherein speed of larvae is measured by divers following them in the ocean with a flow meter. Considerations of dispersal require inclusion of swimming ontogeny. Swimming speed regressions of speed on size of 10 species in 8 families showed that Ucrit and ISS are not well correlated. The Ucrit:standard length (SL) slope was greater than the ISS:SL slope in 6 species, and did not differ in the other 4 species. No overall metric, e.g. X% of Ucrit = ISS, was appropriate for conversion of Ucrit to ISS. Conversion of Ucrit to ISS is not straightforward. Ucrit measures swimming potential, not what larvae do in the ocean, whereas ISS directly measures larvae swimming in the ocean. Ucrit ontogeny is less variable, but ISS ontogeny is more relevant to dispersal. Ucrit may be useful for other purposes.</t>
  </si>
  <si>
    <t>[Leis, Jeffrey M.] Univ Tasmania, Inst Marine &amp; Antarctic Studies, Hobart, Tas 7004, Australia; [Leis, Jeffrey M.] Australian Museum Res Inst, Ichthyol, Sydney, NSW 2001, Australia</t>
  </si>
  <si>
    <t>University of Tasmania; Australian Museum</t>
  </si>
  <si>
    <t>Leis, JM (corresponding author), Univ Tasmania, Inst Marine &amp; Antarctic Studies, Hobart, Tas 7004, Australia.;Leis, JM (corresponding author), Australian Museum Res Inst, Ichthyol, Sydney, NSW 2001, Australia.</t>
  </si>
  <si>
    <t>jeffrey.leis@utas.edu.au</t>
  </si>
  <si>
    <t>Leis, Jeffrey M/E-7502-2012; Leis, Jeffrey M/JCE-0397-2023</t>
  </si>
  <si>
    <t>Leis, Jeffrey M/0000-0003-0603-3447; Leis, Jeffrey M/0000-0003-0603-3447</t>
  </si>
  <si>
    <t>Australian Research Council [DP0345876]; Australian DST International Science Linkages grant [IAPIST-CG03-0043]; Australian Department of Environment and Energy (through the Marine and Tropical Science Research Facility, National Environmental Research Program); Australian Museum; Australian Research Council [DP0345876] Funding Source: Australian Research Council</t>
  </si>
  <si>
    <t>Australian Research Council(Australian Research Council); Australian DST International Science Linkages grant; Australian Department of Environment and Energy (through the Marine and Tropical Science Research Facility, National Environmental Research Program); Australian Museum; Australian Research Council(Australian Research Council)</t>
  </si>
  <si>
    <t>The research publications that provided the data for this study were supported by an Australian Research Council Discovery Grant (DP0345876), an Australian DST International Science Linkages grant (IAPIST-CG03-0043), the Australian Department of Environment and Energy (through the Marine and Tropical Science Research Facility, National Environmental Research Program, and National Environmental Science Program) and the Australian Museum. Details of permits to conduct the research are contained in the original publications listed in Table 1. Thanks to the many people whose contributions in the laboratory and field led to the publications listed in Table 1, and to the organizers of the 2019 Larval Fish Conference, held in Mallorca, Spain.</t>
  </si>
  <si>
    <t>SEP 17</t>
  </si>
  <si>
    <t>10.3354/meps13233</t>
  </si>
  <si>
    <t>QL6YT</t>
  </si>
  <si>
    <t>WOS:000621231200014</t>
  </si>
  <si>
    <t>Bonello, G; Grillo, M; Cecchetto, M; Giallain, M; Granata, A; Guglielmo, L; Pane, L; Schiaparelli, S</t>
  </si>
  <si>
    <t>Bonello, Guido; Grillo, Marco; Cecchetto, Matteo; Giallain, Marina; Granata, Antonia; Guglielmo, Letterio; Pane, Luigi; Schiaparelli, Stefano</t>
  </si>
  <si>
    <t>Distributional records of Ross Sea (Antarctica) planktic Copepoda from bibliographic data and samples curated at the Italian National Antarctic Museum (MNA): checklist of species collected in the Ross Sea sector from 1987 to 1995</t>
  </si>
  <si>
    <t>ZOOKEYS</t>
  </si>
  <si>
    <t>abundance; biogeography; BIONESS; distribution; museum collection; Terra Nova Bay</t>
  </si>
  <si>
    <t>LIFE-CYCLE STRATEGY; TERRA-NOVA BAY; POPULATION-STRUCTURE; PARALABIDOCERA-ANTARCTICA; DRESCHERIELLA-GLACIALIS; EUCHAETA-ANTARCTICA; WEDDELL SEA; ICE; ZOOPLANKTON; SUMMER</t>
  </si>
  <si>
    <t>Distributional data on planktic copepods (Crustacea, Copepoda) collected in the framework of the IIIrd, Vth, and Xth Expeditions of the Italian National Antarctic Program (PNRA) to the Ross Sea sector from 1987 to 1995 are here provided. Sampling was performed with BIONESS and WP2 nets at 94 sampling stations at depths of 0-1,000 m, with a special focus on the Terra Nova Bay area. Altogether, this dataset comprises 6,027 distributional records, out of which 5,306 were obtained by digitizing original data reports and 721 are based on physical museum vouchers curated by the Italian National Antarctic Museum (MNA, Section of Genoa). The MNA samples include 8,224 individual specimens that were identified to the lowest possible taxonomic level. They belong to four orders, 25 families, 52 genera, and 82 morphological units (out of which 17 could be determined at the genus level only). A variety of environmental data were also recorded at each of the sampling stations, and we report original abundances (ind/m3) to enable future species distribution modelling. From a biogeographic point of view, the distributional data here reported represented new records for the Global Biogeographic Information Facility (GBIF) registry. In particular, 62% of the total number of species are new records for the Ross Sea sector and another 28% new records for the Antarctic region.</t>
  </si>
  <si>
    <t>[Bonello, Guido; Grillo, Marco; Cecchetto, Matteo; Schiaparelli, Stefano] Univ Genoa, Italian Natl Antarctic Museum MNA, Sect Genoa, Genoa, Italy; [Cecchetto, Matteo; Giallain, Marina; Pane, Luigi; Schiaparelli, Stefano] Univ Genoa, Dept Earth Environm &amp; Life Sci DISTAV, Genoa, Italy; [Granata, Antonia] Univ Messina, Dept Chem Biol Pharmaceut &amp; Environm Sci ChiBioFa, Messina, Italy; [Guglielmo, Letterio] Stn Zool Anton Dohrn SZN, Messina, Italy</t>
  </si>
  <si>
    <t>University of Genoa; University of Genoa; University of Messina</t>
  </si>
  <si>
    <t>Schiaparelli, S (corresponding author), Univ Genoa, Italian Natl Antarctic Museum MNA, Sect Genoa, Genoa, Italy.;Schiaparelli, S (corresponding author), Univ Genoa, Dept Earth Environm &amp; Life Sci DISTAV, Genoa, Italy.</t>
  </si>
  <si>
    <t>stefano.schiaparelli@unige.it</t>
  </si>
  <si>
    <t>Cecchetto, Matteo/KGL-8310-2024</t>
  </si>
  <si>
    <t>Cecchetto, Matteo/0000-0002-4505-4104; Grillo, Marco/0000-0002-3188-9012; GRANATA, Antonia/0000-0001-7016-6418; Bonello, Guido/0000-0002-8854-236X; Schiaparelli, Stefano/0000-0002-0137-3605</t>
  </si>
  <si>
    <t>1313-2989</t>
  </si>
  <si>
    <t>1313-2970</t>
  </si>
  <si>
    <t>ZooKeys</t>
  </si>
  <si>
    <t>10.3897/zookeys.969.52334</t>
  </si>
  <si>
    <t>NU5MU</t>
  </si>
  <si>
    <t>WOS:000573686100001</t>
  </si>
  <si>
    <t>Reese, R; Levermann, A; Albrecht, T; Seroussi, H; Winkelmann, R</t>
  </si>
  <si>
    <t>Reese, Ronja; Levermann, Anders; Albrecht, Torsten; Seroussi, Helene; Winkelmann, Ricarda</t>
  </si>
  <si>
    <t>The role of history and strength of the oceanic forcing in sea level projections from Antarctica with the Parallel Ice Sheet Model</t>
  </si>
  <si>
    <t>LINEAR-RESPONSE FUNCTIONS; SURFACE MASS-BALANCE; PART 1; SHELF CAVITY; MELT RATES; ENSEMBLE; RETREAT; GLACIER; CLIMATE; CMIP5</t>
  </si>
  <si>
    <t>Mass loss from the Antarctic Ice Sheet constitutes the largest uncertainty in projections of future sea level rise. Ocean-driven melting underneath the floating ice shelves and subsequent acceleration of the inland ice streams are the major reasons for currently observed mass loss from Antarctica and are expected to become more important in the future. Here we show that for projections of future mass loss from the Antarctic Ice Sheet, it is essential (1) to better constrain the sensitivity of sub-shelf melt rates to ocean warming and (2) to include the historic trajectory of the ice sheet. In particular, we find that while the ice sheet response in simulations using the Parallel Ice Sheet Model is comparable to the median response of models in three Antarctic Ice Sheet Intercomparison projects - initMIP, LARMIP-2 and ISMIP6 - conducted with a range of ice sheet models, the projected 21st century sea level contribution differs significantly depending on these two factors. For the highest emission scenario RCP8.5, this leads to projected ice loss ranging from 1:4 to 4:0 cm of sea level equivalent in simulations in which ISMIP6 ocean forcing drives the PICO ocean box model where parameter tuning leads to a comparably low sub-shelf melt sensitivity and in which no surface forcing is applied. This is opposed to a likely range of 9:1 to 35:8 cm using the exact same initial setup, but emulated from the LARMIP-2 experiments with a higher melt sensitivity, even though both projects use forcing from climate models and melt rates are calibrated with previous oceanographic studies. Furthermore, using two initial states, one with a previous historic simulation from 1850 to 2014 and one starting from a steady state, we show that while differences between the ice sheet configurations in 2015 seem marginal at first sight, the historic simulation increases the susceptibility of the ice sheet to ocean warming, thereby increasing mass loss from 2015 to 2100 by 5% to 50 %. Hindcasting past ice sheet changes with numerical models would thus provide valuable tools to better constrain projections. Our results emphasize that the uncertainty that arises from the forcing is of the same order of magnitude as the ice dynamic response for future sea level projections.</t>
  </si>
  <si>
    <t>[Reese, Ronja; Levermann, Anders; Albrecht, Torsten; Winkelmann, Ricarda] Leibniz Assoc, Potsdam Inst Climate Impact Res PIK, POB 60 12 03, D-14412 Potsdam, Germany; [Levermann, Anders; Winkelmann, Ricarda] Univ Potsdam, Inst Phys &amp; Astron, Karl Liebknecht Str 24-25, D-14476 Potsdam, Germany; [Levermann, Anders] Columbia Univ, LDEO, New York, NY USA; [Seroussi, Helene] CALTECH, Jet Prop Lab, Pasadena, CA USA</t>
  </si>
  <si>
    <t>Potsdam Institut fur Klimafolgenforschung; University of Potsdam; Columbia University; National Aeronautics &amp; Space Administration (NASA); NASA Jet Propulsion Laboratory (JPL); California Institute of Technology</t>
  </si>
  <si>
    <t>Reese, R (corresponding author), Leibniz Assoc, Potsdam Inst Climate Impact Res PIK, POB 60 12 03, D-14412 Potsdam, Germany.</t>
  </si>
  <si>
    <t>ronja.reese@pik-potsdam.de</t>
  </si>
  <si>
    <t>Levermann, Anders/G-4666-2011; albrecht, torsten/J-8259-2019; Seroussi, Helene/AAX-5342-2021</t>
  </si>
  <si>
    <t>Levermann, Anders/0000-0003-4432-4704; albrecht, torsten/0000-0001-7459-2860; Seroussi, Helene/0000-0001-9201-1644; Reese, Ronja/0000-0001-7625-040X</t>
  </si>
  <si>
    <t>Deutsche Forschungsgemeinschaft (DFG) [WI4556/3-1, WI4556/2-1, WI4556/4-1]; NASA [NNX17AG65G]; NSF [PLR-1603799, PLR-1644277]; Gauss Centre for Supercomputing/Leibniz Supercomputing Centre [pr94ga, pn69ru]</t>
  </si>
  <si>
    <t>Deutsche Forschungsgemeinschaft (DFG)(German Research Foundation (DFG)); NASA(National Aeronautics &amp; Space Administration (NASA)); NSF(National Science Foundation (NSF)); Gauss Centre for Supercomputing/Leibniz Supercomputing Centre</t>
  </si>
  <si>
    <t>This research has been supported by the Deutsche Forschungsgemeinschaft (DFG) (grant nos. WI4556/3-1, WI4556/2-1, and WI4556/4-1), the NASA (grant no. NNX17AG65G), the NSF (grant nos. PLR-1603799 and PLR-1644277), and the Gauss Centre for Supercomputing/Leibniz Supercomputing Centre (grant nos. pr94ga and pn69ru).</t>
  </si>
  <si>
    <t>10.5194/tc-14-3097-2020</t>
  </si>
  <si>
    <t>NT4TK</t>
  </si>
  <si>
    <t>Green Submitted, Green Accepted, gold</t>
  </si>
  <si>
    <t>WOS:000572935000003</t>
  </si>
  <si>
    <t>Jourdain, NC; Asay-Davis, X; Hattermann, T; Straneo, F; Seroussi, H; Little, CM; Nowicki, S</t>
  </si>
  <si>
    <t>Jourdain, Nicolas C.; Asay-Davis, Xylar; Hattermann, Tore; Straneo, Fiammetta; Seroussi, Helene; Little, Christopher M.; Nowicki, Sophie</t>
  </si>
  <si>
    <t>A protocol for calculating basal melt rates in the ISMIP6 Antarctic ice sheet projections</t>
  </si>
  <si>
    <t>PINE ISLAND GLACIER; MODELS HISTORICAL BIAS; CIRCUMPOLAR DEEP-WATER; FUTURE SEA-LEVEL; SOUTHERN-OCEAN; WEST ANTARCTICA; THWAITES GLACIER; SHELF CAVITY; CIRCULATION; RETREAT</t>
  </si>
  <si>
    <t>Climate model projections have previously been used to compute ice shelf basal melt rates in ice sheet models, but the strategies employed - e.g., ocean input, parameterization, calibration technique, and corrections - have varied widely and are often ad hoc. Here, a methodology is proposed for the calculation of circum-Antarctic basal melt rates for floating ice, based on climate models, that is suitable for ISMIP6, the Ice Sheet Model Intercomparison Project for CMIP6 (6th Coupled Model Intercomparison Project). The past and future evolution of ocean temperature and salinity is derived from a climate model by estimating anomalies with respect to the modern day, which are added to a present-day climatology constructed from existing observational datasets. Temperature and salinity are extrapolated to any position potentially occupied by a simulated ice shelf. A simple formulation is proposed for a basal melt parameterization in ISMIP6, constrained by the observed temperature climatology, with a quadratic dependency on either the nonlocal or local thermal forcing. Two calibration methods are proposed: (1) based on the mean Antarctic melt rate (MeanAnt) and (2) based on melt rates near Pine Island's deep grounding line (PIGL). Future Antarctic mean melt rates are an order of magnitude greater in PIGL than in MeanAnt. The PIGL calibration and the local parameterization result in more realistic melt rates near grounding lines. PIGL is also more consistent with observations of interannual melt rate variability underneath Pine Island and Dotson ice shelves. This work stresses the need for more physics and less calibration in the parameterizations and for more observations of hydrographic properties and melt rates at interannual and decadal timescales.</t>
  </si>
  <si>
    <t>[Jourdain, Nicolas C.] Univ Grenoble Alpes, CNRS, IRD, G INP,IGE, Grenoble, France; [Asay-Davis, Xylar] Los Alamos Natl Lab, Los Alamos, NM USA; [Hattermann, Tore] Helmholtz Ctr Polar &amp; Marine Res, Alfred Wegener Inst, Bremerhaven, Germany; [Hattermann, Tore] Norwegian Polar Res Inst, Res Dept, Sect Oceans &amp; Sea Ice, Tromso, Norway; [Straneo, Fiammetta] Univ Calif San Diego, Scripps Inst Oceanog, La Jolla, CA 92093 USA; [Seroussi, Helene] CALTECH, Jet Prop Lab, Pasadena, CA USA; [Little, Christopher M.] Atmospher &amp; Environm Res Inc, Lexington, MA USA; [Nowicki, Sophie] NASA GSFC, Cryospher Sci Branch, Greenbelt, MD USA; [Nowicki, Sophie] Univ Buffalo, Dept Geol, Buffalo, NY USA; [Nowicki, Sophie] Univ Buffalo, Res &amp; Educ eNergy Environm &amp; Water RENEW Inst, Buffalo, NY USA</t>
  </si>
  <si>
    <t>Communaute Universite Grenoble Alpes; Universite Grenoble Alpes (UGA); Institut de Recherche pour le Developpement (IRD); Centre National de la Recherche Scientifique (CNRS); United States Department of Energy (DOE); Los Alamos National Laboratory; Helmholtz Association; Alfred Wegener Institute, Helmholtz Centre for Polar &amp; Marine Research; Norwegian Polar Institute; University of California System; University of California San Diego; Scripps Institution of Oceanography; National Aeronautics &amp; Space Administration (NASA); NASA Jet Propulsion Laboratory (JPL); California Institute of Technology; Atmospheric &amp; Environmental Research; National Aeronautics &amp; Space Administration (NASA); NASA Goddard Space Flight Center; State University of New York (SUNY) System; State University of New York (SUNY) Buffalo; State University of New York (SUNY) System; State University of New York (SUNY) Buffalo</t>
  </si>
  <si>
    <t>Jourdain, NC (corresponding author), Univ Grenoble Alpes, CNRS, IRD, G INP,IGE, Grenoble, France.</t>
  </si>
  <si>
    <t>nicolas.jourdain@univ-grenoble-alpes.fr</t>
  </si>
  <si>
    <t>Seroussi, Helene/AAX-5342-2021; Jourdain, Nicolas/B-6899-2015</t>
  </si>
  <si>
    <t>Seroussi, Helene/0000-0001-9201-1644; Asay-Davis, Xylar/0000-0002-1990-892X; Jourdain, Nicolas/0000-0002-1372-2235</t>
  </si>
  <si>
    <t>Agence Nationale de la Recherche [ANR-15-CE01-0005-01]; European Commission through the TiPACCs project [820575, H2020-LC-CLA-2018-2]; National Science Foundation (USA) [1919566]; National Aeronautics and Space Administration (USA) [NNX17AI03G]; Agence Nationale de la Recherche (ANR) [ANR-15-CE01-0005] Funding Source: Agence Nationale de la Recherche (ANR)</t>
  </si>
  <si>
    <t>Agence Nationale de la Recherche(Agence Nationale de la Recherche (ANR)); European Commission through the TiPACCs project; National Science Foundation (USA)(National Science Foundation (NSF)); National Aeronautics and Space Administration (USA)(National Aeronautics &amp; Space Administration (NASA)); Agence Nationale de la Recherche (ANR)(Agence Nationale de la Recherche (ANR))</t>
  </si>
  <si>
    <t>This research has been supported by the Agence Nationale de la Recherche (grant no. ANR-15-CE01-0005-01), the European Commission through the TiPACCs project (grant no. 820575, call H2020-LC-CLA-2018-2), the National Science Foundation (USA; grant no. 1919566), and the National Aeronautics and Space Administration (USA; grant no. NNX17AI03G).</t>
  </si>
  <si>
    <t>10.5194/tc-14-3111-2020</t>
  </si>
  <si>
    <t>WOS:000572935000004</t>
  </si>
  <si>
    <t>Passarini, MRZ; Silva, TRE; Bernal, SPF; Cecchet, NL; Sartoratto, A; Boroski, M; Duarte, AWF; Ottoni, JR; Rosa, LH; de Oliveira, VM</t>
  </si>
  <si>
    <t>Passarini, Michel Rodrigo Zambrano; Rodrigues e Silva, Tiago; Bernal, Suzan Prado Fernandes; Cecchet, Nathalia Luana; Sartoratto, Adilson; Boroski, Marcela; Duarte, Alysson Wagner Fernandes; Ottoni, Julia Ronzella; Rosa, Luiz Henrique; de Oliveira, Valeria Maia</t>
  </si>
  <si>
    <t>Undecane production by cold-adapted bacteria from Antarctica</t>
  </si>
  <si>
    <t>Undecane; Biofuel; Aircraft; Extremophiles; Cultivable bacteria</t>
  </si>
  <si>
    <t>ESCHERICHIA-COLI; HYDROCARBONS; DIVERSITY; BIOSYNTHESIS; ENVIRONMENTS</t>
  </si>
  <si>
    <t>In the last decades, efforts to reduce the use of fossil fuels have increased the search for alternative sustainable sources of renewable energy. In this scenario, hydrocarbons derived from fatty acids are among the compounds that have been drawing attention. The intracellular production of hydrocarbons by bacteria derived from cold environments such as the Antarctic continent is currently poorly investigated, as extremophilic microorganisms provide a great range of metabolic capabilities and may represent a key tool in the production of biofuels. The aim of this study was to explore the ability of bacterial cells derived from extreme environments to produce hydrocarbons with potential for further use as biofuels. Seven bacteria isolated from Antarctic samples were evaluated for hydrocarbon production using GC-MS approaches. Two isolates, identified asArthrobacter livingstonensis593 andPseudoalteromonasarctica628, were able to produce the hydrocarbon undecane (CH3-(CH2)(9)-CH3) in concentrations of 1.39 mg L(-1)and 1.81 mg L-1, respectively. Results from the present work encourage further research focusing on the optimization of hydrocarbon production by the isolates identified as producers, which may be used in further aircraft biofuel production. This is the first report on the production of the undecane compound by bacteria isolated from waterlogged soil and sponge from Antarctica.</t>
  </si>
  <si>
    <t>[Passarini, Michel Rodrigo Zambrano; Bernal, Suzan Prado Fernandes; Cecchet, Nathalia Luana] UNILA Univ Fed Integracao Latino Amer, Lab Biotecnol Ambiental, Av Tarquinio Joslin Santos,1000 Jd Univ, BR-85870650 Foz Do Iguacu, PR, Brazil; [Rodrigues e Silva, Tiago; de Oliveira, Valeria Maia] Univ Estadual Campinas, CPQBA, Div Recursos Microbianos, Rua Alexandre Caselatto 999,CP 6171, BR-13083970 Campinas, SP, Brazil; [Sartoratto, Adilson] Univ Estadual Campinas, CPQBA, Div Quim Organ &amp; Farmaceut, Rua Alexandre Caselatto 999,CP 6171, BR-13083970 Campinas, SP, Brazil; [Boroski, Marcela] UNILA Univ Fed Integracao Latino Amer, Lab Quim, Av Tancredo Neves 6731,Conjunto B, BR-85867970 Foz Do Iguacu, PR, Brazil; [Duarte, Alysson Wagner Fernandes] UFAL Univ Fed Alagoas, Av Manoel Severino Barbosa Rodovia,AL 115, BR-57309005 Arapiraca, AL, Brazil; [Ottoni, Julia Ronzella] UDC Ctr Univ Dinam Cataratas, Rua Castelo Branco 349, Foz Do Iguacu, PR, Brazil; [Rosa, Luiz Henrique] Univ Fed Minas Gerais, Dept Microbiol, UFMG, Inst Ciencias Biol, Av Antonio Carlos 6627, BR-31270901 Belo Horizonte, MG, Brazil</t>
  </si>
  <si>
    <t>Universidade Federal da Integracao Latino-Americana; Universidade Estadual de Campinas; Universidade Estadual de Campinas; Universidade Federal da Integracao Latino-Americana; Universidade Federal de Minas Gerais</t>
  </si>
  <si>
    <t>Passarini, MRZ (corresponding author), UNILA Univ Fed Integracao Latino Amer, Lab Biotecnol Ambiental, Av Tarquinio Joslin Santos,1000 Jd Univ, BR-85870650 Foz Do Iguacu, PR, Brazil.</t>
  </si>
  <si>
    <t>michel.passarini@unila.edu.br</t>
  </si>
  <si>
    <t>Oliveira, Valéria Maia/L-2422-2014; Silva, Tiago R/I-1326-2017; Ottoni, Júlia R/N-2728-2016; Duarte, Alysson Wagner Fernandes/S-8062-2019; Passarimi, Michel/AAD-5806-2022; Boroski, Marcela/V-6112-2018</t>
  </si>
  <si>
    <t>Oliveira, Valéria Maia/0000-0001-8817-4758; Silva, Tiago R/0000-0002-2269-9321; Ottoni, Júlia R/0000-0003-1229-7676; Duarte, Alysson Wagner Fernandes/0000-0001-9626-7524; Boroski, Marcela/0000-0003-1621-5199</t>
  </si>
  <si>
    <t>FAPESP [2013/22062-8]</t>
  </si>
  <si>
    <t>FAPESP(Fundacao de Amparo a Pesquisa do Estado de Sao Paulo (FAPESP))</t>
  </si>
  <si>
    <t>Authors would like to thank the Brazilian Antarctic Program for making the sampling feasible in the expedition OPERANTAR XXXII (summer 2013/2014). MRZP also grateful to FAPESP for financial support (process numbers 2013/22062-8).</t>
  </si>
  <si>
    <t>10.1007/s00792-020-01200-1</t>
  </si>
  <si>
    <t>WOS:000571188600001</t>
  </si>
  <si>
    <t>Seroussi, H; Nowicki, S; Payne, AJ; Goelzer, H; Lipscomb, WH; Abe-Ouchi, A; Agosta, C; Albrecht, T; Asay-Davis, X; Barthel, A; Calov, R; Cullather, R; Dumas, C; Galton-Fenzi, BK; Gladstone, R; Golledge, NR; Gregory, JM; Greve, R; Hattermann, T; Hoffman, MJ; Humbert, A; Huybrechts, P; Jourdain, NC; Kleiner, T; Larour, E; Leguy, GR; Lowry, DP; Little, CM; Morlighem, M; Pattyn, F; Pelle, T; Price, SF; Quiquet, A; Reese, R; Schlegel, NJ; Shepherd, A; Simon, E; Smith, RS; Straneo, F; Sun, SN; Trusel, LD; Van Breedam, J; van de Wal, RSW; Winkelmann, R; Zhao, C; Zhang, T; Zwinger, T</t>
  </si>
  <si>
    <t>Seroussi, Helene; Nowicki, Sophie; Payne, Antony J.; Goelzer, Heiko; Lipscomb, William H.; Abe-Ouchi, Ayako; Agosta, Cecile; Albrecht, Torsten; Asay-Davis, Xylar; Barthel, Alice; Calov, Reinhard; Cullather, Richard; Dumas, Christophe; Galton-Fenzi, Benjamin K.; Gladstone, Rupert; Golledge, Nicholas R.; Gregory, Jonathan M.; Greve, Ralf; Hattermann, Tore; Hoffman, Matthew J.; Humbert, Angelika; Huybrechts, Philippe; Jourdain, Nicolas C.; Kleiner, Thomas; Larour, Eric; Leguy, Gunter R.; Lowry, Daniel P.; Little, Chistopher M.; Morlighem, Mathieu; Pattyn, Frank; Pelle, Tyler; Price, Stephen F.; Quiquet, Aurelien; Reese, Ronja; Schlegel, Nicole-Jeanne; Shepherd, Andrew; Simon, Erika; Smith, Robin S.; Straneo, Fiammetta; Sun, Sainan; Trusel, Luke D.; Van Breedam, Jonas; van de Wal, Roderik S. W.; Winkelmann, Ricarda; Zhao, Chen; Zhang, Tong; Zwinger, Thomas</t>
  </si>
  <si>
    <t>ISMIP6 Antarctica: a multi-model ensemble of the Antarctic ice sheet evolution over the 21st century</t>
  </si>
  <si>
    <t>FUTURE SEA-LEVEL; SURFACE MASS-BALANCE; BASAL MELT RATES; PINE ISLAND GLACIER; DRONNING MAUD LAND; MODEL PISM-PIK; WEST ANTARCTICA; NUMERICAL SIMULATIONS; SPATIAL SENSITIVITIES; ENVIRONMENTAL-CHANGE</t>
  </si>
  <si>
    <t>Ice flow models of the Antarctic ice sheet are commonly used to simulate its future evolution in response to different climate scenarios and assess the mass loss that would contribute to future sea level rise. However, there is currently no consensus on estimates of the future mass balance of the ice sheet, primarily because of differences in the representation of physical processes, forcings employed and initial states of ice sheet models. This study presents results from ice flow model simulations from 13 international groups focusing on the evolution of the Antarctic ice sheet during the period 2015-2100 as part of the Ice Sheet Model Intercomparison for CMIP6 (ISMIP6). They are forced with outputs from a subset of models from the Coupled Model Intercomparison Project Phase 5 (CMIP5), representative of the spread in climate model results. Simulations of the Antarctic ice sheet contribution to sea level rise in response to increased warming during this period varies between 7:8 and 30.0 cm of sea level equivalent (SLE) under Representative Concentration Pathway (RCP) 8.5 scenario forcing. These numbers are relative to a control experiment with constant climate conditions and should therefore be added to the mass loss contribution under climate conditions similar to present-day conditions over the same period. The simulated evolution of the West Antarctic ice sheet varies widely among models, with an overall mass loss, up to 18.0 cm SLE, in response to changes in oceanic conditions. East Antarctica mass change varies between 6 :1 and 8.3 cm SLE in the simulations, with a significant increase in surface mass balance outweighing the increased ice discharge under most RCP 8.5 scenario forcings. The inclusion of ice shelf collapse, here assumed to be caused by large amounts of liquid water ponding at the surface of ice shelves, yields an additional simulated mass loss of 28mm compared to simulations without ice shelf collapse. The largest sources of uncertainty come from the climate forcing, the ocean-induced melt rates, the calibration of these melt rates based on oceanic conditions taken outside of ice shelf cavities and the ice sheet dynamic response to these oceanic changes. Results under RCP 2.6 scenario based on two CMIP5 climate models show an additional mass loss of 0 and 3 cm of SLE on average compared to simulations done under present-day conditions for the two CMIP5 forcings used and display limited mass gain in East Antarctica.</t>
  </si>
  <si>
    <t>[Seroussi, Helene; Larour, Eric; Schlegel, Nicole-Jeanne] CALTECH, Jet Prop Lab, Pasadena, CA 91125 USA; [Nowicki, Sophie; Cullather, Richard; Simon, Erika] NASA, Goddard Space Flight Ctr, Greenbelt, MD USA; [Payne, Antony J.] Univ Bristol, Bristol, Avon, England; [Goelzer, Heiko; van de Wal, Roderik S. W.] Univ Utrecht, Inst Marine &amp; Atmospher Res Utrecht, Utrecht, Netherlands; [Goelzer, Heiko; Pattyn, Frank; Sun, Sainan] Univ Libre Bruxelles, Lab Glaciol, Brussels, Belgium; [Lipscomb, William H.; Leguy, Gunter R.] Natl Ctr Atmospher Res, Climate &amp; Global Dynam Lab, Boulder, CO 80307 USA; [Abe-Ouchi, Ayako] Univ Tokyo, Tokyo, Japan; [Agosta, Cecile; Dumas, Christophe; Quiquet, Aurelien] Univ Paris Saclay, Lab Sci Climat &amp; Environm, LSCE IPSL, CEA CNRS UVSQ, Gif Sur Yvette, France; [Albrecht, Torsten; Calov, Reinhard; Reese, Ronja; Winkelmann, Ricarda] Leibniz Assoc, Potsdam Inst Climate Impact Res PIK, POB 601203, D-14412 Potsdam, Germany; [Asay-Davis, Xylar; Barthel, Alice; Hoffman, Matthew J.; Price, Stephen F.; Zhang, Tong] Los Alamos Natl Lab, Theoret Div, Los Alamos, NM USA; [Gladstone, Rupert] Univ Lapland, Arctic Ctr, Rovaniemi, Finland; [Golledge, Nicholas R.] Victoria Univ Wellington, Antarctic Res Ctr, Wellington, New Zealand; [Gregory, Jonathan M.; Smith, Robin S.] Univ Reading, Natl Ctr Atmospher Sci, Reading, Berks, England; [Gregory, Jonathan M.] Met Off Hadley Ctr, Exeter, Devon, England; [Greve, Ralf] Hokkaido Univ, Inst Low Temp Sci, Sapporo, Hokkaido, Japan; [Greve, Ralf] Hokkaido Univ, Arctic Res Ctr, Sapporo, Hokkaido, Japan; [Hattermann, Tore] Norwegian Polar Res Inst, Tromso, Norway; [Hattermann, Tore] Arctic Univ Univ Troms0, Dept Phys &amp; Technol, Energy &amp; Climate Grp, Tromso, Norway; [Humbert, Angelika; Kleiner, Thomas] Alfred Wegener Inst Polar &amp; Marine Res, Handelshafen 12, D-27570 Bremerhaven, Germany; [Humbert, Angelika] Univ Bremen, Dept Geosci, Klagenfurter Str 2-4, D-28334 Bremen, Germany; [Huybrechts, Philippe; Van Breedam, Jonas] Vrije Univ Brussel, Earth Syst Sci &amp; Dept Geog, Brussels, Belgium; [Jourdain, Nicolas C.] Univ Grenoble Alpes, Inst Geosci Environm, CNRS, IRD,G INP, Grenoble, France; [Lowry, Daniel P.] GNS Sci, Lower Hutt, New Zealand; [Little, Chistopher M.] Atmospher &amp; Environm Res Inc, Lexington, MA USA; [Morlighem, Mathieu; Pelle, Tyler] Univ Calif Irvine, Dept Earth Syst Sci, Irvine, CA USA; [Shepherd, Andrew] Univ Leeds, Ctr Polar Observat &amp; Modelling, Leeds, W Yorkshire, England; [Straneo, Fiammetta] Univ Calif San Diego, Scripps Inst Oceanog, La Jolla, CA 92093 USA; [Trusel, Luke D.] Penn State Univ, Dept Geog, University Pk, PA 16802 USA; [van de Wal, Roderik S. W.] Univ Utrecht, Phys Geog, Geosci, Utrecht, Netherlands; [Winkelmann, Ricarda] Univ Potsdam, Inst Phys &amp; Astron, Karl Liebknecht Str 24-25, D-14476 Potsdam, Germany; [Zhao, Chen] Univ Tasmania, Inst Marine &amp; Antarctic Studies, Hobart, Tas, Australia; [Zwinger, Thomas] CSC IT Ctr Sci, Espoo, Finland; [Galton-Fenzi, Benjamin K.] Australian Antarctic Div, Kingston, Tas, Australia</t>
  </si>
  <si>
    <t>National Aeronautics &amp; Space Administration (NASA); NASA Jet Propulsion Laboratory (JPL); California Institute of Technology; National Aeronautics &amp; Space Administration (NASA); NASA Goddard Space Flight Center; University of Bristol; Utrecht University; Universite Libre de Bruxelles; National Center Atmospheric Research (NCAR) - USA; University of Tokyo; CEA; Centre National de la Recherche Scientifique (CNRS); Universite Paris Saclay; Universite Paris Cite; Potsdam Institut fur Klimafolgenforschung; United States Department of Energy (DOE); Los Alamos National Laboratory; University of Lapland; Victoria University Wellington; UK Research &amp; Innovation (UKRI); Natural Environment Research Council (NERC); NERC National Centre for Atmospheric Science; University of Reading; Met Office - UK; Hadley Centre; Hokkaido University; Hokkaido University; Norwegian Polar Institute; Helmholtz Association; Alfred Wegener Institute, Helmholtz Centre for Polar &amp; Marine Research; University of Bremen; Vrije Universiteit Brussel; Communaute Universite Grenoble Alpes; Universite Grenoble Alpes (UGA); Centre National de la Recherche Scientifique (CNRS); Institut de Recherche pour le Developpement (IRD); GNS Science - New Zealand; Atmospheric &amp; Environmental Research; University of California System; University of California Irvine; University of California System; University of California San Diego; Scripps Institution of Oceanography; Pennsylvania Commonwealth System of Higher Education (PCSHE); Pennsylvania State University; Pennsylvania State University - University Park; Utrecht University; University of Potsdam; University of Tasmania; Australian Antarctic Division</t>
  </si>
  <si>
    <t>Seroussi, H (corresponding author), CALTECH, Jet Prop Lab, Pasadena, CA 91125 USA.</t>
  </si>
  <si>
    <t>helene.seroussi@jpl.nasa.gov</t>
  </si>
  <si>
    <t>Quiquet, Aurélien/P-6180-2014; Barthel, Alice/AHE-2973-2022; Agosta, Cécile/HLQ-5577-2023; Zhang, Tong/HJG-9501-2022; Trusel, Luke D/E-2578-2013; Zhao, Chen/S-2693-2019; Morlighem, Mathieu/O-9942-2014; Lipscomb, William/AAR-8668-2021; albrecht, torsten/J-8259-2019; Seroussi, Helene/AAX-5342-2021; Abe-Ouchi, Ayako A/M-6359-2013; Pattyn, Frank/AAA-9640-2019; Gladstone, Rupert M/C-1086-2013; Jourdain, Nicolas C/B-6899-2015; van de wal, roderik/D-1705-2011; Kleiner, Thomas/F-6821-2015; Gregory, Jonathan/J-2939-2016; Goelzer, Heiko/M-2367-2016; Huybrechts, Philippe/J-5278-2013; payne, antony/A-8916-2008; Agosta, Cecile/B-9625-2013; Zwinger, Thomas/H-5163-2018; Greve, Ralf/G-2336-2010; Price, Stephen/E-1568-2013</t>
  </si>
  <si>
    <t>Quiquet, Aurélien/0000-0001-6207-3043; Barthel, Alice/0000-0002-2481-8646; Zhao, Chen/0000-0003-0368-1334; Morlighem, Mathieu/0000-0001-5219-1310; albrecht, torsten/0000-0001-7459-2860; Seroussi, Helene/0000-0001-9201-1644; Abe-Ouchi, Ayako A/0000-0003-1745-5952; Pattyn, Frank/0000-0003-4805-5636; van de wal, roderik/0000-0003-2543-3892; Kleiner, Thomas/0000-0001-7825-5765; Gregory, Jonathan/0000-0003-1296-8644; Goelzer, Heiko/0000-0002-5878-9599; Asay-Davis, Xylar/0000-0002-1990-892X; Huybrechts, Philippe/0000-0003-1406-0525; Reese, Ronja/0000-0001-7625-040X; Straneo, Fiammetta/0000-0002-1735-2366; payne, antony/0000-0001-8825-8425; Agosta, Cecile/0000-0003-4091-1653; Lipscomb, William/0000-0002-7100-3730; Humbert, Angelika/0000-0002-0244-8760; Golledge, Nicholas/0000-0001-7676-8970; Zwinger, Thomas/0000-0003-3360-4401; Leguy, Gunter/0000-0002-9963-8076; Greve, Ralf/0000-0002-1341-4777; Van Breedam, Jonas/0000-0003-1504-9520; Price, Stephen/0000-0001-6878-2553</t>
  </si>
  <si>
    <t>U.S. Department of Energy, Office of Science, the Netherlands Earth System Science Centre [024.002.001]; Academy of Finland [286587, 322430]; Australian Research Council [SR140300001]; Agence Nationale de la Recherche [ANR-15-CE01-0005-01]; European Commission (TiPACCs grant) [820575]; Research Foundation - Flanders; Japan Society for the Promotion of Science [JP16H02224, JP17H06104, JP17H06323]; New Zealand Ministry of Business Innovation and Employment [RTVU1705]; German Federal Ministry of Education and Research; Office of Polar Programs [1739031]; National Science Foundation [1603799, 1644277, 1852977, 1916566]; National Aeronautics and Space Administration [NNX17AG65G, NNX17AI03G]; Deutsche Forschungsgemeinschaft [WI4556/2-1, WI4556/31]; Norwegian Research Council [280727, 295075]; NERC [cpom30001, ncas10014, NE/T009470/1] Funding Source: UKRI; Directorate For Geosciences [1739031] Funding Source: National Science Foundation; Office of Polar Programs (OPP) [1739031] Funding Source: National Science Foundation; Agence Nationale de la Recherche (ANR) [ANR-15-CE01-0005] Funding Source: Agence Nationale de la Recherche (ANR); Academy of Finland (AKA) [322430, 286587] Funding Source: Academy of Finland (AKA); New Zealand Ministry of Business, Innovation &amp; Employment (MBIE) [RTVU1705] Funding Source: New Zealand Ministry of Business, Innovation &amp; Employment (MBIE)</t>
  </si>
  <si>
    <t>U.S. Department of Energy, Office of Science, the Netherlands Earth System Science Centre(United States Department of Energy (DOE)); Academy of Finland(Research Council of Finland); Australian Research Council(Australian Research Council); Agence Nationale de la Recherche(Agence Nationale de la Recherche (ANR)); European Commission (TiPACCs grant); Research Foundation - Flanders(FWO); Japan Society for the Promotion of Science(Ministry of Education, Culture, Sports, Science and Technology, Japan (MEXT)Japan Society for the Promotion of Science); New Zealand Ministry of Business Innovation and Employment(New Zealand Ministry of Business, Innovation and Employment (MBIE)); German Federal Ministry of Education and Research(Federal Ministry of Education &amp; Research (BMBF)); Office of Polar Programs(National Science Foundation (NSF)NSF - Directorate for Geosciences (GEO)); National Science Foundation(National Science Foundation (NSF)); National Aeronautics and Space Administration(National Aeronautics &amp; Space Administration (NASA)); Deutsche Forschungsgemeinschaft(German Research Foundation (DFG)); Norwegian Research Council(Research Council of Norway); NERC(UK Research &amp; Innovation (UKRI)Natural Environment Research Council (NERC)); Directorate For Geosciences(National Science Foundation (NSF)NSF - Directorate for Geosciences (GEO)); Office of Polar Programs (OPP)(National Science Foundation (NSF)NSF - Directorate for Geosciences (GEO)); Agence Nationale de la Recherche (ANR)(Agence Nationale de la Recherche (ANR)); Academy of Finland (AKA)(Research Council of Finland); New Zealand Ministry of Business, Innovation &amp; Employment (MBIE)(New Zealand Ministry of Business, Innovation and Employment (MBIE))</t>
  </si>
  <si>
    <t>This research has been supported by the U.S. Department of Energy, Office of Science, the Netherlands Earth System Science Centre (grant no. 024.002.001), the Academy of Finland (grant nos. 286587 and 322430), the Australian Research Council (grant no. SR140300001), the Agence Nationale de la Recherche (grant no. ANR-15-CE01-0005-01), the European Commission (TiPACCs grant no. 820575), the Research Foundation -Flanders, the Japan Society for the Promotion of Science (grant nos. JP16H02224, JP17H06104 and JP17H06323), the New Zealand Ministry of Business Innovation and Employment (grant no. RTVU1705), the German Federal Ministry of Education and Research, the Office of Polar Programs (grant no. 1739031), the National Science Foundation (grant nos. 1603799, 1644277,1852977, and 1916566), the National Aeronautics and Space Administration (grant nos. NNX17AG65G and NNX17AI03G), the Deutsche Forschungsgemeinschaft (grant nos. WI4556/2-1 and WI4556/31), and the Norwegian Research Council (grant nos. 280727 and 295075).</t>
  </si>
  <si>
    <t>10.5194/tc-14-3033-2020</t>
  </si>
  <si>
    <t>Green Accepted, Green Submitted, Green Published, gold</t>
  </si>
  <si>
    <t>WOS:000572935000001</t>
  </si>
  <si>
    <t>Goelzer, H; Nowicki, S; Payne, A; Larour, E; Seroussi, H; Lipscomb, WH; Gregory, J; Abe-Ouchi, A; Shepherd, A; Simon, E; Agosta, C; Alexander, P; Aschwanden, A; Barthel, A; Calov, R; Chambers, C; Choi, Y; Cuzzone, J; Dumas, C; Edwards, T; Felikson, D; Fettweis, X; Golledge, NR; Greve, R; Humbert, A; Huybrechts, P; Le Clec'h, S; Lee, V; Leguy, G; Little, C; Lowry, DP; Morlighem, M; Nias, I; Quiquet, A; Rückamp, M; Schlegel, NJ; Slater, DA; Smith, RS; Straneo, F; Tarasov, L; van de Wal, R; van den Broeke, M</t>
  </si>
  <si>
    <t>Goelzer, Heiko; Nowicki, Sophie; Payne, Anthony; Larour, Eric; Seroussi, Helene; Lipscomb, William H.; Gregory, Jonathan; Abe-Ouchi, Ayako; Shepherd, Andrew; Simon, Erika; Agosta, Cecile; Alexander, Patrick; Aschwanden, Andy; Barthel, Alice; Calov, Reinhard; Chambers, Christopher; Choi, Youngmin; Cuzzone, Joshua; Dumas, Christophe; Edwards, Tamsin; Felikson, Denis; Fettweis, Xavier; Golledge, Nicholas R.; Greve, Ralf; Humbert, Angelika; Huybrechts, Philippe; Le Clec'h, Sebastien; Lee, Victoria; Leguy, Gunter; Little, Chris; Lowry, Daniel P.; Morlighem, Mathieu; Nias, Isabel; Quiquet, Aurelien; Rueckamp, Martin; Schlegel, Nicole-Jeanne; Slater, Donald A.; Smith, Robin S.; Straneo, Fiamma; Tarasov, Lev; van de Wal, Roderik; van den Broeke, Michiel</t>
  </si>
  <si>
    <t>The future sea-level contribution of the Greenland ice sheet: a multi-model ensemble study of ISMIP6</t>
  </si>
  <si>
    <t>SURFACE MASS-BALANCE; ELEVATION FEEDBACK; GROUNDING LINE; WEST GREENLAND; CLIMATE MODELS; FLOW; PARAMETERIZATION; PROJECTIONS; GLACIERS; IMPACT</t>
  </si>
  <si>
    <t>The Greenland ice sheet is one of the largest contributors to global mean sea-level rise today and is expected to continue to lose mass as the Arctic continues to warm. The two predominant mass loss mechanisms are increased surface meltwater run-off and mass loss associated with the retreat of marine-terminating outlet glaciers. In this paper we use a large ensemble of Greenland ice sheet models forced by output from a representative subset of the Coupled Model Intercomparison Project (CMIP5) global climate models to project ice sheet changes and sea-level rise contributions over the 21st century. The simulations are part of the Ice Sheet Model Intercomparison Project for CMIP6 (ISMIP6). We estimate the sea-level contribution together with uncertainties due to future climate forcing, ice sheet model formulations and ocean forcing for the two greenhouse gas concentration scenarios RCP8.5 and RCP2.6. The results indicate that the Greenland ice sheet will continue to lose mass in both scenarios until 2100, with contributions of 90 +/- 50 and 32 +/- 17mm to sea-level rise for RCP8.5 and RCP2.6, respectively. The largest mass loss is expected from the south-west of Greenland, which is governed by surface mass balance changes, continuing what is already observed today. Because the contributions are calculated against an unforced control experiment, these numbers do not include any committed mass loss, i.e. mass loss that would occur over the coming century if the climate forcing remained constant. Under RCP8.5 forcing, ice sheet model uncertainty explains an ensemble spread of 40 mm, while climate model uncertainty and ocean forcing uncertainty account for a spread of 36 and 19 mm, respectively. Apart from those formally derived uncertainty ranges, the largest gap in our knowledge is about the physical understanding and implementation of the calving process, i.e. the interaction of the ice sheet with the ocean.</t>
  </si>
  <si>
    <t>[Goelzer, Heiko; van de Wal, Roderik; van den Broeke, Michiel] Univ Utrecht, Inst Marine &amp; Atmospher Res Utrecht, Utrecht, Netherlands; [Goelzer, Heiko] Univ Libre Bruxelles, Lab Glaciol, Brussels, Belgium; [Nowicki, Sophie; Simon, Erika; Felikson, Denis; Nias, Isabel] NASA, Cryospher Sci Lab, Goddard Space Flight Ctr, Greenbelt, MD 20771 USA; [Payne, Anthony; Lee, Victoria] Univ Bristol, Ctr Polar Observat &amp; Modelling, Sch Geog Sci, Bristol, Avon, England; [Larour, Eric; Seroussi, Helene; Choi, Youngmin; Schlegel, Nicole-Jeanne] CALTECH, Jet Prop Lab, Pasadena, CA 91109 USA; [Lipscomb, William H.; Leguy, Gunter] Natl Ctr Atmospher Res, Climate &amp; Global Dynam Lab, Boulder, CO 80305 USA; [Gregory, Jonathan; Smith, Robin S.] Univ Reading, Natl Ctr Atmospher Sci, Reading, Berks, England; [Gregory, Jonathan] Met Off, Hadley Ctr, Exeter, Devon, England; [Abe-Ouchi, Ayako] Univ Tokyo, Atmosphere &amp; Ocean Res Inst, Kashiwa, Chiba 2778564, Japan; [Shepherd, Andrew] Univ Leeds, Ctr Polar Observat &amp; Modelling, Leeds LS2 9JT, W Yorkshire, England; [Agosta, Cecile; Dumas, Christophe; Quiquet, Aurelien] Univ Paris Saclay, Lab Sci Climat &amp; Environm, LSCE IPSL, CEA,CNRS,UVSQ, F-91191 Gif Sur Yvette, France; [Alexander, Patrick] Columbia Univ, Lamont Doherty Earth Observ, Palisades, NY 10964 USA; [Alexander, Patrick] NASA, Goddard Inst Space Studies, New York, NY 10025 USA; [Aschwanden, Andy] Univ Alaska, Geophys Inst, Fairbanks, AK 99775 USA; [Barthel, Alice] Los Alamos Natl Lab, Los Alamos, NM 87545 USA; [Calov, Reinhard] Potsdam Inst Climate Impact Res, Potsdam, Germany; [Chambers, Christopher; Greve, Ralf] Hokkaido Univ, Inst Low Temp Sci, Sapporo, Hokkaido, Japan; [Choi, Youngmin; Cuzzone, Joshua; Morlighem, Mathieu] Univ Calif Irvine, Dept Earth Syst Sci, Irvine, CA 92697 USA; [Edwards, Tamsin] Kings Coll London, Dept Geog, London, England; [Fettweis, Xavier] Univ Liege, Dept Geog, SPHERES Res Unit, Lab Climatol, Liege, Belgium; [Golledge, Nicholas R.] Victoria Univ Wellington, Antarctic Res Ctr, Wellington, New Zealand; [Greve, Ralf] Hokkaido Univ, Arctic Res Ctr, Sapporo, Hokkaido, Japan; [Humbert, Angelika; Rueckamp, Martin] Alfred Wegener Inst Helmholtz Zentrum Polar Meere, Bremerhaven, Germany; [Humbert, Angelika] Univ Bremen, Fac Geosci, Bremen, Germany; [Huybrechts, Philippe; Le Clec'h, Sebastien] Vrije Univ Brussel, Earth Syst Sci, Brussels, Belgium; [Huybrechts, Philippe; Le Clec'h, Sebastien] Vrije Univ Brussel, Dept Geog, Brussels, Belgium; [Little, Chris] Atmospher &amp; Environm Res Inc, Lexington, MA 02421 USA; [Lowry, Daniel P.] GNS Sci, Lower Hutt, New Zealand; [Nias, Isabel] Univ Maryland, Earth Syst Sci Interdisciplinary Ctr, College Pk, MD 20740 USA; [Slater, Donald A.; Straneo, Fiamma] Univ Calif San Diego, Scripps Inst Oceanog, La Jolla, CA 92037 USA; [Tarasov, Lev] Mem Univ Newfoundland, Dept Phys &amp; Phys Oceanog, St John, NF, Canada; [van de Wal, Roderik] Univ Utrecht, Phys Geog, Geosci, Utrecht, Netherlands; [Goelzer, Heiko] NORCE Norwegian Res Ctr, Bjerknes Ctr Climate Res, Bergen, Norway; [Nias, Isabel] Univ Liverpool, Sch Environm Sci, Dept Geog &amp; Planning, Liverpool, Merseyside, England; [Slater, Donald A.] Univ St Andrews, Sch Geog &amp; Sustainable Dev, St Andrews, Fife, Scotland</t>
  </si>
  <si>
    <t>Utrecht University; Universite Libre de Bruxelles; National Aeronautics &amp; Space Administration (NASA); NASA Goddard Space Flight Center; University of Bristol; California Institute of Technology; National Aeronautics &amp; Space Administration (NASA); NASA Jet Propulsion Laboratory (JPL); National Center Atmospheric Research (NCAR) - USA; University of Reading; UK Research &amp; Innovation (UKRI); Natural Environment Research Council (NERC); NERC National Centre for Atmospheric Science; Met Office - UK; Hadley Centre; University of Tokyo; University of Leeds; CEA; Centre National de la Recherche Scientifique (CNRS); Universite Paris Saclay; Universite Paris Cite; Columbia University; National Aeronautics &amp; Space Administration (NASA); NASA Goddard Space Flight Center; Goddard Institute for Space Studies; University of Alaska System; University of Alaska Fairbanks; United States Department of Energy (DOE); Los Alamos National Laboratory; Potsdam Institut fur Klimafolgenforschung; Hokkaido University; University of California System; University of California Irvine; University of London; King's College London; University of Liege; Victoria University Wellington; Hokkaido University; Helmholtz Association; Alfred Wegener Institute, Helmholtz Centre for Polar &amp; Marine Research; University of Bremen; Vrije Universiteit Brussel; Vrije Universiteit Brussel; Atmospheric &amp; Environmental Research; GNS Science - New Zealand; University System of Maryland; University of Maryland College Park; University of California System; University of California San Diego; Scripps Institution of Oceanography; Memorial University Newfoundland; Utrecht University; Norwegian Research Centre (NORCE); Bjerknes Centre for Climate Research; University of Liverpool; University of St Andrews</t>
  </si>
  <si>
    <t>Goelzer, H (corresponding author), Univ Utrecht, Inst Marine &amp; Atmospher Res Utrecht, Utrecht, Netherlands.;Goelzer, H (corresponding author), Univ Libre Bruxelles, Lab Glaciol, Brussels, Belgium.;Goelzer, H (corresponding author), NORCE Norwegian Res Ctr, Bjerknes Ctr Climate Res, Bergen, Norway.</t>
  </si>
  <si>
    <t>heig@norceresearch.no</t>
  </si>
  <si>
    <t>Gregory, Jonathan/J-2939-2016; Agosta, Cécile/HLQ-5577-2023; Barthel, Alice/AHE-2973-2022; Van den Broeke, Michiel R./F-7867-2011; Morlighem, Mathieu/O-9942-2014; Quiquet, Aurélien/P-6180-2014; van de wal, roderik/D-1705-2011; Seroussi, Helene/AAX-5342-2021; Lipscomb, William/AAR-8668-2021; Felikson, Denis/M-2397-2016; Goelzer, Heiko/M-2367-2016; Abe-Ouchi, Ayako A/M-6359-2013; Agosta, Cecile/B-9625-2013; Huybrechts, Philippe/J-5278-2013; payne, antony/A-8916-2008; Greve, Ralf/G-2336-2010</t>
  </si>
  <si>
    <t>Gregory, Jonathan/0000-0003-1296-8644; Barthel, Alice/0000-0002-2481-8646; Van den Broeke, Michiel R./0000-0003-4662-7565; Morlighem, Mathieu/0000-0001-5219-1310; Quiquet, Aurélien/0000-0001-6207-3043; van de wal, roderik/0000-0003-2543-3892; Seroussi, Helene/0000-0001-9201-1644; Felikson, Denis/0000-0002-3785-5112; Goelzer, Heiko/0000-0002-5878-9599; Abe-Ouchi, Ayako A/0000-0003-1745-5952; Agosta, Cecile/0000-0003-4091-1653; Straneo, Fiammetta/0000-0002-1735-2366; Lipscomb, William/0000-0002-7100-3730; Huybrechts, Philippe/0000-0003-1406-0525; Fettweis, Xavier/0000-0002-4140-3813; Edwards, Tamsin/0000-0002-4760-4704; Golledge, Nicholas/0000-0001-7676-8970; payne, antony/0000-0001-8825-8425; Humbert, Angelika/0000-0002-0244-8760; Slater, Donald/0000-0001-8394-6149; Greve, Ralf/0000-0002-1341-4777; Leguy, Gunter/0000-0002-9963-8076; Nias, Isabel/0000-0002-5657-8691; Ruckamp, Martin/0000-0003-2512-7238</t>
  </si>
  <si>
    <t>programme of the Netherlands Earth System Science Centre (NESSC) - Dutch Ministry of Education, Culture and Science (OCW) [024.002.001]; National Center for Atmospheric Research - National Science Foundation [1852977]; US Department of Energy (DOE) Office of Science Regional and Global Model Analysis (RGMA) component of the Earth and Environmental System Modeling (EESM) programme (HiLAT-RASM project); DOE Office of Science (Biological and Environmental Research) Early Career Research programme; iceMOD project - Research Foundation - Flanders (FWO-Vlaanderen); Japan Society for the Promotion of Science (JSPS) KAKENHI [JP16H02224, JP17H06104]; Arctic Challenge for Sustainability (ArCS) project of the Japanese Ministry of Education, Culture, Sports, Science and Technology (MEXT) [JPMXD1300000000]; Bundesministerium fur Bildung und Forschung (BMBF) [PalMod-1.1, PalMod-1.3]; New Zealand Ministry of Business Innovation and Employment [RTVU1705]; Helmholtz Climate Initiative REKLIM (Regional Climate Change); DKRZ HPC system Mistral [ab1073]; National Centre for Atmospheric Science - UK National Environment Research Council; National Aeronautics and Space Administration; Jet Propulsion Laboratory Research Technology and Development programme; NASA programme Cryosphere Sciences; NASA programme Sea Level Change Team; and Modeling, Analysis, and Prediction; National Science Foundation's ARCSS programme [1504230]; NASA Earth and Space Science Fellowship programme [80NSSC17K0409]; NSF; New Zealand Ministry of Business, Innovation &amp; Employment (MBIE) [RTVU1705] Funding Source: New Zealand Ministry of Business, Innovation &amp; Employment (MBIE); NERC [ncas10014, cpom30001, NE/T009470/1] Funding Source: UKRI; Directorate For Geosciences [1504230] Funding Source: National Science Foundation; Office of Polar Programs (OPP) [1504230] Funding Source: National Science Foundation</t>
  </si>
  <si>
    <t>programme of the Netherlands Earth System Science Centre (NESSC) - Dutch Ministry of Education, Culture and Science (OCW); National Center for Atmospheric Research - National Science Foundation; US Department of Energy (DOE) Office of Science Regional and Global Model Analysis (RGMA) component of the Earth and Environmental System Modeling (EESM) programme (HiLAT-RASM project)(United States Department of Energy (DOE)); DOE Office of Science (Biological and Environmental Research) Early Career Research programme(United States Department of Energy (DOE)); iceMOD project - Research Foundation - Flanders (FWO-Vlaanderen)(FWO); Japan Society for the Promotion of Science (JSPS) KAKENHI(Ministry of Education, Culture, Sports, Science and Technology, Japan (MEXT)Japan Society for the Promotion of ScienceGrants-in-Aid for Scientific Research (KAKENHI)); Arctic Challenge for Sustainability (ArCS) project of the Japanese Ministry of Education, Culture, Sports, Science and Technology (MEXT); Bundesministerium fur Bildung und Forschung (BMBF)(Federal Ministry of Education &amp; Research (BMBF)); New Zealand Ministry of Business Innovation and Employment(New Zealand Ministry of Business, Innovation and Employment (MBIE)); Helmholtz Climate Initiative REKLIM (Regional Climate Change); DKRZ HPC system Mistral; National Centre for Atmospheric Science - UK National Environment Research Council; National Aeronautics and Space Administration(National Aeronautics &amp; Space Administration (NASA)); Jet Propulsion Laboratory Research Technology and Development programme; NASA programme Cryosphere Sciences; NASA programme Sea Level Change Team; and Modeling, Analysis, and Prediction; National Science Foundation's ARCSS programme; NASA Earth and Space Science Fellowship programme; NSF(National Science Foundation (NSF)); New Zealand Ministry of Business, Innovation &amp; Employment (MBIE)(New Zealand Ministry of Business, Innovation and Employment (MBIE)); NERC(UK Research &amp; Innovation (UKRI)Natural Environment Research Council (NERC)); Directorate For Geosciences(National Science Foundation (NSF)NSF - Directorate for Geosciences (GEO)); Office of Polar Programs (OPP)(National Science Foundation (NSF)NSF - Directorate for Geosciences (GEO))</t>
  </si>
  <si>
    <t>Heiko Goelzer has received funding from the programme of the Netherlands Earth System Science Centre (NESSC), financially supported by the Dutch Ministry of Education, Culture and Science (OCW), under grant no. 024.002.001. For NCAR-CISM this material is based upon work supported by the National Center for Atmospheric Research, which is a major facility sponsored by the National Science Foundation under cooperative agreement no. 1852977. Computing and data storage resources, including the Cheyenne supercomputer (https://doi.org/10.5065/D6RX99HX), were provided by the Computational and Information Systems Laboratory (CISL) at NCAR. Alice Barthel was supported by the US Department of Energy (DOE) Office of Science Regional and Global Model Analysis (RGMA) component of the Earth and Environmental System Modeling (EESM) programme (HiLAT-RASM project) and the DOE Office of Science (Biological and Environmental Research) Early Career Research programme. Philippe Huybrechts and Sebastien Le clec'h acknowledge support from the iceMOD project funded by the Research Foundation - Flanders (FWO-Vlaanderen). Ralf Greve and Chris Chambers were supported by the Japan Society for the Promotion of Science (JSPS) KAKENHI (grant no. JP16H02224). Ralf Greve was supported by JSPS KAKENHI (grant no. JP17H06104) and by the Arctic Challenge for Sustainability (ArCS) project of the Japanese Ministry of Education, Culture, Sports, Science and Technology (MEXT) under programme grant no. JPMXD1300000000. Reinhard Calov was funded by the Bundesministerium fur Bildung und Forschung (BMBF; grants PalMod-1.1 and PalMod-1.3). Support for Nicholas Golledge and Daniel Lowry was provided by the New Zealand Ministry of Business Innovation and Employment (contract RTVU1705). Martin Ruckamp received support from the Helmholtz Climate Initiative REKLIM (Regional Climate Change). The AWI-ISSM simulations were run on the DKRZ HPC system Mistral under grant ab1073. Jonathan Gregory and Robin S. Smith were supported by the National Centre for Atmospheric Science, funded by the UK National Environment Research Council. Work was performed by Nicole Schlegel and Helene Seroussi at the Jet Propulsion Laboratory, California Institute of Technology, under a contract with the National Aeronautics and Space Administration. Funding was provided by grants from the Jet Propulsion Laboratory Research Technology and Development programme. Sophie Nowicki, Erika Simon, Isabel Nias, Helene Seroussi and Nicole Schlegel were supported by the NASA programmes Cryosphere Sciences; Sea Level Change Team; and Modeling, Analysis, and Prediction. Mathieu Morlighem and Joshua Cuzzone were funded by the National Science Foundation's ARCSS programme (grant no. 1504230). Youngmin Choi was supported by the NASA Earth and Space Science Fellowship programme grant (grant no. 80NSSC17K0409). Denis Felikson was supported by an appointment to the NASA Postdoctoral Program at the NASA Goddard Space Flight Center, administered by Universities Space Research Association under contract with NASA. Fiammetta Straneo and Donald A. Slater received support from the NSF.</t>
  </si>
  <si>
    <t>10.5194/tc-14-3071-2020</t>
  </si>
  <si>
    <t>WOS:000572935000002</t>
  </si>
  <si>
    <t>Muñoz-Ramírez, CP; Barnes, DKA; Cárdenas, L; Meredith, MP; Morley, SA; Roman-Gonzalez, A; Sands, CJ; Scourse, J; Brante, A</t>
  </si>
  <si>
    <t>Munoz-Ramirez, Carlos P.; Barnes, David K. A.; Cardenas, Leyla; Meredith, Michael P.; Morley, Simon A.; Roman-Gonzalez, Alejandro; Sands, Chester J.; Scourse, James; Brante, Antonio</t>
  </si>
  <si>
    <t>Gene flow in the Antarctic bivalveAequiyoldia eightsii(Jay, 1839) suggests a role for the Antarctic Peninsula Coastal Current in larval dispersal</t>
  </si>
  <si>
    <t>assymetrical migration; Antarctic Peninsula Coastal Current; NexTRAD</t>
  </si>
  <si>
    <t>DRAKE PASSAGE; INFERENCE</t>
  </si>
  <si>
    <t>The Antarctic Circumpolar Current (ACC) dominates the open-ocean circulation of the Southern Ocean, and both isolates and connects the Southern Ocean biodiversity. However, the impact on biological processes of other Southern Ocean currents is less clear. Adjacent to the West Antarctic Peninsula (WAP), the ACC flows offshore in a northeastward direction, whereas the Antarctic Peninsula Coastal Current (APCC) follows a complex circulation pattern along the coast, with topographically influenced deflections depending on the area. Using genomic data, we estimated genetic structure and migration rates between populations of the benthic bivalveAequiyoldia eightsiifrom the shallows of southern South America and the WAP to test the role of the ACC and the APCC in its dispersal. We found strong genetic structure across the ACC (between southern South America and Antarctica) and moderate structure between populations of the WAP. Migration rates along the WAP were consistent with the APCC being important for species dispersal. Along with supporting current knowledge about ocean circulation models at the WAP, migration from the tip of the Antarctic Peninsula to the Bellingshausen Sea highlights the complexities of Southern Ocean circulation. This study provides novel biological evidence of a role of the APCC as a driver of species dispersal and highlights the power of genomic data for aiding in the understanding of the influence of complex oceanographic processes in shaping the population structure of marine species.</t>
  </si>
  <si>
    <t>[Munoz-Ramirez, Carlos P.] Univ Metropolitana Ciencias Educ, Fac Ciencias Bas, Inst Entomol, Santiago, Chile; [Munoz-Ramirez, Carlos P.; Brante, Antonio] Univ Catolica Santisima Concepcion, Fac Ciencias, Concepcion, Chile; [Munoz-Ramirez, Carlos P.; Brante, Antonio] Univ Catolica Santisima Concepcion, Ctr Invest Biodiversidad &amp; Ambientes Sustentables, Concepcion, Chile; [Barnes, David K. A.; Meredith, Michael P.; Morley, Simon A.; Sands, Chester J.] NERC, British Antarctic Survey, Cambridge, England; [Cardenas, Leyla] Univ Austral Chile, Fac Ciencias, Ctr FONDAP Invest Dinam Ecosistemas Matins Altas, Inst Ciencias Ambientales &amp; Evolut, Valdivia, Chile; [Roman-Gonzalez, Alejandro; Scourse, James] Univ Exeter, Coll Life &amp; Environm Sci, Penryn TR10 9EZ, Cornwall, England</t>
  </si>
  <si>
    <t>Universidad Metropolitana de Ciencias de la Educacion (UMCE); Universidad Catolica de la Santisima Concepcion; Universidad Catolica de la Santisima Concepcion; UK Research &amp; Innovation (UKRI); Natural Environment Research Council (NERC); NERC British Antarctic Survey; Universidad Austral de Chile; University of Exeter</t>
  </si>
  <si>
    <t>Muñoz-Ramírez, CP (corresponding author), Univ Metropolitana Ciencias Educ, Fac Ciencias Bas, Inst Entomol, Santiago, Chile.;Muñoz-Ramírez, CP; Brante, A (corresponding author), Univ Catolica Santisima Concepcion, Fac Ciencias, Concepcion, Chile.;Muñoz-Ramírez, CP; Brante, A (corresponding author), Univ Catolica Santisima Concepcion, Ctr Invest Biodiversidad &amp; Ambientes Sustentables, Concepcion, Chile.</t>
  </si>
  <si>
    <t>carlos.munoz@ucsc.cl; abrante@ucsc.cl</t>
  </si>
  <si>
    <t>Muñoz-Ramirez, Carlos/F-8969-2012; Cardenas, Leyla/AAY-5671-2020</t>
  </si>
  <si>
    <t>Muñoz-Ramirez, Carlos/0000-0003-1348-5476; Cardenas, Leyla/0000-0003-0676-6704; Meredith, Michael/0000-0002-7342-7756; Sands, Chester/0000-0003-1028-0328; Morley, Simon/0000-0002-7761-660X; Barnes, David/0000-0002-9076-7867; Brante, Antonio/0000-0002-2699-9700; Roman Gonzalez, Alejandro/0000-0002-0801-3768</t>
  </si>
  <si>
    <t>international collaborative project (ICEBERGs); Agencia Nacional de Investigacion y Desarrollo (ANID): CONICYT-NERC [PII20150078]; Fondecyt [1170598, 3180331]; Instituto Antartico Chileno (INACH); NERC [NE/P003087/1, NE/P003060/1, bas0100036, bas0100033] Funding Source: UKRI</t>
  </si>
  <si>
    <t>international collaborative project (ICEBERGs); Agencia Nacional de Investigacion y Desarrollo (ANID): CONICYT-NERC; Fondecyt(Comision Nacional de Investigacion Cientifica y Tecnologica (CONICYT)CONICYT FONDECYT); Instituto Antartico Chileno (INACH); NERC(UK Research &amp; Innovation (UKRI)Natural Environment Research Council (NERC))</t>
  </si>
  <si>
    <t>This research was supported by an international collaborative project (ICEBERGs), and the following Chilean grants funded by Agencia Nacional de Investigacion y Desarrollo (ANID): CONICYT-NERC (grant no. PII20150078) and Fondecyt (grant no. 1170598) to A.B. and FONDECYT postdoctorado (grant no. 3180331) to C.P.M.-R. Acknowledgements. We thank the crew of the RRS James Clark Ross for their valuable assistance in the field and to Instituto Antartico Chileno (INACH) for permits and sponsoring the project.</t>
  </si>
  <si>
    <t>SEP 16</t>
  </si>
  <si>
    <t>10.1098/rsos.200603</t>
  </si>
  <si>
    <t>NU3NO</t>
  </si>
  <si>
    <t>WOS:000573549100001</t>
  </si>
  <si>
    <t>Lu, H; Jia, J; Yin, QZ; Xia, DS; Gao, FY; Liu, H; Fan, YJ; Li, ZJ; Wang, X; Berger, A; Oimuhammadzoda, I; Gadoev, M</t>
  </si>
  <si>
    <t>Lu, Hao; Jia, Jia; Yin, Qiuzhen; Xia, Dunsheng; Gao, Fuyuan; Liu, Hao; Fan, Yijiao; Li, Zaijun; Wang, Xin; Berger, Andre; Oimuhammadzoda, Ilhomjon; Gadoev, Mustafo</t>
  </si>
  <si>
    <t>Atmospheric Dynamics Patterns in Southern Central Asia Since 800 ka Revealed by Loess-Paleosol Sequences in Tajikistan</t>
  </si>
  <si>
    <t>ARID CENTRAL-ASIA; INDIAN-SUMMER MONSOON; OF-PHASE RELATIONSHIP; GRAIN-SIZE; NORTHERN CHINA; MAGNETIC-SUSCEPTIBILITY; ANTARCTIC CLIMATE; ICE-VOLUME; EAST; VARIABILITY</t>
  </si>
  <si>
    <t>The atmospheric mechanisms responsible for the loess grain-size variations in central Asia are less clear, and an increasing number of studies have found that the coarse-grained component is likely supplied by the surface circulation rather than by the westerlies (westerlies circulation). In this study, we attempt to determine the atmospheric dynamics patterns in the Afghan-Tajik Basin during the past 800 kyr, based on the coarse grain-size fraction of loess, combined with a study of modern dust transport processes. We suggest that the coarse grain-size fraction can be used to indicate the intensity of near-surface winds, while on glacial-interglacial time scales, the variations of loess grain size in Tajikistan are dominated by Northern Hemisphere ice volume via its effect on the strength of the Siberian High. In addition, we suggest that atmospheric greenhouse gases concentration affected the loess grain size during interglacials via their influence on the temperature of southern high latitudes. Plain Language Summary Arid central Asia (ACA) is an important area of eolian dust emission and deposition. The Tajikistan loess sequences arc the oldest loess deposits found so far in central Asia and are an important archive of information about the development of climate and atmospheric circulation in central Asia. However, the implications of grain-size variations of the central Asian loess for climate change and atmospheric dust transport are controversial. Based on the coarse (&gt;25 mu m) grain-size fraction of loess, combined with a study of modern dust transport, we find that the variations of the grain size of the Tajikistan loess on glacial-interglacial time scales were dominated by changes in Northern Hemisphere ice volume (NIIIV) during the last 800 kyr. However, atmospheric greenhouse gases (GIIGs) concentrations may affect the loess grain size during interglacials via their influence on the temperature of southern high latitudes, which may help us understand dust activity against the background of global warming.</t>
  </si>
  <si>
    <t>[Lu, Hao; Xia, Dunsheng; Liu, Hao; Fan, Yijiao; Li, Zaijun; Wang, Xin] Lanzhou Univ, Coll Earth &amp; Environm Sci, Minist Educ, Key Lab West Chinas Environm Syst, Lanzhou, Peoples R China; [Lu, Hao] Chinese Acad Sci, Inst Geol &amp; Geophys, Key Lab Cenozo Geol &amp; Environm, Beijing, Peoples R China; [Lu, Hao; Yin, Qiuzhen; Berger, Andre] Catholic Univ Louvain, Georges Lemattre Ctr Earth &amp; Climate Res, Earth &amp; Life Inst, Louvain La Neuve, Belgium; [Jia, Jia] Zhejiang Normal Univ, Coll Geog &amp; Environm Sci, Hangzhou, Zhejiang, Peoples R China; [Gao, Fuyuan] Lanzhou City Univ, Coll Geog &amp; Environm Engn, Lanzhou, Peoples R China; [Oimuhammadzoda, Ilhomjon; Gadoev, Mustafo] Earthquake Engn &amp; Seismol Acad Sci, Inst Geol, Dushanbe, Tajikistan</t>
  </si>
  <si>
    <t>Lanzhou University; Chinese Academy of Sciences; Institute of Geology &amp; Geophysics, CAS; Universite Catholique Louvain; Zhejiang Normal University; Lanzhou City University; Academy of Sciences of Republic of Tajikistan; Institute of Geology, Seismological Construction &amp; Seismology</t>
  </si>
  <si>
    <t>Lu, H; Xia, DS (corresponding author), Lanzhou Univ, Coll Earth &amp; Environm Sci, Minist Educ, Key Lab West Chinas Environm Syst, Lanzhou, Peoples R China.;Lu, H (corresponding author), Chinese Acad Sci, Inst Geol &amp; Geophys, Key Lab Cenozo Geol &amp; Environm, Beijing, Peoples R China.;Lu, H (corresponding author), Catholic Univ Louvain, Georges Lemattre Ctr Earth &amp; Climate Res, Earth &amp; Life Inst, Louvain La Neuve, Belgium.</t>
  </si>
  <si>
    <t>luh16@lzu.edu.cn; dsxia@lzu.edu.cn</t>
  </si>
  <si>
    <t>Zaijun, Li/JVD-8191-2023; jia, jia/JKJ-5720-2023</t>
  </si>
  <si>
    <t>Yin, Qiuzhen/0000-0002-7189-8335; Lu, Hao/0000-0003-1563-2476; Jia, Jia/0000-0002-9515-6897</t>
  </si>
  <si>
    <t>National Natural Science Foundation of China [41877444, 41888101, 41771213]; Fonds de la Recherche Scientifique-FNRS</t>
  </si>
  <si>
    <t>National Natural Science Foundation of China(National Natural Science Foundation of China (NSFC)); Fonds de la Recherche Scientifique-FNRS(Fonds de la Recherche Scientifique - FNRS)</t>
  </si>
  <si>
    <t>We thank Dr. Jan Bloemendal for critical discussion, constructive suggestions, and English improvement and Dr. Dimitris Kaskaoutis for providing data. This research was supported by the National Natural Science Foundation of China (awards 41877444, 41888101 and 41771213). Q. Z. Yin thanks the support of Fonds de la Recherche Scientifique-FNRS.</t>
  </si>
  <si>
    <t>e2020GL088320</t>
  </si>
  <si>
    <t>10.1029/2020GL088320</t>
  </si>
  <si>
    <t>NS6YY</t>
  </si>
  <si>
    <t>WOS:000572406100019</t>
  </si>
  <si>
    <t>Servettaz, APM; Orsi, AJ; Curran, MAJ; Moy, AD; Landais, A; Agosta, C; Winton, VHL; Touzeau, A; McConnell, JR; Werner, M; Baroni, M</t>
  </si>
  <si>
    <t>Servettaz, Aymeric P. M.; Orsi, Anais J.; Curran, Mark A. J.; Moy, Andrew D.; Landais, Amaelle; Agosta, Cecile; Winton, V. Holly L.; Touzeau, Alexandra; McConnell, Joseph R.; Werner, Martin; Baroni, Melanie</t>
  </si>
  <si>
    <t>Snowfall and Water Stable Isotope Variability in East Antarctica Controlled by Warm Synoptic Events</t>
  </si>
  <si>
    <t>Antarctica; climate; precipitation; water stable isotopes</t>
  </si>
  <si>
    <t>DRONNING MAUD LAND; ROSS SEA; ICE-AGE; CLIMATE; SURFACE; PRECIPITATION; FIRN; ACCUMULATION; CIRCULATION; STATION</t>
  </si>
  <si>
    <t>Understanding climate proxy records that preserve physical characteristics of past climate is a prerequisite to reconstruct long-term climatic conditions. Water stable isotope ratios (delta O-18) constitute a widely used proxy in ice cores to reconstruct temperature and climate. However, the original climate signal is altered between the formation of precipitation and the ice, especially in low-accumulation areas such as the East Antarctic Plateau. Atmospheric conditions under which the isotopic signal is acquired at Aurora Basin North (ABN), East Antarctica, are characterized with the regional atmospheric model Modele Atmospherique Regional (MAR). The model shows that 50% of the snow is accumulated in less than 24 days year(-1). Snowfall occurs throughout the year and intensifies during winter, with 64% of total accumulation between April and September, leading to a cold bias of -0.86 degrees C in temperatures above inversion compared to the annual mean of -29.7 degrees C. Large snowfall events are associated with high-pressure systems forcing warm oceanic air masses toward the Antarctic interior, which causes a warm bias of +2.83 degrees C. The temperature-delta O-18 relationship, assessed with the global atmospheric model ECHAM5-wiso, is primarily constrained by the winter variability, but the observed slope is valid year-round. Three snow delta O-18 records covering 2004-2014 indicate that the anomalies recorded in the ice core are attributable to the occurrence of warm winter storms bringing precipitation to ABN and support the interpretation of delta O-18 in this region as a marker of temperature changes related to large-scale atmospheric conditions, particularly blocking events and variations in the Southern Annular Mode.</t>
  </si>
  <si>
    <t>[Servettaz, Aymeric P. M.; Orsi, Anais J.; Landais, Amaelle; Agosta, Cecile] Univ Paris Saclay, CEA CNRS UVSQ, LSCE IPSL, Lab Sci Climat &amp; Environm, Gif Sur Yvette, France; [Curran, Mark A. J.; Moy, Andrew D.] Australian Antarctic Div, Kingston, Tas, Australia; [Curran, Mark A. J.; Moy, Andrew D.] Univ Tasmania, Antarctic Climate &amp; Ecosyst Cooperat Res Ctr, Hobart, Tas, Australia; [Winton, V. Holly L.] Curtin Univ, Phys &amp; Astron, Perth, WA, Australia; [Winton, V. Holly L.] Victoria Univ Wellington, Antarctic Res Ctr, Wellington, New Zealand; [Touzeau, Alexandra] Univ Bergen, Geophys Inst, Bergen, Norway; [Touzeau, Alexandra] Univ Bergen, Bjerknes Ctr Climate Res, Bergen, Norway; [McConnell, Joseph R.] Desert Res Inst, Div Hydrol Sci, Reno, NV USA; [Werner, Martin] Alfred Wegener Inst, Helmholtz Ctr Polar &amp; Marine Res, Bremerhaven, Germany; [Baroni, Melanie] Univ Aix Marseille, Ctr Europeen Rech &amp; Enseignement Geosci Environm, Aix En Provence, France</t>
  </si>
  <si>
    <t>Universite Paris Cite; CEA; Centre National de la Recherche Scientifique (CNRS); Universite Paris Saclay; Australian Antarctic Division; Antarctic Climate &amp; Ecosystems Cooperative Research Centre (ACE CRC); University of Tasmania; Curtin University; Victoria University Wellington; University of Bergen; Bjerknes Centre for Climate Research; University of Bergen; Nevada System of Higher Education (NSHE); Desert Research Institute NSHE; Helmholtz Association; Alfred Wegener Institute, Helmholtz Centre for Polar &amp; Marine Research; Aix-Marseille Universite</t>
  </si>
  <si>
    <t>Servettaz, APM (corresponding author), Univ Paris Saclay, CEA CNRS UVSQ, LSCE IPSL, Lab Sci Climat &amp; Environm, Gif Sur Yvette, France.</t>
  </si>
  <si>
    <t>aymeric.servettaz@gmail.com</t>
  </si>
  <si>
    <t>Agosta, Cécile/HLQ-5577-2023; Werner, Martin/C-8067-2014; Winton, Holly/J-5486-2019; Agosta, Cecile/B-9625-2013</t>
  </si>
  <si>
    <t>Werner, Martin/0000-0002-6473-0243; Winton, Holly/0000-0001-7112-6768; Servettaz, Aymeric/0000-0002-2909-6160; Moy, Andrew/0000-0002-7664-9960; LANDAIS, Amaelle/0000-0002-5620-5465; McConnell, Joseph/0000-0001-9051-5240; Touzeau, Alexandra/0000-0002-2678-411X; Orsi, Anais/0000-0001-5511-3940; Agosta, Cecile/0000-0003-4091-1653</t>
  </si>
  <si>
    <t>LEFE project ABN-2k; project Antarctic-SNOW from the Foundation Albert 2 de Monaco (FA2M); Australian Antarctic Division [AAS 4075]; Australian Government's Cooperative Research Centres Programme through the Antarctic Climate and Ecosystems Cooperative Research Centre (ACE CRC); European Research Council under the European Union's Seventh Framework Programme (FP7/2007-2013)/RC Grant [306045]</t>
  </si>
  <si>
    <t>LEFE project ABN-2k; project Antarctic-SNOW from the Foundation Albert 2 de Monaco (FA2M); Australian Antarctic Division; Australian Government's Cooperative Research Centres Programme through the Antarctic Climate and Ecosystems Cooperative Research Centre (ACE CRC)(Australian GovernmentDepartment of Industry, Innovation and ScienceCooperative Research Centres (CRC) Programme); European Research Council under the European Union's Seventh Framework Programme (FP7/2007-2013)/RC Grant</t>
  </si>
  <si>
    <t>This work was supported by LEFE project ABN-2k, the project Antarctic-SNOW from the Foundation Albert 2 de Monaco (FA2M), the Australian Antarctic Division (AAS 4075), and the Australian Government's Cooperative Research Centres Programme through the Antarctic Climate and Ecosystems Cooperative Research Centre (ACE CRC). The research leading to these results has received funding from the European Research Council under the European Union's Seventh Framework Programme (FP7/2007-2013)/RC Grant Agreement 306045. We are grateful to Olivia Maselli, Christopher Plummer, and Mana Inoue for their help on field for digging the snow pit and to Tas Van Ommen for the density measurements. We thank an anonymous reviewer for constructive comments on the manuscript.</t>
  </si>
  <si>
    <t>e2020JD032863</t>
  </si>
  <si>
    <t>10.1029/2020JD032863</t>
  </si>
  <si>
    <t>NR9OB</t>
  </si>
  <si>
    <t>WOS:000571890800022</t>
  </si>
  <si>
    <t>Borba, MP; Ballarini, AE; Witusk, JPD; Lavin, P; Van der Sand, S</t>
  </si>
  <si>
    <t>Borba, Marcela Proenca; Ballarini, Ana Elisa; Witusk, Joao Paulo Duarte; Lavin, Paris; Van der Sand, Sueli</t>
  </si>
  <si>
    <t>Evaluation of BOX-PCR and REP-PCR as Molecular Typing Tools for AntarcticStreptomyces</t>
  </si>
  <si>
    <t>CURRENT MICROBIOLOGY</t>
  </si>
  <si>
    <t>NATURAL-PRODUCTS; STREPTOMYCES; IDENTIFICATION; STRAINS; ISLAND</t>
  </si>
  <si>
    <t>Molecular studies led to the resurgence of natural products research from genusStreptomyces, already known for their long history and importance for the pharmaceutical industry. However, species belonging to this genus are difficult to identify and the most commonly used techniques, which are based on 16S rRNA sequencing, do not discriminate between related species. In this work, amplification profiles generated from BOX-PCR and REP-PCR of 49 Antarctic soil streptomycetes were compared to evaluate the diversity present in the group and to characterize the bacterial isolates, along with some 16S rRNA amplifications. The BOX-A1R primer exhibit clearer amplification fragments, different from the amplification patterns obtained using the REP 1R and 2R primers. A higher diversity was observed with REP-PCR amplifications, even though a larger number of fragments was obtained with BOX-A1R primer amplifications. There are at least four isolates that showed great similarity (about 90%) in both techniques. In other hand, there are two others that are 90% similar in BOX-PCR, but distant in REP-PCR, showing only 40% of similarity. Results of the combination of BOX-PCR and REP-PCR represent a simple and low-cost method to discriminate betweenStreptomycesstrains. There is no species identification with only the 16S rRNA, most isolates seem to be related toS. globisporus. Further studies added to the obtained results may provide better data to help the characterization of these microorganisms.</t>
  </si>
  <si>
    <t>[Borba, Marcela Proenca; Ballarini, Ana Elisa; Witusk, Joao Paulo Duarte; Van der Sand, Sueli] Inst Ciencias Bas Saude, Dept Microbiol Imunol &amp; Parasitol, Lab Microbiol Aplicada, Rua Sarmento Leite 500, BR-90050170 Porto Alegre, RS, Brazil; [Lavin, Paris] Univ Antofagasta, Inst Antofagasta, Lab Complejidad Microbiana &amp; Ecol Func, Antofagasta, Chile; [Lavin, Paris] Univ Antofagasta, Dept Biotecnol, Fac Ciencias Mar &amp; Recursos Biol, Antofagasta, Chile</t>
  </si>
  <si>
    <t>Universidad de Antofagasta; Universidad de Antofagasta</t>
  </si>
  <si>
    <t>Borba, MP (corresponding author), Inst Ciencias Bas Saude, Dept Microbiol Imunol &amp; Parasitol, Lab Microbiol Aplicada, Rua Sarmento Leite 500, BR-90050170 Porto Alegre, RS, Brazil.</t>
  </si>
  <si>
    <t>marcela.borba@ufrgs.br</t>
  </si>
  <si>
    <t>Van Der Sand, Sueli T/M-9518-2016; Lavin, Paris/HPH-3612-2023</t>
  </si>
  <si>
    <t>Lavin, Paris/0000-0002-8893-526X</t>
  </si>
  <si>
    <t>CoordenacAo de Aperfeicoamento de Pessoal de Nivel Superior (CAPES); FundacAo de Amparo a Pesquisa do Estado do Rio Grande do Sul (FAPERGS)</t>
  </si>
  <si>
    <t>CoordenacAo de Aperfeicoamento de Pessoal de Nivel Superior (CAPES)(Coordenacao de Aperfeicoamento de Pessoal de Nivel Superior (CAPES)); FundacAo de Amparo a Pesquisa do Estado do Rio Grande do Sul (FAPERGS)(Fundacao de Amparo a Ciencia e Tecnologia do Estado do Rio Grande do Sul (FAPERGS))</t>
  </si>
  <si>
    <t>This work was supported by CoordenacAo de Aperfeicoamento de Pessoal de Nivel Superior (CAPES) and FundacAo de Amparo a Pesquisa do Estado do Rio Grande do Sul (FAPERGS) by the grants receveid. The author also thanks to Voltaire Neto for the figures artwork.</t>
  </si>
  <si>
    <t>0343-8651</t>
  </si>
  <si>
    <t>1432-0991</t>
  </si>
  <si>
    <t>CURR MICROBIOL</t>
  </si>
  <si>
    <t>Curr. Microbiol.</t>
  </si>
  <si>
    <t>10.1007/s00284-020-02199-6</t>
  </si>
  <si>
    <t>NW7GX</t>
  </si>
  <si>
    <t>WOS:000570047900001</t>
  </si>
  <si>
    <t>Smith, JN; Kelly, N; Renner, IW</t>
  </si>
  <si>
    <t>Smith, Joshua N.; Kelly, Natalie; Renner, Ian W.</t>
  </si>
  <si>
    <t>Validation of presence-only models for conservation planning and the application to whales in a multiple-use marine park</t>
  </si>
  <si>
    <t>density surface model; generalized additive model; Great Barrier Reef; habitat model; humpback whale; MaxEnt; ship strike; spatial cross-validation; spatial risk assessment; species distribution modeling</t>
  </si>
  <si>
    <t>SPECIES DISTRIBUTION MODELS; POINT PROCESS MODELS; HUMPBACK WHALES; MEGAPTERA-NOVAEANGLIAE; GROUND VALIDATION; BREEDING HABITAT; DISTRIBUTIONS; PREDICTION; IDENTIFICATION; PERFORMANCE</t>
  </si>
  <si>
    <t>Identification of species' Biologically Important Areas (BIAs) is fundamental to conservation planning and species distribution models (SDMs) are a powerful tool commonly used to do this. Presence-only data are increasingly being used to develop SDMs to aid the conservation decision-making process. The application of presence-only SDMs for marine species' is particularly attractive due to often logistical and economic costs of obtaining systematic species' distribution data. However, robust model validation is important for conservation management applications that require accurate and reliable species' occurrence data (e.g., spatially explicit risk assessments). This is commonly done using a random subset of the data and less commonly with fully independent test data. Here, we apply a spatial block cross-validation (CV) approach to validate a MaxEnt presence-only model using independent presence/absence survey data for a highly mobile, marine species (humpback whale,Megaptera novaengliae) in the Great Barrier Reef (GBR). A MaxEnt model was developed using opportunistic whale sightings (2003-2007) and then used to identify areas differing in habitat suitability (low, medium, high) to conduct a systematic, line-transect, aerial survey (2012) and derive a density surface model. A spatial block CV buffering strategy was used to validate the MaxEnt model, using the opportunistic sightings as training data and independent aerial survey sightings data as test data. Moderate performance measures indicate MaxEnt was reliable in identifying the distribution patterns of a mobile whale species on their breeding ground, indicated by areas of high density aligned to areas of high habitat suitability. Furthermore, we demonstrate that MaxEnt models can be useful and cost-effective for designing a sampling scheme to undertake systematic surveys that significantly reduces sampling effort. In this study, higher quality information on whale reproductive class (calf vs. non-calf groups) was obtained that the presence-only data lacked, while sampling only 18% of the GBR World Heritage Area. The validation approach using fully independent data provides greater confidence in the MaxEnt model, which indicates significant overlap with the main breeding ground of humpback whales and the inner shipping route. This is important when evaluating presence-only models within certain conservation management applications, such as spatial risk assessments.</t>
  </si>
  <si>
    <t>[Smith, Joshua N.] Murdoch Univ, Coll Sci Hlth Engn &amp; Educ, Environm &amp; Conservat Sci, 90 South St, Perth, WA 6150, Australia; [Kelly, Natalie] Australian Govt Dept Agr Water &amp; Environm, Australian Antarctic Div, 203 Channel Highway, Kingston, Tas 7000, Australia; [Renner, Ian W.] Univ Newcastle, Sch Math &amp; Phys Sci, Univ Dr, Callaghan, NSW 2308, Australia</t>
  </si>
  <si>
    <t>Murdoch University; Australian Antarctic Division; University of Newcastle</t>
  </si>
  <si>
    <t>Smith, JN (corresponding author), Murdoch Univ, Coll Sci Hlth Engn &amp; Educ, Environm &amp; Conservat Sci, 90 South St, Perth, WA 6150, Australia.</t>
  </si>
  <si>
    <t>joshua.smith@uqconnect.edu.au</t>
  </si>
  <si>
    <t>Renner, Ian/JAD-0394-2023; Smith, Joshua N/AAU-9181-2020; Kelly, Natalie/B-3481-2010</t>
  </si>
  <si>
    <t>Renner, Ian/0000-0003-3116-2486; Smith, Joshua N/0000-0001-9912-422X; Kelly, Nat/0000-0002-9664-354X</t>
  </si>
  <si>
    <t>Australian Marine Mammal Centre</t>
  </si>
  <si>
    <t>We would like to thank the Great Barrier Reef Marine Park Authority for their collaboration on this project, and particularly Mark Read for his support. The aerial survey was undertaken using the company Observair and we would like to thank our pilot Brad Welch for his flexibility in the field and professionalism when undertaking the surveys. We thank an experienced and hardworking aerial survey team that consisted of Susan Sobtzick, Natalie Schmitt, Verity McCorkill, Louise Bennett. We thank Blue Planet Marine for facilitation of the contracting of the survey team. We also acknowledge the NOAA CoastWatch Program and NASA's Goddard Space Flight Center, OceanColor Web for use of the MODIS Aqua SST/Pathfinder SST data and Project 3D-GBR for the gbr100 bathymetry data set. Shapefile base layers for the Great Barrier Reef were provided courtesy of the Great Barrier Reef Marine Park Authority. We greatly acknowledge funding for this project from the Australian Marine Mammal Centre. J. Smith conceived the fieldwork design and collected the data. J. Smith, N. Kelly, and I. Renner analyzed the data; J. Smith led the manuscript writing and J. Smith, N. Kelly, and I. Renner contributed critically to the drafts and gave final approval for publication.</t>
  </si>
  <si>
    <t>10.1002/eap.2214</t>
  </si>
  <si>
    <t>WOS:000569460700001</t>
  </si>
  <si>
    <t>Lastra, M; López, J; Troncoso, JS; Sampedro, L</t>
  </si>
  <si>
    <t>Lastra, Mariano; Lopez, Jesus; Troncoso, Jesus S.; Sampedro, Luis</t>
  </si>
  <si>
    <t>Warming and Wrack Supply Will Accelerate CO2Emission and Nutrients Release on Antarctic Sedimentary Shores: A Case Study on a Volcanic Island</t>
  </si>
  <si>
    <t>wrack decay; open-top chambers; CO2; nutrients; organic enrichment; soil fauna; global warming; Antarctica</t>
  </si>
  <si>
    <t>SOUTH SHETLAND ISLANDS; SEA-ICE EXTENT; SOIL RESPIRATION; DECEPTION ISLAND; MICROBIAL COMMUNITIES; DECOMPOSITION RATES; MACROALGAL WRACK; CLIMATE-CHANGE; SANDY BEACHES; RED ALGAE</t>
  </si>
  <si>
    <t>The shifts in soil metabolism as a response to warming and wrack subsidies on Antarctic sedimentary shores have not been studied to date. With this aim, macroalgal deposits, as well as inorganic nutrients and CO(2)emission were quantified along the shores of Port Foster, on Deception Island, Antarctic Peninsula. The results indicated a positive relationship between the amount of wrack supplies and sediment metabolism, measured both as CO(2)emission through the sediment surface and as amount of inorganic nutrients released to the interstitial pore water. The effect of warming on algal wrack decay was analyzed in a manipulative field experiment where passive open-top chambers (OTCs) were used to increase soil temperature. By doing this, temperature raised by 0.9 degrees C under patches of the red macroalgaePalmaria decipiens, whereas there was an increase of 2.4 degrees C on bare sand. The results indicated that a small warming accelerated mineralization rates of C, N and P of the algal biomass, without significant changes in the bulk of inorganic nutrients released. Over 12 days of experiment, 8.3% of the total C in algal tissues was released as CO(2)in the OTC plots, compared to 6.4% at ambient temperature. CO(2)emission in bare sand plots warmed with OTCs was three times the amount measured in the ambient plots. Collembola was the dominant soil fauna, with densities negatively affected by warming and positively related to the organic content of sediment. This study confirms the key role of sandy shores in recycling ocean derived organic matter, highlighting the sensitivity of Antarctic ecosystems to a changing scenario of climate change that predicts significant increases in temperature over the next few decades.</t>
  </si>
  <si>
    <t>[Lastra, Mariano; Lopez, Jesus; Troncoso, Jesus S.] Univ Vigo, Ctr Invest Marina, Edificio CC Expt,Campus Vigo, Vigo 36310, Spain; [Sampedro, Luis] CSIC, Mis Biolox Galicia, Pontevedra, Spain</t>
  </si>
  <si>
    <t>Universidade de Vigo; CIM UVIGO; Consejo Superior de Investigaciones Cientificas (CSIC)</t>
  </si>
  <si>
    <t>Lastra, M (corresponding author), Univ Vigo, Ctr Invest Marina, Edificio CC Expt,Campus Vigo, Vigo 36310, Spain.</t>
  </si>
  <si>
    <t>mlastra@uvigo.es</t>
  </si>
  <si>
    <t>Sampedro, Luis/B-7187-2011; Lastra, Mariano/AAH-6289-2021; Lopez Perez, Jesus/R-1158-2018</t>
  </si>
  <si>
    <t>Sampedro, Luis/0000-0002-3921-2575; Lastra, Mariano/0000-0003-2738-2056; Lopez Perez, Jesus/0000-0002-8214-5259</t>
  </si>
  <si>
    <t>Spanish Ministry of Economy and Competitiveness [CTM2013-45697-P]</t>
  </si>
  <si>
    <t>Spanish Ministry of Economy and Competitiveness(Spanish Government)</t>
  </si>
  <si>
    <t>Authors would like to thank sincerely the two Reviewers and Editors for their thoughtful comments and efforts toward improving our manuscript. We are very grateful to the crew of the Gabriel de Castilla Antarctic Spanish Base for their collaboration and hospitality during our logistic transport and stay in Deception Island. This research was supported by the Spanish Ministry of Economy and Competitiveness, Project CTM2013-45697-P.</t>
  </si>
  <si>
    <t>10.1007/s10021-020-00553-0</t>
  </si>
  <si>
    <t>WOS:000570038000001</t>
  </si>
  <si>
    <t>Kogure, M; Yue, J; Nakamura, T; Hoffmann, L; Vadas, SL; Tomikawa, Y; Ejiri, MK; Janches, D</t>
  </si>
  <si>
    <t>Kogure, Masaru; Yue, Jia; Nakamura, Takuji; Hoffmann, Lars; Vadas, Sharon L.; Tomikawa, Yoshihiro; Ejiri, Mitsumu K.; Janches, Diego</t>
  </si>
  <si>
    <t>First Direct Observational Evidence for Secondary Gravity Waves Generated by Mountain Waves Over the Andes</t>
  </si>
  <si>
    <t>MIDDLE-ATMOSPHERE; MOMENTUM FLUX; VORTICITY DYNAMICS; NEW-ZEALAND; BREAKING; STRATOSPHERE; MESOSPHERE; EVOLUTION; EVENT; COOK</t>
  </si>
  <si>
    <t>A mountain wave with a significant brightness temperature amplitude and similar to 500 km horizontal wavelength was observed over the Andes on 24-25 July 2017 in Atmospheric Infrared Sounder (AIRS)/Aqua satellite data. In the Modern-Era Retrospective Analysis for Research and Applications, version 2 (MERRA-2), reanalysis data, the intense eastward wind flowed over the Andes. Visible/Infrared Imaging Radiometer Suite (VIIRS)/Suomi-NPP (National Polar-orbiting Partnership) did not detect the mountain waves; however, it observed concentric ring-like waves in the nightglow emissions at similar to 87 km with similar to 100 km wavelengths on the same night over and leeward of the Southern Andes. A ray tracing analysis showed that the mountain waves propagated to the east of the Andes, where concentric ring-like waves appeared above a region of mountain wave breaking. Therefore, the concentric ring-like waves were likely secondary waves generated by momentum deposition that accompanied mountain wave breaking. These results provide the first direct evidence for secondary gravity waves generated by momentum deposition.</t>
  </si>
  <si>
    <t>[Kogure, Masaru] Kyushu Univ, Dept Earth &amp; Planetary Sci, Fukuoka, Japan; [Yue, Jia; Janches, Diego] NASA, Goddard Space Flight Ctr, Greenbelt, MD USA; [Yue, Jia] Catholic Univ Amer, Dept Phys, Washington, DC 20064 USA; [Nakamura, Takuji; Tomikawa, Yoshihiro; Ejiri, Mitsumu K.] Natl Inst Polar Res, Tokyo, Japan; [Nakamura, Takuji; Tomikawa, Yoshihiro; Ejiri, Mitsumu K.] SOKENDAI, Grad Univ Adv Studies, Dept Polar Sci, Tokyo, Japan; [Hoffmann, Lars] Forschungszentrum Julich, Julich, Germany; [Vadas, Sharon L.] NorthWest Res Associates, Boulder, CO USA</t>
  </si>
  <si>
    <t>Kyushu University; National Aeronautics &amp; Space Administration (NASA); NASA Goddard Space Flight Center; Catholic University of America; Research Organization of Information &amp; Systems (ROIS); National Institute of Polar Research (NIPR) - Japan; Graduate University for Advanced Studies - Japan; Helmholtz Association; Research Center Julich; NorthWest Research Associates</t>
  </si>
  <si>
    <t>Kogure, M (corresponding author), Kyushu Univ, Dept Earth &amp; Planetary Sci, Fukuoka, Japan.</t>
  </si>
  <si>
    <t>kogure.masaru.695@m.kyushu-u.ac.jp</t>
  </si>
  <si>
    <t>Janches, Diego/D-4674-2012; Kogure, Masaru/IUP-8537-2023; Hoffmann, Lars/ABI-3746-2020; Tomikawa, Yoshihiro/D-5304-2012; Yue, Jia/D-8177-2011</t>
  </si>
  <si>
    <t>Kogure, Masaru/0000-0003-0774-8647; Hoffmann, Lars/0000-0003-3773-4377; Tomikawa, Yoshihiro/0000-0002-5652-3017; Yue, Jia/0000-0003-0577-5289; Nakamura, Takuji/0000-0002-3876-2946</t>
  </si>
  <si>
    <t>JSPS KAKENHI [19K23465]; Scientific Committee on Antarctic Research (SCAR) fellowship award 2019; JSPS grant JRPs-LEAD; DFG program; NSF [AGS-1832988, AGS-1651394, AGS-1834222]; NASA [80NSSC19K0836, 80NSSC20K0628]; Grants-in-Aid for Scientific Research [19K23465] Funding Source: KAKEN</t>
  </si>
  <si>
    <t>JSPS KAKENHI(Ministry of Education, Culture, Sports, Science and Technology, Japan (MEXT)Japan Society for the Promotion of ScienceGrants-in-Aid for Scientific Research (KAKENHI)); Scientific Committee on Antarctic Research (SCAR) fellowship award 2019; JSPS grant JRPs-LEAD; DFG program(German Research Foundation (DFG)); NSF(National Science Foundation (NSF)); NASA(National Aeronautics &amp; Space Administration (NASA)); Grants-in-Aid for Scientific Research(Ministry of Education, Culture, Sports, Science and Technology, Japan (MEXT)Japan Society for the Promotion of ScienceGrants-in-Aid for Scientific Research (KAKENHI))</t>
  </si>
  <si>
    <t>We thank Joan Alexander for her suggestion for the calculation of the temperature perturbations averaged with the AIRS's kernel in MERRA-2. This study was supported by JSPS KAKENHI 19K23465 and the Scientific Committee on Antarctic Research (SCAR) fellowship award 2019. M. K. was supported by the JSPS grant JRPs-LEAD with DFG program. S. L. V. was supported by NSF grant AGS-1832988 and by NASA grant 80NSSC19K0836. J. Y. was supported by NSF grants AGS-1651394 and AGS-1834222 and by NASA grants 80NSSC19K0836 and 80NSSC20K0628.</t>
  </si>
  <si>
    <t>e2020GL088845</t>
  </si>
  <si>
    <t>10.1029/2020GL088845</t>
  </si>
  <si>
    <t>WOS:000572406100057</t>
  </si>
  <si>
    <t>Elvidge, AD; Munneke, PK; King, JC; Renfrew, IA; Gilbert, E</t>
  </si>
  <si>
    <t>Elvidge, Andrew D.; Kuipers Munneke, Peter; King, John C.; Renfrew, Ian A.; Gilbert, Ella</t>
  </si>
  <si>
    <t>Atmospheric Drivers of Melt on Larsen C Ice Shelf: Surface Energy Budget Regimes and the Impact of Foehn</t>
  </si>
  <si>
    <t>Larsen Ice Shelf; Larsen C; ice shelf melt; surface energy balance; surface energy budget; foehn</t>
  </si>
  <si>
    <t>HEMISPHERE ANNULAR MODE; ANTARCTIC PENINSULA; REGIONAL CLIMATE; BOUNDARY-LAYER; TEMPERATURE; FLUXES; WINDS; FLOW</t>
  </si>
  <si>
    <t>Recent ice shelf retreat on the east coast of the Antarctic Peninsula has been principally attributed to atmospherically driven melt. However, previous studies on the largest of these ice shelves-Larsen C-have struggled to reconcile atmospheric forcing with observed melt. This study provides the first comprehensive quantification and explanation of the atmospheric drivers of melt across Larsen C, using 31-months' worth of observations from Cabinet Inlet, a 6-month, high-resolution atmospheric model simulation and a novel approach to ascertain the surface energy budget (SEB) regime. The dominant meteorological controls on melt are shown to be the occurrence, strength, and warmth of mountain winds called foehn. At Cabinet Inlet, foehn occurs 15% of the time and causes 45% of melt. The primary effect of foehn on the SEB is elevated turbulent heat fluxes. Under typical, warm foehn conditions, this means elevated surface heating and melting, the intensity of which increases as foehn wind speed increases. Less commonly-due to cooler-than-normal foehn winds and/or radiatively warmed ice-the relationship between wind speed and net surface heat flux reverses. This explains the seemingly contradictory results of previous studies. In the model, spatial variability in cumulative melt across Larsen C is largely explained by foehn, with melt maxima in inlets reflecting maxima in foehn wind strength. However, most accumulated melt (58%) occurs due to solar radiation in the absence of foehn. A broad north-south gradient in melt is explained by the combined influence of foehn and non-foehn conditions.</t>
  </si>
  <si>
    <t>[Elvidge, Andrew D.; Renfrew, Ian A.; Gilbert, Ella] Univ East Anglia, Sch Environm Sci, Norwich, Norfolk, England; [Kuipers Munneke, Peter] Inst Marine &amp; Atmospher Res Utrecht, Utrecht, Netherlands; [King, John C.; Gilbert, Ella] British Antarctic Survey, Cambridge, England</t>
  </si>
  <si>
    <t>University of East Anglia; Utrecht University; UK Research &amp; Innovation (UKRI); Natural Environment Research Council (NERC); NERC British Antarctic Survey</t>
  </si>
  <si>
    <t>Elvidge, AD (corresponding author), Univ East Anglia, Sch Environm Sci, Norwich, Norfolk, England.</t>
  </si>
  <si>
    <t>a.elvidge@uea.ac.uk</t>
  </si>
  <si>
    <t>Renfrew, Ian A/E-4057-2010</t>
  </si>
  <si>
    <t>Elvidge, Andrew/0000-0002-7099-902X; Renfrew, Ian/0000-0001-9379-8215; King, John/0000-0003-3315-7568; Gilbert, Ella/0000-0001-5272-8894</t>
  </si>
  <si>
    <t>NERC [NE/N009754/1]; Netherlands Earth System Science Centre; NERC [NE/N009754/1, NE/G013578/1, bas0100032] Funding Source: UKRI</t>
  </si>
  <si>
    <t>NERC(UK Research &amp; Innovation (UKRI)Natural Environment Research Council (NERC)); Netherlands Earth System Science Centre; NERC(UK Research &amp; Innovation (UKRI)Natural Environment Research Council (NERC))</t>
  </si>
  <si>
    <t>This paper was made possible by funding provided by NERC under the Project Grant NE/N009754/1. P. Kuipers Munneke acknowledges funding from the Netherlands Earth System Science Centre. The British Antarctic Survey (BAS) is acknowledged for the servicing of the automatic weather station in Cabinet Inlet (AWS18), and for the archiving of the AWS18 data. We thank Tony Phillips at BAS for his assistance in preparing the land-sea mask and orography data used for the model simulation, and Sam Nair at The QK Institute for advise on graphical representation.</t>
  </si>
  <si>
    <t>e2020JD032463</t>
  </si>
  <si>
    <t>10.1029/2020JD032463</t>
  </si>
  <si>
    <t>WOS:000571890800021</t>
  </si>
  <si>
    <t>Abreu, J; Phillips, RA; Ceia, FR; Ireland, L; Paiva, VH; Xavier, JC</t>
  </si>
  <si>
    <t>Abreu, Jose; Phillips, Richard A.; Ceia, Filipe R.; Ireland, Louise; Paiva, Vitor H.; Xavier, Jose C.</t>
  </si>
  <si>
    <t>Long-term changes in habitat and trophic level of Southern Ocean squid in relation to environmental conditions</t>
  </si>
  <si>
    <t>CLIMATE-CHANGE; WANDERING ALBATROSSES; FORAGING ECOLOGY; INCLUDING GIANT; STABLE-ISOTOPES; CEPHALOPODS; PREDATORS; ECOSYSTEM; TOOL; VARIABILITY</t>
  </si>
  <si>
    <t>Long-term studies of pelagic nekton in the Southern Ocean and their responses to ongoing environmental change are rare. Using stable isotope ratios measured in squid beaks recovered from diet samples of wandering albatrosses Diomedea exulans, we assessed decadal variation (from 1976 to 2016) in the habitat (delta C-13) and trophic level (delta N-15) of five important Southern Ocean squid species in relation to indices of environmental conditions-Southern Oscillation Index (SOI) and Southern Annular Mode (SAM). Based on delta C-13 values, corrected for the Suess effect, habitat had changed over the last 50 years for Taonius sp. B (Voss), Gonatus antarcticus, Galiteuthis glacialis and Histioteuthis atlantica but not Moroteuthopsis longimana. By comparison, mean delta N-15 values were similar across decades for all five species, suggesting minimal changes in trophic levels. Both SAM and SOI have increased in strength and frequency over the study period but, of the five species, only in Taonius sp. B (Voss) did these indices correlate with, delta C-13 and delta N-15 values, indicating direct relationships between environmental conditions, habitat and trophic level. The five cephalopod species therefore changed their habitats with changing environmental conditions over the last 50 years but maintained similar trophic levels. Hence, cephalopods are likely to remain important prey for top predators in Southern Ocean food webs, despite ongoing climate change.</t>
  </si>
  <si>
    <t>[Abreu, Jose; Ceia, Filipe R.; Paiva, Vitor H.; Xavier, Jose C.] Univ Coimbra, Dept Life Sci, Mare Marine &amp; Environm Sci Ctr, P-3000456 Coimbra, Portugal; [Phillips, Richard A.; Ireland, Louise; Xavier, Jose C.] British Antarctic Survey, Nat Environm Res Council, Madingley Rd, Cambridge CB3 0ET, England</t>
  </si>
  <si>
    <t>Universidade de Coimbra; UK Research &amp; Innovation (UKRI); Natural Environment Research Council (NERC); NERC British Antarctic Survey</t>
  </si>
  <si>
    <t>Abreu, J (corresponding author), Univ Coimbra, Dept Life Sci, Mare Marine &amp; Environm Sci Ctr, P-3000456 Coimbra, Portugal.</t>
  </si>
  <si>
    <t>abreu.jose@ua.pt</t>
  </si>
  <si>
    <t>Ceia, Filipe R./A-2196-2012; Paiva, Vitor H./J-1092-2019; Xavier, José/KFB-6739-2024; Paiva, Vitor Hugo/GRX-9179-2022</t>
  </si>
  <si>
    <t>Ceia, Filipe R./0000-0002-5470-5183; Paiva, Vitor H./0000-0001-6368-9579; Abreu, Jose/0000-0003-3424-3011; /0000-0002-9621-6660</t>
  </si>
  <si>
    <t>Natural Environment Research Council; Portuguese Polar Program (PROPOLAR); strategic program of MARE [MARE-UID/MAR/04292/2020]; NERC [bas0100035, bas010011] Funding Source: UKRI</t>
  </si>
  <si>
    <t>Natural Environment Research Council(UK Research &amp; Innovation (UKRI)Natural Environment Research Council (NERC)); Portuguese Polar Program (PROPOLAR); strategic program of MARE; NERC(UK Research &amp; Innovation (UKRI)Natural Environment Research Council (NERC))</t>
  </si>
  <si>
    <t>We thank the scientists and support staff of British Antarctic Survey who assisted with collection of samples at Bird Island since 1976. We also thank Jose Queiros, and three anonymous referees for their comments, which helped improve on the manuscript. This research represents a contribution to the Ecosystems component of the British Antarctic Survey Polar Science for Planet Earth Programme, funded by the Natural Environment Research Council, and was also supported by the Portuguese Polar Program (PROPOLAR) and strategic program of MARE (MARE-UID/MAR/04292/2020).</t>
  </si>
  <si>
    <t>10.1038/s41598-020-72103-6</t>
  </si>
  <si>
    <t>NU6RE</t>
  </si>
  <si>
    <t>WOS:000573768800023</t>
  </si>
  <si>
    <t>Gray, LJ; Brown, MJ; Knight, J; Andrews, M; Lu, H; O'Reilly, C; Anstey, J</t>
  </si>
  <si>
    <t>Gray, L. J.; Brown, M. J.; Knight, J.; Andrews, M.; Lu, H.; O'Reilly, C.; Anstey, J.</t>
  </si>
  <si>
    <t>Forecasting extreme stratospheric polar vortex events</t>
  </si>
  <si>
    <t>WARMING EVENTS; WEATHER; PREDICTABILITY; OSCILLATION; DISTURBANCES; CLIMATOLOGY; VARIABILITY; TROPOSPHERE; WAVES; SKILL</t>
  </si>
  <si>
    <t>Extreme polar vortex events known as sudden stratospheric warmings can influence surface winter weather conditions, but their timing is difficult to predict. Here, we examine factors that influence their occurrence, with a focus on their timing and vertical extent. We consider the roles of the troposphere and equatorial stratosphere separately, using a split vortex event in January 2009 as the primary case study. This event cannot be reproduced by constraining wind and temperatures in the troposphere alone, even when the equatorial lower stratosphere is in the correct phase of the quasi biennial oscillation. When the flow in the equatorial upper stratosphere is also constrained, the timing and spatial evolution of the vortex event is captured remarkably well. This highlights an influence from this region previously unrecognised by the seasonal forecast community. We suggest that better representation of the flow in this region is likely to improve predictability of extreme polar vortex events and hence their associated impacts at the surface.</t>
  </si>
  <si>
    <t>[Gray, L. J.; Brown, M. J.; O'Reilly, C.] Natl Ctr Atmospher Sci, Oxford OX1 3PU, England; [Gray, L. J.; O'Reilly, C.] Univ Oxford, Dept Phys, Oxford OX1 3PU, England; [Knight, J.; Andrews, M.] Met Off Hadley Ctr, Exeter, Devon, England; [Lu, H.] British Antarctic Survey, Cambridge, England; [Anstey, J.] Canadian Ctr Climate Modelling &amp; Anal, Victoria, BC, Canada</t>
  </si>
  <si>
    <t>UK Research &amp; Innovation (UKRI); Natural Environment Research Council (NERC); NERC National Centre for Atmospheric Science; University of Oxford; Met Office - UK; Hadley Centre; UK Research &amp; Innovation (UKRI); Natural Environment Research Council (NERC); NERC British Antarctic Survey; Environment &amp; Climate Change Canada; Canadian Centre for Climate Modelling &amp; Analysis (CCCma)</t>
  </si>
  <si>
    <t>Gray, LJ (corresponding author), Natl Ctr Atmospher Sci, Oxford OX1 3PU, England.;Gray, LJ (corresponding author), Univ Oxford, Dept Phys, Oxford OX1 3PU, England.</t>
  </si>
  <si>
    <t>lesley.gray@physics.ox.ac.uk</t>
  </si>
  <si>
    <t>Gray, Lesley J/D-3610-2009; Lu, Hua/GXA-0276-2022; Brown, Matthew/P-5483-2017</t>
  </si>
  <si>
    <t>Lu, Hua/0000-0001-9485-5082; Gray, Lesley/0000-0002-7803-9277; Brown, Matthew/0000-0003-1127-0279; Anstey, James/0000-0001-6366-8647; O'Reilly, Christopher/0000-0002-8630-1650</t>
  </si>
  <si>
    <t>NERC ACSIS project (Atlantic Climate System Integrated Study); NERC ACSIS project; NERC GOTHAM (Globally Observed Teleconnections in Hierarchies of Atmospheric Models) project [NE/P006779/1]; Oxford University NERC Doctoral Training Programme; Met Office Hadley Centre Climate Programme - UK Government Department of Business, Energy and Industrial Strategy; Department of Environment, Food and Rural Affairs; NERC [bas0100032, NE/N010965/1, NE/N018001/1] Funding Source: UKRI</t>
  </si>
  <si>
    <t>NERC ACSIS project (Atlantic Climate System Integrated Study); NERC ACSIS project; NERC GOTHAM (Globally Observed Teleconnections in Hierarchies of Atmospheric Models) project; Oxford University NERC Doctoral Training Programme; Met Office Hadley Centre Climate Programme - UK Government Department of Business, Energy and Industrial Strategy; Department of Environment, Food and Rural Affairs(Department for Environment, Food &amp; Rural Affairs (DEFRA)); NERC(UK Research &amp; Innovation (UKRI)Natural Environment Research Council (NERC))</t>
  </si>
  <si>
    <t>We acknowledge the use of the Monsoon computing system, a collaborative facility under the Joint Weather and Climate Research Programme, a strategic partnership between the Met Office and the Natural Environment Research Council (NERC). We also acknowledge the UKCA team who developed the relaxation scheme. H.L. and C.O. were supported by the NERC ACSIS project (Atlantic Climate System Integrated Study). L.J.G. was supported by the NERC ACSIS project and the NERC GOTHAM (Globally Observed Teleconnections in Hierarchies of Atmospheric Models; NE/P006779/1) project. M.J.B. was supported by the Oxford University NERC Doctoral Training Programme. J.K. and M.A. were supported by the Met Office Hadley Centre Climate Programme funded by the UK Government Department of Business, Energy and Industrial Strategy and Department of Environment, Food and Rural Affairs.</t>
  </si>
  <si>
    <t>SEP 15</t>
  </si>
  <si>
    <t>10.1038/s41467-020-18299-7</t>
  </si>
  <si>
    <t>PR3TN</t>
  </si>
  <si>
    <t>WOS:000607161500003</t>
  </si>
  <si>
    <t>Polyakova, IV; Rippeth, TP; Fer, I; Alkire, MB; Baumann, TM; Carmack, EC; Ingvaldsen, R; Ivanov, VV; Janout, M; Lind, S; Padman, L; Pnyushkov, AV; Rember, R</t>
  </si>
  <si>
    <t>Polyakova, Igor, V; Rippeth, Tom P.; Fer, Ilker; Alkire, Matthew B.; Baumann, Till M.; Carmack, Eddy C.; Ingvaldsen, Randi; Ivanov, Vladimir V.; Janout, Markus; Lind, Sigrid; Padman, Laurie; Pnyushkov, Andrey, V; Rember, Robert</t>
  </si>
  <si>
    <t>Weakening of Cold Halocline Layer Exposes Sea Ice to Oceanic Heat in the Eastern Arctic Ocean</t>
  </si>
  <si>
    <t>EURASIAN BASIN; CONTINENTAL-SLOPE; BOUNDARY CURRENT; VARIABILITY; TRANSPORTS; NORTH</t>
  </si>
  <si>
    <t>A 15-yr duration record of mooring observations from the eastern (&gt;70 degrees E) Eurasian Basin (EB) of the Arctic Ocean is used to show and quantify the recently increased oceanic heat flux from intermediate-depth (similar to 150-900m) warmAtlantic Water (AW) to the surfacemixed layer and sea ice. The upward release ofAWheat is regulated by the stability of the overlying halocline, which we show has weakened substantially in recent years. Shoaling of theAWhas also contributed, with observations in winter 2017-18 showing AWat only 80m depth, just below the wintertime surfacemixed layer, the shallowest in our mooring records. The weakening of the halocline for several months at this time implies that AW heat was linked to winter convection associated with brine rejection during sea ice formation. This resulted in a substantial increase of upward oceanic heat flux during the winter season, froman average of 3-4W m(-2) in 2007-08 to.10Wm(-2) in 2016-18. This seasonalAWheat loss in the easternEBis equivalent to a more than a twofold reduction of winter ice growth. These changes imply a positive feedback as reduced sea ice cover permits increased mixing, augmenting the summer-dominated ice-albedo feedback.</t>
  </si>
  <si>
    <t>[Polyakova, Igor, V; Baumann, Till M.; Pnyushkov, Andrey, V; Rember, Robert] Univ Alaska Fairbanks, Int Arctic Res Ctr, Fairbanks, AK 99775 USA; [Polyakova, Igor, V; Baumann, Till M.] Univ Alaska Fairbanks, Coll Nat Sci &amp; Math, Fairbanks, AK 99775 USA; [Polyakova, Igor, V; Baumann, Till M.] Finnish Meteorol Inst, Helsinki, Finland; [Rippeth, Tom P.] Bangor Univ, Sch Ocean Sci, Menai Bridge, Gwynedd, Wales; [Fer, Ilker] Univ Bergen, Geophys Inst, Bergen, Norway; [Fer, Ilker] Bjerknes Ctr Climate Res, Bergen, Norway; [Alkire, Matthew B.] Univ Washington, Appl Phys Lab, Polar Sci Ctr, Seattle, WA 98105 USA; [Carmack, Eddy C.] Fisheries &amp; Oceans Canada, Inst Ocean Sci, Sidney, BC, Canada; [Ingvaldsen, Randi; Lind, Sigrid] Inst Marine Res, Bergen, Norway; [Ivanov, Vladimir V.] Lomonosov Moscow State Univ, Geog Dept, Moscow, Russia; [Ivanov, Vladimir V.] Arctic &amp; Antarctic Res Inst, Ocean Air Interact Dept, St Petersburg, Russia; [Janout, Markus] Helmholtz Ctr Polar &amp; Marine Res, Alfred Wegener Inst, Bremerhaven, Germany; [Padman, Laurie] Earth &amp; Space Res, Corvallis, OR USA; [Alkire, Matthew B.] Univ Washington, Sch Oceanog, Seattle, WA 98195 USA</t>
  </si>
  <si>
    <t>University of Alaska System; University of Alaska Fairbanks; University of Alaska System; University of Alaska Fairbanks; Finnish Meteorological Institute; Bangor University; University of Bergen; Bjerknes Centre for Climate Research; University of Washington; University of Washington Seattle; Fisheries &amp; Oceans Canada; Institute of Marine Research - Norway; Lomonosov Moscow State University; Arctic &amp; Antarctic Research Institute; Helmholtz Association; Alfred Wegener Institute, Helmholtz Centre for Polar &amp; Marine Research; University of Washington; University of Washington Seattle</t>
  </si>
  <si>
    <t>Polyakova, IV (corresponding author), Univ Alaska Fairbanks, Int Arctic Res Ctr, Fairbanks, AK 99775 USA.;Polyakova, IV (corresponding author), Univ Alaska Fairbanks, Coll Nat Sci &amp; Math, Fairbanks, AK 99775 USA.;Polyakova, IV (corresponding author), Finnish Meteorol Inst, Helsinki, Finland.</t>
  </si>
  <si>
    <t>ivpolyakov@alaska.edu</t>
  </si>
  <si>
    <t>Padman, Laurence/AAH-3808-2021; Ivanov, Vladimir/J-5979-2014; Pnyushkov, Andrey/M-3156-2019; Fer, Ilker/C-7820-2012</t>
  </si>
  <si>
    <t>Ivanov, Vladimir/0000-0003-2569-6027; Pnyushkov, Andrey/0000-0001-9112-6458; Fer, Ilker/0000-0002-2427-2532; Lind, Sigrid/0000-0002-8805-6652; Ingvaldsen, Randi Brunvaer/0000-0002-8261-334X</t>
  </si>
  <si>
    <t>NSF [AON-1203473, AON1947162, 1708427, 1708424]; PEANUTS part of the Changing Arctic Ocean programme - UKRI Natural Environment Research Council (NERC) [NE/R01275X/1, 03F0804A]; PEANUTS part of the Changing Arctic Ocean programme - German Federal Ministry of Education and Research (BMBF) [NE/R01275X/1, 03F0804A]; Research Council of Norway [294396]; Ministry of Science and Higher Education of the Russian Federation [RFMEFI61619X0108]; Arctic SIZE; NERC [NE/R01275X/1] Funding Source: UKRI; Office of Polar Programs (OPP); Directorate For Geosciences [1708424] Funding Source: National Science Foundation; Office of Polar Programs (OPP); Directorate For Geosciences [1708427] Funding Source: National Science Foundation</t>
  </si>
  <si>
    <t>NSF(National Science Foundation (NSF)); PEANUTS part of the Changing Arctic Ocean programme - UKRI Natural Environment Research Council (NERC); PEANUTS part of the Changing Arctic Ocean programme - German Federal Ministry of Education and Research (BMBF)(Federal Ministry of Education &amp; Research (BMBF)); Research Council of Norway(Research Council of Norway); Ministry of Science and Higher Education of the Russian Federation; Arctic SIZE; NERC(UK Research &amp; Innovation (UKRI)Natural Environment Research Council (NERC)); Office of Polar Programs (OPP); Directorate For Geosciences(National Science Foundation (NSF)NSF - Directorate for Geosciences (GEO)); Office of Polar Programs (OPP); Directorate For Geosciences(National Science Foundation (NSF)NSF - Directorate for Geosciences (GEO))</t>
  </si>
  <si>
    <t>The ship-based oceanographic observations in the eastern EB and Laptev Sea were conducted under the framework of the NABOS project with support from NSF (Grants AON-1203473 and AON1947162). Analyses presented in this paper are supported by NSF Grants 1708427 and 1708424. The contributions from TPR and MAJ were supported by PEANUTS (NE/R01275X/1 and 03F0804A), part of the Changing Arctic Ocean programme, jointly funded by the UKRI Natural Environment Research Council (NERC) and the German Federal Ministry of Education and Research (BMBF). This paper is based in part on ideas discussed at an international workshop on pan-Arctic marine systems in Motovun Croatia, organized by P. Wassmann and supported by funding from Arctic SIZE (http://site.uit.no/arcticsize/).IF was supported by the Research Council of Norway through the AROMA project (294396). VI acknowledges funding from the Ministry of Science and Higher Education of the Russian Federation (Project RFMEFI61619X0108). All mooring data used in this study are available at https://doi.org/10.18739/A2N37R and https://doi.org/10.18739/A2HT2GB80.</t>
  </si>
  <si>
    <t>10.1175/JCLI-D-19-0976.1</t>
  </si>
  <si>
    <t>OR9UE</t>
  </si>
  <si>
    <t>Bronze, Green Submitted, Green Accepted, Green Published</t>
  </si>
  <si>
    <t>WOS:000589810400021</t>
  </si>
  <si>
    <t>Janout, MA; Hölemann, J; Laukert, G; Smirnov, A; Krumpen, T; Bauch, D; Timokhov, L</t>
  </si>
  <si>
    <t>Janout, Markus A.; Hoelemann, Jens; Laukert, Georgi; Smirnov, Alexander; Krumpen, Thomas; Bauch, Dorothea; Timokhov, Leonid</t>
  </si>
  <si>
    <t>On the Variability of Stratification in the Freshwater-Influenced Laptev Sea Region</t>
  </si>
  <si>
    <t>Arctic Ocean; Siberian shelves; Laptev Sea; freshwater; stratification; sea ice</t>
  </si>
  <si>
    <t>ARCTIC-OCEAN; KARA SEA; INTERANNUAL VARIABILITY; SEMIDIURNAL TIDES; ICE; SHELF; TRANSPORT; MODEL</t>
  </si>
  <si>
    <t>In this paper, we investigate the seasonal and spatial variability of stratification on the Siberian shelves with a case study from the Laptev Sea based on shipboard hydrographic measurements, year-round oceanographic mooring records from 2013 to 2014 and chemical tracer-based water mass analyses. In summer 2013, weak onshore-directed winds caused spreading of riverine waters throughout much of the eastern and central shelf. In contrast, strong southerly winds in summer 2014 diverted much of the freshwater to the northeast, which resulted in 50% less river water and significantly weaker stratification on the central shelf compared with the previous year. Our year-long records additionally emphasize the regional differences in water column structure and stratification, where the northwest location was well-mixed for 6 months and the central and northeast locations remained stratified into spring due to the lower initial surface salinities of the river-influenced water. A 26 year record of ocean reanalysis highlights the region's interannual variability of stratification and its dependence on winds and sea ice. Prior the mid-2000s, river runoff to the perennially ice-covered central Laptev Sea shelf experienced little surface forcing and river water was maintained on the shelf. The transition toward less summer sea ice after the mid-2000s increased the ROFI's (region of freshwater influence) exposure to summer winds. This greatly enhanced the variability in mixed layer depth, resulting in several years with well-mixed water columns as opposed to the often year-round shallow mixed layers before. The extent of the Lena River plume is critical for the region since it modulates nutrient fluxes and primary production, and further controls intermediate heat storage induced by lateral density gradients, which has implications for autumnal freeze-up and the eastern Arctic sea ice volume. MAIN POINTS 1. CTD surveys and moorings highlight the regional and temporal variations in water column stratification on the Laptev Sea shelf. 2. Summer winds increasingly control the extent of the region of freshwater influence under decreasing sea ice. 3. Further reductions in sea ice increases surface warming, heat storage, and the interannual variability in mixed layer depth.</t>
  </si>
  <si>
    <t>[Janout, Markus A.; Hoelemann, Jens; Krumpen, Thomas] Helmholtz Ctr Polar &amp; Marine Res, Alfred Wegener Inst, Bremerhaven, Germany; [Laukert, Georgi; Bauch, Dorothea] Geomar Helmholtz Ctr Ocean Res, Kiel, Germany; [Smirnov, Alexander; Timokhov, Leonid] Arctic &amp; Antarctic Res Inst, St Petersburg, Russia; [Bauch, Dorothea] Univ Kiel, Leibniz Lab, Kiel, Germany</t>
  </si>
  <si>
    <t>Helmholtz Association; Alfred Wegener Institute, Helmholtz Centre for Polar &amp; Marine Research; Helmholtz Association; GEOMAR Helmholtz Center for Ocean Research Kiel; Arctic &amp; Antarctic Research Institute; University of Kiel</t>
  </si>
  <si>
    <t>Janout, MA (corresponding author), Helmholtz Ctr Polar &amp; Marine Res, Alfred Wegener Inst, Bremerhaven, Germany.</t>
  </si>
  <si>
    <t>markus.janout@awi.de</t>
  </si>
  <si>
    <t>Smirnov, Alexander/J-5935-2014; Krumpen, Thomas/D-5163-2011; Hoelemann, Jens/N-3608-2016</t>
  </si>
  <si>
    <t>Smirnov, Alexander/0000-0003-3231-7283; Krumpen, Thomas/0000-0001-6234-8756; Hoelemann, Jens/0000-0001-5102-4086; Laukert, Georgi/0000-0002-8209-763X</t>
  </si>
  <si>
    <t>German Federal Ministry of Education and Research [BMBF 03F0776, 03G0833]; Ministry of Education and Science of the Russian Federation</t>
  </si>
  <si>
    <t>German Federal Ministry of Education and Research(Federal Ministry of Education &amp; Research (BMBF)); Ministry of Education and Science of the Russian Federation(Ministry of Education and Science, Russian Federation)</t>
  </si>
  <si>
    <t>Financial support for the Laptev Sea System project was provided by the German Federal Ministry of Education and Research (Grants BMBF 03F0776 and 03G0833) and the Ministry of Education and Science of the Russian Federation.</t>
  </si>
  <si>
    <t>10.3389/fmars.2020.543489</t>
  </si>
  <si>
    <t>NU8IQ</t>
  </si>
  <si>
    <t>WOS:000573881800001</t>
  </si>
  <si>
    <t>Wong, APS; Wijffels, SE; Riser, SC; Pouliquen, S; Hosoda, S; Roemmich, D; Gilson, J; Johnson, GC; Martini, K; Murphy, DJ; Scanderbeg, M; Bhaskar, TVSU; Buck, JJH; Merceur, F; Carval, T; Maze, G; Cabanes, C; André, X; Poffa, N; Yashayaev, I; Barker, PM; Guinehut, S; Belbéoch, M; Ignaszewski, M; Baringer, MO; Schmid, C; Lyman, JM; McTaggart, KE; Purkey, SG; Zilberman, N; Alkire, MB; Swift, D; Owens, WB; Jayne, SR; Hersh, C; Robbins, P; West-Mack, D; Bahr, F; Yoshida, S; Sutton, PJH; Cancouët, R; Coatanoan, C; Dobbler, D; Juan, AG; Gourrion, JM; Kolodziejczyk, N; Bernard, V; Bourlès, B; Claustre, H; D'Ortenzio, F; Le Reste, S; Le Traon, PY; Rannou, JP; Saout-Grit, C; Speich, S; Thierry, V; Verbrugge, N; Angel-Benavides, IM; Klein, B; Notarstefano, G; Poulain, PM; Vélez-Belchí, P; Suga, T; Ando, K; Iwasaska, N; Kobayashi, T; Masuda, S; Oka, E; Sato, K; Nakamura, T; Sato, K; Takatsuki, Y; Yoshida, T; Cowley, R; Lovell, JL; Oke, PR; van Wijk, EM; Carse, F; Donnelly, M; Gould, WJ; Gowers, K; King, BA; Loch, SG; Mowat, M; Turton, J; Rao, EPR; Ravichandran, M; Freeland, HJ; Gaboury, I; Gilbert, D; Greenan, BJW; Ouellet, M; Ross, T; Tran, A; Dong, MM; Liu, ZH; Xu, JP; Kang, KR; Jo, H; Kim, SD; Park, HM</t>
  </si>
  <si>
    <t>Wong, Annie P. S.; Wijffels, Susan E.; Riser, Stephen C.; Pouliquen, Sylvie; Hosoda, Shigeki; Roemmich, Dean; Gilson, John; Johnson, Gregory C.; Martini, Kim; Murphy, David J.; Scanderbeg, Megan; Bhaskar, T. V. S. Udaya; Buck, Justin J. H.; Merceur, Frederic; Carval, Thierry; Maze, Guillaume; Cabanes, Cecile; Andre, Xavier; Poffa, Noe; Yashayaev, Igor; Barker, Paul M.; Guinehut, Stephanie; Belbeoch, Mathieu; Ignaszewski, Mark; Baringer, Molly O'Neil; Schmid, Claudia; Lyman, John M.; McTaggart, Kristene E.; Purkey, Sarah G.; Zilberman, Nathalie; Alkire, Matthew B.; Swift, Dana; Owens, W. Brechner; Jayne, Steven R.; Hersh, Cora; Robbins, Pelle; West-Mack, Deb; Bahr, Frank; Yoshida, Sachiko; Sutton, Philip J. H.; Cancouet, Romain; Coatanoan, Christine; Dobbler, Delphine; Juan, Andrea Garcia; Gourrion, Jerome; Kolodziejczyk, Nicolas; Bernard, Vincent; Bourles, Bernard; Claustre, Herve; D'Ortenzio, Fabrizio; Le Reste, Serge; Le Traon, Pierre-Yve; Rannou, Jean-Philippe; Saout-Grit, Carole; Speich, Sabrina; Thierry, Virginie; Verbrugge, Nathalie; Angel-Benavides, Ingrid M.; Klein, Birgit; Notarstefano, Giulio; Poulain, Pierre-Marie; Velez-Belchi, Pedro; Suga, Toshio; Ando, Kentaro; Iwasaska, Naoto; Kobayashi, Taiyo; Masuda, Shuhei; Oka, Eitarou; Sato, Kanako; Nakamura, Tomoaki; Sato, Katsunari; Takatsuki, Yasushi; Yoshida, Takashi; Cowley, Rebecca; Lovell, Jenny L.; Oke, Peter R.; van Wijk, Esmee M.; Carse, Fiona; Donnelly, Matthew; Gould, W. John; Gowers, Katie; King, Brian A.; Loch, Stephen G.; Mowat, Mary; Turton, Jon; Rama Rao, E. Pattabhi; Ravichandran, M.; Freeland, Howard J.; Gaboury, Isabelle; Gilbert, Denis; Greenan, Blair J. W.; Ouellet, Mathieu; Ross, Tetjana; Tran, Anh; Dong, Mingmei; Liu, Zenghong; Xu, Jianping; Kang, KiRyong; Jo, HyeongJun; Kim, Sung-Dae; Park, Hyuk-Min</t>
  </si>
  <si>
    <t>Argo Data 1999-2019: Two Million Temperature-Salinity Profiles and Subsurface Velocity Observations From a Global Array of Profiling Floats</t>
  </si>
  <si>
    <t>global; ocean; pressure; temperature; salinity; Argo; profiling; floats</t>
  </si>
  <si>
    <t>SENSOR; CIRCULATION; CALIBRATION; DRIFT</t>
  </si>
  <si>
    <t>In the past two decades, the Argo Program has collected, processed, and distributed over two million vertical profiles of temperature and salinity from the upper two kilometers of the global ocean. A similar number of subsurface velocity observations near 1,000 dbar have also been collected. This paper recounts the history of the global Argo Program, from its aspiration arising out of the World Ocean Circulation Experiment, to the development and implementation of its instrumentation and telecommunication systems, and the various technical problems encountered. We describe the Argo data system and its quality control procedures, and the gradual changes in the vertical resolution and spatial coverage of Argo data from 1999 to 2019. The accuracies of the float data have been assessed by comparison with high-quality shipboard measurements, and are concluded to be 0.002 degrees C for temperature, 2.4 dbar for pressure, and 0.01 PSS-78 for salinity, after delayed-mode adjustments. Finally, the challenges faced by the vision of an expanding Argo Program beyond 2020 are discussed.</t>
  </si>
  <si>
    <t>[Wong, Annie P. S.; Riser, Stephen C.; Alkire, Matthew B.; Swift, Dana] Univ Washington, Sch Oceanog, Seattle, WA 98195 USA; [Wijffels, Susan E.; Owens, W. Brechner; Jayne, Steven R.; Hersh, Cora; Robbins, Pelle; West-Mack, Deb; Bahr, Frank; Yoshida, Sachiko] Woods Hole Oceanog Inst, Falmouth, MA USA; [Pouliquen, Sylvie; Merceur, Frederic; Carval, Thierry; Poffa, Noe; Coatanoan, Christine; Dobbler, Delphine; Bernard, Vincent] IFREMER, IRSI, Plouzane, France; [Hosoda, Shigeki; Masuda, Shuhei; Sato, Kanako] Japan Agcy Marine Earth Sci &amp; Technol, Yokosuka, Kanagawa, Japan; [Roemmich, Dean; Gilson, John; Scanderbeg, Megan; Purkey, Sarah G.; Zilberman, Nathalie] Scripps Inst Oceanog, La Jolla, CA USA; [Johnson, Gregory C.; Lyman, John M.; McTaggart, Kristene E.] NOAA, Pacific Marine Environm Lab, 7600 Sand Point Way Ne, Seattle, WA 98115 USA; [Martini, Kim; Murphy, David J.] Sea Bird Sci, Bellevue, WA USA; [Bhaskar, T. V. S. Udaya; Rama Rao, E. Pattabhi] Minist Earth Sci, Indian Natl Ctr Ocean Informat Serv, Hyderabad, India; [Buck, Justin J. H.; Donnelly, Matthew; Gowers, Katie; Loch, Stephen G.] Natl Oceanog Ctr, British Oceanog Data Ctr, Liverpool, Merseyside, England; [Maze, Guillaume; Cabanes, Cecile; Kolodziejczyk, Nicolas; Thierry, Virginie] Univ Brest, CNRS, IFREMER, IRD,LOPS, Plouzane, France; [Andre, Xavier; Le Reste, Serge] IFREMER, RDT SIIM, Plouzane, France; [Yashayaev, Igor; Greenan, Blair J. W.] Fisheries &amp; Oceans Canada, Bedford Inst Oceanog, Dartmouth, NS, Canada; [Barker, Paul M.] Univ New South Wales, Sch Math &amp; Stat, Sydney, NSW, Australia; [Guinehut, Stephanie; Verbrugge, Nathalie] Collecte Localisat Satellites, Ramonville St Agne, France; [Belbeoch, Mathieu] JCOMMOPS, Plouzane, France; [Ignaszewski, Mark] Fleet Numer Meteorol &amp; Oceanog Ctr, Monterey, CA USA; [Baringer, Molly O'Neil; Schmid, Claudia] NOAA, Atlantic Oceanog &amp; Meteorol Lab, Miami, FL 33149 USA; [Lyman, John M.] Univ Hawaii Manoa, JIMAR, Honolulu, HI 96822 USA; [Sutton, Philip J. H.] Natl Inst Water &amp; Atmospher Res NIWA, Wellington, New Zealand; [Cancouet, Romain; Juan, Andrea Garcia] Euro Argo ERIC, Plouzane, France; [Gourrion, Jerome] OceanScope, Plouzane, France; [Bourles, Bernard] Technopole Pointe Diable, IRD, IMAGO, Plouzane, France; [Claustre, Herve; D'Ortenzio, Fabrizio] Sorbonne Univ, CNRS, LOV, Villefranche Sur Mer, France; [Le Traon, Pierre-Yve] Mercator Ocean Int, Ramonville St Agne, France; [Rannou, Jean-Philippe] Technopole Brest Iroise, ALTRAN Ouest, Site Vernis, Brest, France; [Saout-Grit, Carole] Glazeo, Nantes, France; [Speich, Sabrina] PSL Res Univ, Dept Geosci, LMD IPSL, ENS, Paris, France; [Angel-Benavides, Ingrid M.; Klein, Birgit] Bundesamt Seeschifffahrt &amp; Hydrog, Hamburg, Germany; [Notarstefano, Giulio; Poulain, Pierre-Marie] Natl Inst Oceanog &amp; Appl Geophys, Sgonico, Italy; [Velez-Belchi, Pedro] Inst Espanol Oceanog, Canary Isl, Spain; [Suga, Toshio] Tohoku Univ, Grad Sch Sci, Dept Geophys, Sendai, Miyagi, Japan; [Iwasaska, Naoto] Tokyo Univ Marine Sci &amp; Technol, Tokyo, Japan; [Oka, Eitarou] Univ Tokyo, Tokyo, Japan; [Nakamura, Tomoaki; Sato, Katsunari; Takatsuki, Yasushi; Yoshida, Takashi] Japan Meteorol Agcy, Tokyo, Japan; [Cowley, Rebecca; Lovell, Jenny L.; Oke, Peter R.; van Wijk, Esmee M.] CSIRO, Oceans &amp; Atmosphere, Hobart, Tas, Australia; [van Wijk, Esmee M.] Univ Tasmania, Australian Antarctic Program Partnership, Hobart, Tas, Australia; [Carse, Fiona; Turton, Jon] Met Off, Exeter, Devon, England; [Gould, W. John; King, Brian A.] Natl Oceanog Ctr, Southampton, Hants, England; [Mowat, Mary] British Geol Survey, Nottingham, England; [Ravichandran, M.] Minist Earth Sci, Natl Ctr Polar &amp; Ocean Res, Taleigao, Goa, India; [Freeland, Howard J.; Ross, Tetjana] Fisheries &amp; Oceans Canada, Inst Ocean Sci, Sidney, BC, Canada; [Gaboury, Isabelle; Ouellet, Mathieu; Tran, Anh] Fisheries &amp; Oceans Canada, Marine Environm Data Serv, Ottawa, ON, Canada; [Gilbert, Denis] Fisheries &amp; Oceans Canada, Maurice Lamontagne Inst, Mont Joli, PQ, Canada; [Dong, Mingmei] Natl Marine Data &amp; Informat Serv, Tianjin, Peoples R China; [Liu, Zenghong; Xu, Jianping] Minist Nat Resources, Inst Oceanog 2, State Key Lab Satellite Ocean Environm Dynam, Hangzhou, Peoples R China; [Kang, KiRyong; Jo, HyeongJun] Natl Inst Meteorol Sci, Seogwipo, South Korea; [Kim, Sung-Dae; Park, Hyuk-Min] Korea Inst Ocean Sci &amp; Technol, Ansan, South Korea</t>
  </si>
  <si>
    <t>University of Washington; University of Washington Seattle; Woods Hole Oceanographic Institution; Ifremer; Japan Agency for Marine-Earth Science &amp; Technology (JAMSTEC); University of California System; University of California San Diego; Scripps Institution of Oceanography; National Oceanic Atmospheric Admin (NOAA) - USA; Ministry of Earth Sciences (MoES) - India; Indian National Centre for Ocean Information Services (INCOIS); NERC National Oceanography Centre; Universite de Bretagne Occidentale; Institut de Recherche pour le Developpement (IRD); Centre National de la Recherche Scientifique (CNRS); Ifremer; Ifremer; Fisheries &amp; Oceans Canada; Bedford Institute of Oceanography; University of New South Wales Sydney; National Oceanic Atmospheric Admin (NOAA) - USA; Atlantic Oceanographic &amp; Meteorological Laboratory (AOML); University of Hawaii System; University of Hawaii Manoa; National Institute of Water &amp; Atmospheric Research (NIWA) - New Zealand; Institut de Recherche pour le Developpement (IRD); Sorbonne Universite; Centre National de la Recherche Scientifique (CNRS); Universite PSL; Ecole Normale Superieure (ENS); Ecole des Ponts ParisTech; Istituto Nazionale di Oceanografia e di Geofisica Sperimentale; Spanish Institute of Oceanography; Tohoku University; Tokyo University of Marine Science &amp; Technology; University of Tokyo; Japan Meteorological Agency; Commonwealth Scientific &amp; Industrial Research Organisation (CSIRO); University of Tasmania; Met Office - UK; NERC National Oceanography Centre; UK Research &amp; Innovation (UKRI); Natural Environment Research Council (NERC); NERC British Geological Survey; Ministry of Earth Sciences (MoES) - India; National Centre for Polar and Ocean Research (NCPOR); Fisheries &amp; Oceans Canada; Fisheries &amp; Oceans Canada; Fisheries &amp; Oceans Canada; National Marine Data &amp; Information Service; Ministry of Natural Resources of the People's Republic of China; National Institute of Meteorological Sciences; Korea Institute of Ocean Science &amp; Technology (KIOST)</t>
  </si>
  <si>
    <t>Wong, APS (corresponding author), Univ Washington, Sch Oceanog, Seattle, WA 98195 USA.</t>
  </si>
  <si>
    <t>apsw.uw@gmail.com</t>
  </si>
  <si>
    <t>CLAUSTRE, Herve/E-6877-2011; Purkey, Sarah G/K-1983-2012; BOURLES, Bernard/I-4673-2015; Ross, Tetjana/E-4073-2010; Johnson, Gregory C/I-6559-2012; Maze, Guillaume O/B-5247-2008; Cowley, Rebecca/ABB-7811-2021; Kolodziejczyk, Nicolas/P-3553-2015; Maze, Guillaume/AAB-4078-2019; van Wijk, Esmee/AAB-2451-2020; Coatanoan, Christine C/A-4497-2010; Suga, Toshio/C-2708-2009; Oke, Peter R/C-5127-2011; Baringer, Molly O/D-2277-2012; Le Traon, Pierre Yves/G-9342-2016; Kolodziejczyk, Nicolas/ABG-2605-2021; Lovell, Jennifer L/B-4604-2011; Speich, Sabrina/L-3780-2014; KIng, Brian/KDN-7191-2024; Claustre, Herve/JPL-2367-2023; Greenan, Blair/JAD-0075-2023; Thierry, Virginie/M-3086-2015</t>
  </si>
  <si>
    <t>CLAUSTRE, Herve/0000-0001-6243-0258; Johnson, Gregory C/0000-0002-8023-4020; Cowley, Rebecca/0000-0001-8541-3573; Maze, Guillaume/0000-0001-7231-2095; van Wijk, Esmee/0000-0002-9375-4383; Suga, Toshio/0000-0003-4219-6155; Le Traon, Pierre Yves/0000-0002-5484-3439; Kolodziejczyk, Nicolas/0000-0002-0751-1351; Speich, Sabrina/0000-0002-5452-8287; Donnelly, Matthew/0000-0002-2491-5497; COATANOAN, Christine/0000-0001-9387-1793; Ouellet, Mathieu/0000-0002-6186-0018; Gilbert, Denis/0000-0002-9554-9594; Lyman, John/0000-0002-7200-4663; Pouliquen, Sylvie/0000-0001-5709-7331; Merceur, Frederic/0000-0003-2154-7622; Andre, Xavier/0000-0002-0505-3297; Carse, Fiona/0000-0002-7556-2046; Wong, Annie P. S./0000-0003-3305-1640; Buck, Justin/0000-0002-3587-4889; Saout-Grit, Carole/0000-0002-3512-2070; Cancouet, Romain/0000-0002-0075-3075; Scanderbeg, Megan/0000-0002-0398-7272; Carval, Thierry/0000-0003-2700-4020; Wijffels, Susan/0000-0002-4717-0811; Thierry, Virginie/0000-0003-1602-6478</t>
  </si>
  <si>
    <t>US Argo Program through the NOAA Grant [NA15OAR4320063, NA19OAR4320074, NA15OAR4320071]; Monitoring the Oceans and Climate Change with Argo (MOCCA) project for the European Commission [EASME/EMFF/2015/1.2.1.1/SI2.709624]; NERC [bgs06004] Funding Source: UKRI</t>
  </si>
  <si>
    <t>US Argo Program through the NOAA Grant(National Oceanic Atmospheric Admin (NOAA) - USA); Monitoring the Oceans and Climate Change with Argo (MOCCA) project for the European Commission; NERC(UK Research &amp; Innovation (UKRI)Natural Environment Research Council (NERC))</t>
  </si>
  <si>
    <t>AW, SR, and other scientists at the University of Washington (UW) were supported by the US Argo Program through the NOAA Grant NA15OAR4320063 to the Joint Institute for the Study of the Atmosphere and Ocean (JISAO) at the UW. SW and other scientists at the Woods Hole Oceanographic Institution (WHOI) were supported by the US Argo Program through the NOAA Grant NA19OAR4320074 (CINAR/WHOI Argo). The Scripps Institution of Oceanography's role in Argo was supported by the US Argo Program through the NOAA Grant NA15OAR4320071 (CIMEC). Euro-Argo scientists were supported by the Monitoring the Oceans and Climate Change with Argo (MOCCA) project, under the Grant Agreement EASME/EMFF/2015/1.2.1.1/SI2.709624 for the European Commission.</t>
  </si>
  <si>
    <t>10.3389/fmars.2020.00700</t>
  </si>
  <si>
    <t>NU8IK</t>
  </si>
  <si>
    <t>WOS:000573881200001</t>
  </si>
  <si>
    <t>Li, CJ; Chen, JB; Angot, H; Zheng, W; Shi, GT; Ding, MH; Du, ZH; Zhang, QG; Ma, XY; Kang, SC; Xiao, CD; Ren, JW; Qin, DH</t>
  </si>
  <si>
    <t>Li, Chuanjin; Chen, Jiubin; Angot, Helene; Zheng, Wang; Shi, Guitao; Ding, Minghu; Du, Zhiheng; Zhang, Qianggong; Ma, Xiangyu; Kang, Shichang; Xiao, Cunde; Ren, Jiawen; Qin, Dahe</t>
  </si>
  <si>
    <t>Seasonal Variation of Mercury and Its Isotopes in Atmospheric Particles at the Coastal Zhongshan Station, Eastern Antarctica</t>
  </si>
  <si>
    <t>MASS-INDEPENDENT FRACTIONATION; DISPERSION MODEL FLEXPART; GASEOUS ELEMENTAL MERCURY; NITROGEN-OXIDES NO; FIRED POWER-PLANT; PARTICULATE MERCURY; SOURCE IDENTIFICATION; SPRINGTIME DEPLETION; BOUNDARY-LAYER; DOME C</t>
  </si>
  <si>
    <t>Mercury (Hg) is a globally spread trace metal due to its long atmospheric residence time. Yet, our understanding of atmospheric processes (e.g., redox reactions and deposition) driving Hg cycling is still limited, especially in polar regions. The Antarctic continent, by virtue of its remoteness, is the perfect location to investigate Hg atmospheric processes in the absence of significant local anthropogenic impact. Here, we present the first 2 year record (2016-2017) of total suspended particulate mercury (PHg) concentrations along with a year-round determination of an Hg stable isotopic composition in particles collected at Zhongshan Station (ZSS), eastern Antarctic coast. The mean PHg concentration is 21.8 +/- 32.1 pg/m(3), ranging from 0.9 to 195.6 pg/m(3), and peaks in spring and summer. The negative mass-independent fractionation of odd Hg isotopes (odd-MIF, average -0.38 +/- 0.12% for Delta Hg-199) and the slope of Delta Hg-199/Delta Hg-201 with 0.91 +/- 0.12 suggest that the springtime isotope variation of PHg is likely caused by in situ photo-oxidation and reduction reactions. On the other hand, the increase of PHg concentrations and the observed odd-MIF values in summer are attributed to the transport by katabatic winds of divalent species derived from the oxidation of elemental Hg in the inland Antarctic Plateau.</t>
  </si>
  <si>
    <t>[Li, Chuanjin; Ding, Minghu; Du, Zhiheng; Ma, Xiangyu; Kang, Shichang; Xiao, Cunde; Ren, Jiawen; Qin, Dahe] Chinese Acad Sci, Northwest Inst Ecoenvironm &amp; Resources, State Key Lab Cryospher Sci, Lanzhou 730000, Peoples R China; [Angot, Helene] Univ Colorado, Inst Arctic &amp; Alpine Res, Boulder, CO 80309 USA; [Chen, Jiubin; Zheng, Wang] Tianjin Univ, Inst Surface Earth Syst Sci, Tianjin 300072, Peoples R China; [Shi, Guitao] East China Normal Univ, Sch Geog Sci, Key Lab Geog Informat Sci, Minist Educ, Shanghai 200241, Peoples R China; [Shi, Guitao] East China Normal Univ, State Key Lab Estuarine &amp; Coastal Res, Shanghai 200241, Peoples R China; [Shi, Guitao] Polar Res Inst China, Shanghai 200062, Peoples R China; [Ding, Minghu] Chinese Acad Meteorol Sci, Inst Tibetan Plateau &amp; Polar Reg Meteorol, Beijing 100081, Peoples R China; [Zhang, Qianggong] Chinese Acad Sci, Inst Tibetan Plateau Res, Key Lab Tibetan Environm Changes &amp; Land Surface P, Beijing 100101, Peoples R China; [Xiao, Cunde] Beijing Normal Univ, State Key Lab Earth Surface Proc &amp; Resource Ecol, Beijing 100875, Peoples R China</t>
  </si>
  <si>
    <t>Chinese Academy of Sciences; University of Colorado System; University of Colorado Boulder; Tianjin University; East China Normal University; East China Normal University; Polar Research Institute of China; China Meteorological Administration; Chinese Academy of Meteorological Sciences (CAMS); Chinese Academy of Sciences; Institute of Tibetan Plateau Research, CAS; Beijing Normal University</t>
  </si>
  <si>
    <t>Chen, JB (corresponding author), Tianjin Univ, Inst Surface Earth Syst Sci, Tianjin 300072, Peoples R China.</t>
  </si>
  <si>
    <t>jbchen@tju.edu.cn</t>
  </si>
  <si>
    <t>Ding, Minghu/AFU-3600-2022; Jiawen, Ren/K-7734-2012; Zheng, Wang/O-1975-2013; Kang, Shichang/I-6830-2018</t>
  </si>
  <si>
    <t>Ding, Minghu/0000-0002-1142-6598; Kang, Shichang/0000-0003-2115-9005; Chen, JiuBin/0000-0001-7299-0355</t>
  </si>
  <si>
    <t>State Key Laboratory of Cryospheric Sciences (SKLCSZZ-2020); Innovative Research Group, the National Natural Science Foundation of China [41671063, 41830647, 41625012, 41961144028]; Youth Innovation Promotion Association, Chinese Academy of Sciences; Chinese Academy of Sciences (CAS)</t>
  </si>
  <si>
    <t>State Key Laboratory of Cryospheric Sciences (SKLCSZZ-2020); Innovative Research Group, the National Natural Science Foundation of China(National Natural Science Foundation of China (NSFC)); Youth Innovation Promotion Association, Chinese Academy of Sciences; Chinese Academy of Sciences (CAS)(Chinese Academy of Sciences)</t>
  </si>
  <si>
    <t>The authors would like to give thanks to all the members who participated in the 2015-2017 CHINARE field campaigns and their help on the sample collection. We are also thankful to the analyzing persons on mercury isotopes in the Institute of Surface-Earth System Science, Tianjin University: Dr. Xi Zhao and Dr. Tingting Liu of Wuhan University for the remote sensing images on sea ice; Dr. Rong Liu, Dr. Xiaoqing Cui, Ms. Xiaoxiang Wang, and Ms. Yuman Zhu from the Northwest Institute of Eco-Environment and Resources, Chinese Academy of Sciences who executed parts of the analyzing work and software analysis. This study is financially supported by the State Key Laboratory of Cryospheric Sciences (SKLCSZZ-2020), the Innovative Research Group, the National Natural Science Foundation of China (nos. 41671063, 41830647, 41625012, and 41961144028), and the Youth Innovation Promotion Association, Chinese Academy of Sciences and the Chinese Academy of Sciences (CAS) Pioneer Hundred Talents Program (Xiaoming Wang).</t>
  </si>
  <si>
    <t>10.1021/acs.est.0c04462</t>
  </si>
  <si>
    <t>NT3GW</t>
  </si>
  <si>
    <t>WOS:000572834700037</t>
  </si>
  <si>
    <t>Pedrazzi, D; Kereszturi, G; Lobo, A; Geyer, A; Calle, J</t>
  </si>
  <si>
    <t>Pedrazzi, Dario; Kereszturi, Gabor; Lobo, Agustin; Geyer, Adelina; Calle, Janina</t>
  </si>
  <si>
    <t>Geomorphology of the post-caldera monogenetic volcanoes at Deception Island, Antarctica - Implications for landform recognition and volcanic hazard assessment</t>
  </si>
  <si>
    <t>Tuff cone; Tuff ring; Digital Elevation Model; Slope angle; Hydrovolcanism; South Shetland Islands</t>
  </si>
  <si>
    <t>SOUTH SHETLAND-ISLANDS; BASALTIC TUFF RINGS; SCORIA CONES; BRANSFIELD STRAIT; CHEJU ISLAND; CINDER CONES; MORPHOMETRIC-ANALYSIS; CANARY-ISLANDS; MAUNA-KEA; MT. ETNA</t>
  </si>
  <si>
    <t>Deception Island is one of the most active volcanoes in Antarctica, with more than 20 monogenetic eruptions during the Holocene. The latest episodes of 1967, 1969, and 1970 have shown that volcanic activity on Deception Island can become a concern for tourists, scientists, and military personnel working on or near the island. The objective of this work is to identify eruptive processes and the geomorphic evolution of post-caldera mono genetic volcanic edifices at Deception Island by morphometric analyses, supported by field observations. Morphometric analysis has been used since the 1970s to analyse scoria cones, but it has rarely been applied to other monogenetic volcanoes, such as tuff cones and tuff rings. Tuff cones and tuff rings represent the most common landforms during Deception Island's recent geological past, with over 70 scattered eruptive vents inside and along the caldera rim. These volcanic landforms have been studied based on field observations and later, Digital Elevation Model analyses. Their geometry ranges from 10 to 100 m in height, and diameters vary between 300 and 2500 m. The morphometric data suggest that tuff cones have a more circular crater than tuff rings, with a significant separation between the two landforms using the height (H-co) and basal width (W-co) parameters. Tuff cones have H-co/W-co ratios with values between 0.04 and 0.16 and outer slopes between 7 degrees and 34 degrees. Tuff rings have lower H-co/W-co ratios that are between 0.01 and 0.04 and lower outer slopes between 3 degrees and 21 degrees. This study shows that basic shape parameters in combination with slope angle analysis can be used to discriminate among different types of monogenetic volcanoes. The initial eruptive-related morphometric diversity, however prevents correlation of eruption ages with morphometric parameters, or constructing a relative chronology of the monogenetic eruptions. This work provides a better comprehension of the potential evolution of a future eruption and a broader understanding of volcanic hazards on Deception Island. (C) 2020 Elsevier B.V. All rights reserved.</t>
  </si>
  <si>
    <t>[Pedrazzi, Dario; Lobo, Agustin; Geyer, Adelina] SIMGEO UB CSIC, ICTJA, CSIC, Inst Earth Sci Jaume Almera,Grp Volcanol, Lluis Sole i Sabaris S-N, Barcelona 08028, Spain; [Kereszturi, Gabor] Massey Univ, Sch Agr &amp; Environm, Volcan Risk Solut, Palmerston North, New Zealand; [Calle, Janina] Gli Studies &amp; Projects GLISP SA, Principal Florida Norte S-N, Guayaquil, Ecuador</t>
  </si>
  <si>
    <t>Consejo Superior de Investigaciones Cientificas (CSIC); CSIC - Geociencias Barcelona (GEO3BCN); Massey University</t>
  </si>
  <si>
    <t>Pedrazzi, D (corresponding author), SIMGEO UB CSIC, ICTJA, CSIC, Inst Earth Sci Jaume Almera,Grp Volcanol, Lluis Sole i Sabaris S-N, Barcelona 08028, Spain.</t>
  </si>
  <si>
    <t>dpedrazzi@ictja.csic.es</t>
  </si>
  <si>
    <t>Kereszturi, Gabor/I-1520-2019; Lobo, Agustin/C-8979-2013; Geyer, Adelina/C-9490-2011; Pedrazzi, Dario/G-1214-2016; Geyer, Adelina/A-6624-2012</t>
  </si>
  <si>
    <t>Kereszturi, Gabor/0000-0003-4336-2012; Lobo, Agustin/0000-0002-6689-2908; Geyer, Adelina/0000-0002-8803-6504</t>
  </si>
  <si>
    <t>MICINN grant [CTM2011-13578-E]; POSVOLDEC project (AEI/FEDER-UE) [CTM2016-79617-P]; Ramon y Cajal contract [RYC-2012-11024]; Beatriu de Pinos contract [2016 BP 00086]; Juan de la Cierva contract [IJCI-2016-30482]</t>
  </si>
  <si>
    <t>MICINN grant(Spanish Government); POSVOLDEC project (AEI/FEDER-UE); Ramon y Cajal contract(Spanish Government); Beatriu de Pinos contract; Juan de la Cierva contract</t>
  </si>
  <si>
    <t>This research was supported by theMICINN grant CTM2011-13578-E and was partially funded by the POSVOLDEC project (CTM2016-79617-P) (AEI/FEDER-UE). A.G. is grateful for her Ramon y Cajal contract (RYC-2012-11024). D.P. is grateful for his Beatriu de Pinos (2016 BP 00086) and Juan de la Cierva (IJCI-2016-30482) contracts. We thank all the military staff of the Spanish Antarctic Base Gabriel de Castilla for their constant help and logistic support. English text was corrected by Dr. Grant George Buffett of Terranova Scientific (www.terranova.barcelona).This manuscript was greatly improved by comments and suggestions from the chief-editor Jose Luis Macias, Alessandro Tibaldi, and two anonymous reviewers. This research is part of the POLARCSIC and AntVolc activities.</t>
  </si>
  <si>
    <t>10.1016/j.jvolgeores.2020.106986</t>
  </si>
  <si>
    <t>NT5JZ</t>
  </si>
  <si>
    <t>WOS:000572978400006</t>
  </si>
  <si>
    <t>Diller, A</t>
  </si>
  <si>
    <t>Diller, Adam</t>
  </si>
  <si>
    <t>More-than-human sonic engagements in documentary film and phonography</t>
  </si>
  <si>
    <t>STUDIES IN DOCUMENTARY FILM</t>
  </si>
  <si>
    <t>Sound studies; phonography; soundscapes; field recording; more-than-human; Anthropo</t>
  </si>
  <si>
    <t>Reconceiving relations with the more-than-human is a central concern of scholarship in the Anthropocene. In documentary film, entanglements with the more-than-human are expressed through cinematic relationships with subjects such as bees, freeways, Antarctic science, abandoned military bunkers, and emergency firefighting operations. Several recent documentary films use their soundtracks to anchor these engagements. This paper examines the construction of these soundtracks through a comparison between documentary film and phonography. Phonography - broadly defined as creative practices of recording, editing, and listening to sonic environments - foregrounds the material/cultural processes of all sound recording by attending to specific uses of microphones and studio editing techniques. I situate these sonic practices in relation to the foundational poles of soundscape andobjet sonoreestablished by R. Murray Schafer and Pierre Schaeffer,work by contemporary practitioners, and recent theorizations in sound studies. Interweaving an account of recent documentary soundtracks with theories and practices of phonography highlights the conceptual implications of specific sound recording techniques and attends to the ethics of sound recording practices. These sonic practices pose new questions about the work performed through documentary film soundtracks' engagements with the more-than-human.</t>
  </si>
  <si>
    <t>[Diller, Adam] Temple Univ, Dept Film &amp; Media Arts, 120 Annenberg Hall,2020 N 13th St, Philadelphia, PA 19122 USA</t>
  </si>
  <si>
    <t>Pennsylvania Commonwealth System of Higher Education (PCSHE); Temple University</t>
  </si>
  <si>
    <t>Diller, A (corresponding author), Temple Univ, Dept Film &amp; Media Arts, 120 Annenberg Hall,2020 N 13th St, Philadelphia, PA 19122 USA.</t>
  </si>
  <si>
    <t>adam.diller@gmail.com</t>
  </si>
  <si>
    <t>1750-3280</t>
  </si>
  <si>
    <t>1750-3299</t>
  </si>
  <si>
    <t>STUD DOC FILM</t>
  </si>
  <si>
    <t>Stud. Doc. Film</t>
  </si>
  <si>
    <t>SEP 2</t>
  </si>
  <si>
    <t>10.1080/17503280.2020.1815125</t>
  </si>
  <si>
    <t>Film, Radio, Television</t>
  </si>
  <si>
    <t>Film, Radio &amp; Television</t>
  </si>
  <si>
    <t>WC7VT</t>
  </si>
  <si>
    <t>WOS:000572265400001</t>
  </si>
  <si>
    <t>Phoma, BS; Makhalanyane, TP</t>
  </si>
  <si>
    <t>Phoma, Boitumelo Sandra; Makhalanyane, Thulani Peter</t>
  </si>
  <si>
    <t>Depth-Dependent Variables Shape Community Structure and Functionality in the Prince Edward Islands</t>
  </si>
  <si>
    <t>Bacteria; Archaea; Prince Edward Islands; Community structure; Extracellular enzymatic activity; Correlation analyses</t>
  </si>
  <si>
    <t>EXTRACELLULAR ENZYME-ACTIVITY; CLIMATE-CHANGE; WATER-COLUMN; OCEAN ACIDIFICATION; MICROBIAL DIVERSITY; BACTERIOPLANKTON COMMUNITY; BACTERIAL COMMUNITIES; NITROGEN-CYCLE; CARBON; TEMPERATURE</t>
  </si>
  <si>
    <t>Physicochemical variables limit and control the distribution of microbial communities in all environments. In the oceans, this may significantly influence functional processes such the consumption of dissolved organic material and nutrient sequestration. Yet, the relative contributions of physical factors, such as water mass variability and depth, on functional processes are underexplored. We assessed microbial community structure and functionality in the Prince Edward Islands (PEIs) using 16S rRNA gene amplicon analysis and extracellular enzymatic activity assays, respectively. We found that depth and nutrients substantially drive the structural patterns of bacteria and archaea in this region. Shifts from epipelagic to bathypelagic zones were linked to decreases in the activities of several extracellular enzymes. These extracellular enzymatic activities were positively correlated with several phyla including several Alphaproteobacteria (including members of the SAR 11 clade and orderRhodospirillales) and Cyanobacteria. We show that depth-dependent variables may be essential drivers of community structure and functionality in the PEIs.</t>
  </si>
  <si>
    <t>[Phoma, Boitumelo Sandra; Makhalanyane, Thulani Peter] Univ Pretoria, Ctr Microbial Ecol &amp; Genom, Dept Biochem Genet &amp; Microbiol, ZA-0028 Pretoria, South Africa; [Phoma, Boitumelo Sandra; Makhalanyane, Thulani Peter] Univ Pretoria, Dept Biochem Genet &amp; Microbiol, Marine Microbi Programme, ZA-0028 Pretoria, South Africa</t>
  </si>
  <si>
    <t>University of Pretoria; University of Pretoria</t>
  </si>
  <si>
    <t>Makhalanyane, TP (corresponding author), Univ Pretoria, Ctr Microbial Ecol &amp; Genom, Dept Biochem Genet &amp; Microbiol, ZA-0028 Pretoria, South Africa.;Makhalanyane, TP (corresponding author), Univ Pretoria, Dept Biochem Genet &amp; Microbiol, Marine Microbi Programme, ZA-0028 Pretoria, South Africa.</t>
  </si>
  <si>
    <t>thulani.makhalanyane@up.ac.za</t>
  </si>
  <si>
    <t>Makhalanyane, Thulani P./C-6815-2012</t>
  </si>
  <si>
    <t>Makhalanyane, Thulani P./0000-0002-8173-1678</t>
  </si>
  <si>
    <t>South African National Antarctic Programme of the National Research Foundation (NRF) [SANAP 110717]; University of Pretoria; Fulbright Visiting Scholar Programme; National Research Foundation PhD Innovation scholarship</t>
  </si>
  <si>
    <t>South African National Antarctic Programme of the National Research Foundation (NRF); University of Pretoria; Fulbright Visiting Scholar Programme; National Research Foundation PhD Innovation scholarship</t>
  </si>
  <si>
    <t>We thank the crew and the captain of the RV SA Agulhas for assistance with sample acquisition. We thank the South African National Antarctic Programme (SANAP 110717) of the National Research Foundation (NRF) and the University of Pretoria for funding. TPM also wishes to acknowledge the Fulbright Visiting Scholar Programme for providing sabbatical funding. BSP acknowledges the National Research Foundation PhD Innovation scholarship for awarding financial aid for research and travel. We thank the Centre for High Performance Computing (Cape Town, South Africa) and the University of Pretoria's Centre for Bioinformatics and Computation Biology for providing computational resources.</t>
  </si>
  <si>
    <t>10.1007/s00248-020-01589-4</t>
  </si>
  <si>
    <t>PX7VR</t>
  </si>
  <si>
    <t>WOS:000569570800001</t>
  </si>
  <si>
    <t>Thompson, AR; Geisen, S; Adams, BJ</t>
  </si>
  <si>
    <t>Thompson, Andrew R.; Geisen, Stefan; Adams, Byron J.</t>
  </si>
  <si>
    <t>Shotgun metagenomics reveal a diverse assemblage of protists in a model Antarctic soil ecosystem</t>
  </si>
  <si>
    <t>MCMURDO DRY VALLEYS; SUBUNIT RIBOSOMAL-RNA; TAYLOR VALLEY; VICTORIA LAND; BIODIVERSITY; COMMUNITIES; CARBON; PROTOZOA; ECOLOGY</t>
  </si>
  <si>
    <t>The soils of the McMurdo Dry Valleys (MDV) of Antarctica are established models for understanding fundamental processes in soil ecosystem functioning (e.g. ecological tipping points, community structuring and nutrient cycling) because the extreme physical environment drastically reduces biodiversity and ecological complexity. Understanding the functioning of MDV soils requires in-depth knowledge of the diversity of MDV soil species. Protists, which contribute significantly to soil ecosystem functioning worldwide, remain poorly characterized in the MDV. To better assess the diversity of MDV protists, we performed shotgun metagenomics on 18 sites representing a variety of landscape features and edaphic variables. Our results show MDV soil protists are diverse at both the genus (155 of 281 eukaryote genera) and family (120) levels, but comprise only 6% of eukaryotic reads. Protists are structured by moisture, total N and distance from the local coast and possess limited richness in arid (&lt; 5% moisture) and at high elevation sites, known drivers of communities in the MDV. High relative diversity and broad distribution of protists in our study promotes these organisms as key members of MDV soil microbiomes and the MDV as a useful system for understanding the contribution of soil protists to the structure of soil microbiomes.</t>
  </si>
  <si>
    <t>[Thompson, Andrew R.; Adams, Byron J.] Brigham Young Univ, Dept Biol, Provo, UT 84602 USA; [Geisen, Stefan] Netherlands Inst Ecol, Dept Terr Ecol, NL-6708 PB Wageningen, Netherlands; [Geisen, Stefan] Wageningen Univ, Nematol Lab, NL-6700 AA Wageningen, Netherlands; [Adams, Byron J.] Brigham Young Univ, Monte L Bean Life Sci Museum, Provo, UT 84602 USA</t>
  </si>
  <si>
    <t>Brigham Young University; Royal Netherlands Academy of Arts &amp; Sciences; Netherlands Institute of Ecology (NIOO-KNAW); Wageningen University &amp; Research; Brigham Young University</t>
  </si>
  <si>
    <t>Thompson, AR (corresponding author), Brigham Young Univ, Dept Biol, Provo, UT 84602 USA.</t>
  </si>
  <si>
    <t>andrew.thompson8956@gmail.com</t>
  </si>
  <si>
    <t>Adams, Byron/0000-0002-7815-3352; Thompson, Andrew/0000-0003-4523-9245</t>
  </si>
  <si>
    <t>National Science Foundation [OPP-1637708]; Monte L. Bean Life Science Museum; Department of Biology, Brigham Young University; Netherlands Organization for Scientific Research (NWO-VENI) [016.Veni.181.078]</t>
  </si>
  <si>
    <t>National Science Foundation(National Science Foundation (NSF)); Monte L. Bean Life Science Museum; Department of Biology, Brigham Young University; Netherlands Organization for Scientific Research (NWO-VENI)(Netherlands Organization for Scientific Research (NWO))</t>
  </si>
  <si>
    <t>This research was funded by the National Science Foundation Grant #OPP-1637708 to Byron J. Adams and is a contribution to the McMurdo Dry Valleys Long Term Ecological Research (LTER) program. Additional support was provided by the Monte L. Bean Life Science Museum and the Department of Biology, Brigham Young University. Stefan Geisen acknowledges funding from the Netherlands Organization for Scientific Research (NWO-VENI, 016.Veni.181.078). Andrew R. Thompson would like to thank Coltin Romney and Hailey Olsen for their assistance in data generation; Zach Aanderud and Natasha Griffin for their help with certain preliminary analyses; and Stuart Bamforth for early and critical discussions on protist diversity in the dry valleys. Our paper was significantly improved by the constructive criticisms of two reviewers, Christophe Seppey and David M. Wilkinson, and we would like to thank them for their time and effort.</t>
  </si>
  <si>
    <t>10.1111/1462-2920.15198</t>
  </si>
  <si>
    <t>OP4OS</t>
  </si>
  <si>
    <t>WOS:000569353300001</t>
  </si>
  <si>
    <t>Müller, MN; Brandini, FP; Trull, TW; Hallegraeff, GM</t>
  </si>
  <si>
    <t>Mueller, Marius N.; Brandini, Frederico P.; Trull, Thomas W.; Hallegraeff, Gustaaf M.</t>
  </si>
  <si>
    <t>Coccolith volume of the Southern Ocean coccolithophoreEmiliania huxleyias a possible indicator for palaeo-cell volume</t>
  </si>
  <si>
    <t>GEOBIOLOGY</t>
  </si>
  <si>
    <t>carbonate chemistry; coccolith geometry; Emiliania huxleyi; light; nutrient limitation; Southern Ocean; temperature</t>
  </si>
  <si>
    <t>CHANGING CARBONATE CHEMISTRY; EMILIANIA-HUXLEYI; CALCIUM-CARBONATE; GENETIC DIFFERENTIATION; ENVIRONMENTAL CONTROLS; ISOTOPE FRACTIONATION; METABOLIC-RATES; GROWTH-PHASE; SIZE; CALCIFICATION</t>
  </si>
  <si>
    <t>Coccolithophores are a key functional phytoplankton group and produce minute calcite plates (coccoliths) in the sunlit layer of the pelagic ocean. Coccoliths significantly contribute to the sediment record since the Triassic and their geometry have been subject to palaeoceanographic and biological studies to retrieve information on past environmental conditions. Here, we present a comprehensive analysis of coccolith, coccosphere and cell volume data of the Southern OceanEmiliania huxleyiecotype A, subject to gradients of temperature, irradiance, carbonate chemistry and macronutrient limitation. All tested environmental drivers significantly affect coccosphere, coccolith and cell volume with driver-specific sensitivities. However, a highly significant correlation emerged between cell and coccolith volume withV(coccolith) = 0.012 +/- 0.001 * V-cell + 0.234 +/- 0.066 (n = 23,r(2) = .85,p &lt; .0001,sigma(est) = 0.127), indicating a primary control of coccolith volume by physiological modulated changes in cell volume. We discuss the possible application of fossil coccolith volume as an indicator for cell volume/size and growth rate and, additionally, illustrate that macronutrient limitation of phosphorus and nitrogen has the predominant influence on coccolith volume in respect to other environmental drivers. Our results provide a solid basis for the application of coccolith volume and geometry as a palaeo-proxy and shed light on the underlying physiological reasons, offering a valuable tool to investigate the fossil record of the coccolithophoreE. huxleyi.</t>
  </si>
  <si>
    <t>[Mueller, Marius N.] Fed Univ Pernambuco UFPE, Dept Oceanog, Recife, PE, Brazil; [Brandini, Frederico P.] Univ Sao Paulo IO USP, Oceanog Inst, Sao Paulo, SP, Brazil; [Trull, Thomas W.] Univ Tasmania, Antarctic Climate &amp; Ecosyst Cooperat Res Ctr, Hobart, Tas, Australia; [Trull, Thomas W.] CSIRO Oceans &amp; Atmosphere, Hobart, Tas, Australia; [Hallegraeff, Gustaaf M.] Inst Marine &amp; Antarct Studies IMAS, Hobart, Tas, Australia</t>
  </si>
  <si>
    <t>Universidade Federal de Pernambuco; University of Tasmania; Antarctic Climate &amp; Ecosystems Cooperative Research Centre (ACE CRC); Commonwealth Scientific &amp; Industrial Research Organisation (CSIRO)</t>
  </si>
  <si>
    <t>Müller, MN (corresponding author), Fed Univ Pernambuco UFPE, Dept Oceanog, Recife, PE, Brazil.</t>
  </si>
  <si>
    <t>mariusnmuller@gmail.com</t>
  </si>
  <si>
    <t>Hallegraeff, Gustaaf/C-8351-2013; Muller, Marius N./N-9338-2014</t>
  </si>
  <si>
    <t>Hallegraeff, Gustaaf/0000-0001-8464-7343; Muller, Marius N./0000-0003-4765-3933; Brandini, Frederico/0000-0002-3177-4274</t>
  </si>
  <si>
    <t>Conselho Nacional de Desenvolvimento Cientifico e Tecnologico [405585/2013-6]; Australian Research Council [DP 1093801]</t>
  </si>
  <si>
    <t>Conselho Nacional de Desenvolvimento Cientifico e Tecnologico(Conselho Nacional de Desenvolvimento Cientifico e Tecnologico (CNPQ)); Australian Research Council(Australian Research Council)</t>
  </si>
  <si>
    <t>Conselho Nacional de Desenvolvimento Cientifico e Tecnologico, Grant/Award Number: 405585/2013-6; Australian Research Council, Grant/Award Number: DP 1093801</t>
  </si>
  <si>
    <t>1472-4677</t>
  </si>
  <si>
    <t>1472-4669</t>
  </si>
  <si>
    <t>Geobiology</t>
  </si>
  <si>
    <t>10.1111/gbi.12414</t>
  </si>
  <si>
    <t>Biology; Environmental Sciences; Geosciences, Multidisciplinary</t>
  </si>
  <si>
    <t>Life Sciences &amp; Biomedicine - Other Topics; Environmental Sciences &amp; Ecology; Geology</t>
  </si>
  <si>
    <t>PU3OM</t>
  </si>
  <si>
    <t>WOS:000569223600001</t>
  </si>
  <si>
    <t>Mills, WF; McGill, RAR; Cherel, Y; Votier, SC; Phillips, RA</t>
  </si>
  <si>
    <t>Mills, William F.; McGill, Rona A. R.; Cherel, Yves; Votier, Stephen C.; Phillips, Richard A.</t>
  </si>
  <si>
    <t>Stable isotopes demonstrate intraspecific variation in habitat use and trophic level of non-breeding albatrosses</t>
  </si>
  <si>
    <t>IBIS</t>
  </si>
  <si>
    <t>intraspecific variation; migration; Procellariiformes; seabirds; Southern Ocean; Thalassarche chrysostoma</t>
  </si>
  <si>
    <t>QUANTIFYING INDIVIDUAL SPECIALIZATION; FORAGING AREAS; MIGRATION STRATEGIES; DIOMEDEA-MELANOPHRIS; TRACKING; SEABIRDS; VARIABILITY; PATTERNS; NITROGEN; CARBON</t>
  </si>
  <si>
    <t>The non-breeding period is critical for restoration of body condition and self-maintenance in albatrosses, yet detailed information on diet and distribution during this stage of the annual cycle is lacking for many species. Here, we use stable isotope values of body feathers (delta C-13, delta N-15) to infer habitat use and trophic level of non-breeding adult Grey-headed AlbatrossesThalassarche chrysostoma(n = 194) from South Georgia. Specifically, we: (1) investigate intrinsic drivers (sex, age, previous breeding outcome) of variation in habitat use and trophic level; (2) quantify variation among feathers of the same birds; and (3) examine potential carry-over effects of habitat use and trophic level during the non-breeding period on subsequent breeding outcome. In agreement with previous tracking studies, delta C-13 values of individual feathers indicate that non-breeding Grey-headed Albatrosses from South Georgia foraged across a range of oceanic habitats, but mostly in subantarctic waters, between the Antarctic Polar Front and Subtropical Front. Sex differences were subtle but statistically significant, and overlap in the core isotopic niche areas was high (62%); however, males exhibited slightly lower delta C-13 and higher delta N-15 values than females, indicating that males forage at higher latitudes and at a higher trophic level. Neither age nor previous breeding outcome influenced stable isotope values, and we found no evidence of carry-over effects of non-breeding habitat use or trophic level on subsequent breeding outcome. Repeatability among feathers of the same individual was moderate in delta C-13 and low in delta N-15. This cross-sectional study demonstrates high variability in the foraging and migration strategies of this albatross population.</t>
  </si>
  <si>
    <t>[Mills, William F.; Phillips, Richard A.] British Antarctic Survey, Nat Environm Res Council, Cambridge CB3 0ET, England; [Mills, William F.; Votier, Stephen C.] Univ Exeter, Ctr Ecol &amp; Conservat, Penryn Campus, Penryn TR10 9EZ, Cornwall, England; [McGill, Rona A. R.] Scottish Univ Environm Res Ctr, NERC Life Sci Mass Spectrometry Facil, E Kilbride G75 0QF, Lanark, Scotland; [Cherel, Yves] La Rochelle Univ, CNRS, UMR 7372, Ctr Etud Biol Chize CEBC, F-79360 Villiers En Bois, France</t>
  </si>
  <si>
    <t>UK Research &amp; Innovation (UKRI); Natural Environment Research Council (NERC); NERC British Antarctic Survey; University of Exeter; Scottish Universities Research &amp; Reactor Center; UK Research &amp; Innovation (UKRI); Natural Environment Research Council (NERC); Centre National de la Recherche Scientifique (CNRS); CNRS - Institute of Ecology &amp; Environment (INEE)</t>
  </si>
  <si>
    <t>Mills, WF (corresponding author), British Antarctic Survey, Nat Environm Res Council, Cambridge CB3 0ET, England.;Mills, WF (corresponding author), Univ Exeter, Ctr Ecol &amp; Conservat, Penryn Campus, Penryn TR10 9EZ, Cornwall, England.</t>
  </si>
  <si>
    <t>wilmil23@bas.ac.uk</t>
  </si>
  <si>
    <t>Votier, Stephen/IUO-0154-2023; McGill, Rona/JAC-6969-2023; Mills, William F/AAV-5737-2020; McGill, Rona/F-1793-2010</t>
  </si>
  <si>
    <t>Votier, Stephen/0000-0002-0976-0167; Mills, William F/0000-0001-7170-5794; McGill, Rona/0000-0003-0400-7288; Cherel, Yves/0000-0001-9469-9489</t>
  </si>
  <si>
    <t>NERC GW4+ Doctoral Training Partnership studentship from the Natural Environment Research Council [NE/L002434/1]; NERC Life Sciences Mass Spectrometry Facility [EK311-12/18]; Natural Environment Research Council; NERC [bas0100035] Funding Source: UKRI</t>
  </si>
  <si>
    <t>NERC GW4+ Doctoral Training Partnership studentship from the Natural Environment Research Council(UK Research &amp; Innovation (UKRI)Natural Environment Research Council (NERC)); NERC Life Sciences Mass Spectrometry Facility; Natural Environment Research Council(UK Research &amp; Innovation (UKRI)Natural Environment Research Council (NERC)); NERC(UK Research &amp; Innovation (UKRI)Natural Environment Research Council (NERC))</t>
  </si>
  <si>
    <t>The authors thank all field assistants involved in collecting albatross feather samples at Bird Island. Constructive comments from two anonymous reviewers substantially improved this work. W.F.M. is supported by an NERC GW4+ Doctoral Training Partnership studentship from the Natural Environment Research Council (NE/L002434/1). Stable isotope analyses were funded by the NERC Life Sciences Mass Spectrometry Facility (grant number EK311-12/18). This work represents a contribution to the Ecosystems component of the British Antarctic Survey Polar Science for Planet Earth Programme, funded by the Natural Environment Research Council.</t>
  </si>
  <si>
    <t>0019-1019</t>
  </si>
  <si>
    <t>1474-919X</t>
  </si>
  <si>
    <t>Ibis</t>
  </si>
  <si>
    <t>10.1111/ibi.12874</t>
  </si>
  <si>
    <t>QR5JG</t>
  </si>
  <si>
    <t>WOS:000569228100001</t>
  </si>
  <si>
    <t>Aoki, S; Yamazaki, K; Hirano, D; Katsumata, K; Shimada, K; Kitade, Y; Sasaki, H; Murase, H</t>
  </si>
  <si>
    <t>Aoki, S.; Yamazaki, K.; Hirano, D.; Katsumata, K.; Shimada, K.; Kitade, Y.; Sasaki, H.; Murase, H.</t>
  </si>
  <si>
    <t>Reversal of freshening trend of Antarctic Bottom Water in the Australian-Antarctic Basin during 2010s</t>
  </si>
  <si>
    <t>SEA-LEVEL RISE; GLOBAL HEAT; LAND COAST; CIRCULATION; EAST; POLYNYA; BAY</t>
  </si>
  <si>
    <t>The Antarctic continental margin supplies the densest bottom water to the global abyss. From the late twentieth century, an acceleration in the long-term freshening of Antarctic Bottom Waters (AABW) has been detected in the Australian-Antarctic Basin. Our latest hydrographic observations reveal that, in the late 2010s, the freshening trend has reversed broadly over the continental slope. Near-bottom salinities in 2018-2019 were higher than during 2011-2015. Along 170 degrees E, the salinity increase between 2011 and 2018 was greater than that observed in the west. The layer thickness of the densest AABW increased during the 2010s, suggesting that the Ross Sea Bottom Water intensification was a major source of the salinity increase. Freshwater content on the continental slope decreased at a rate of 58 +/- 37 Gt/a in the near-bottom layer. The decadal change is very likely due to changes in Ross Sea shelf water attributable to a decrease in meltwater from West Antarctic ice shelves for the corresponding period.</t>
  </si>
  <si>
    <t>[Aoki, S.; Hirano, D.] Hokkaido Univ, Inst Low Temp Sci, Sapporo, Hokkaido, Japan; [Aoki, S.; Yamazaki, K.; Hirano, D.] Hokkaido Univ, Grad Sch Environm Sci, Sapporo, Hokkaido, Japan; [Hirano, D.] Hokkaido Univ, Arctic Res Ctr, Sapporo, Hokkaido, Japan; [Katsumata, K.] Japan Agcy Marine Earth Sci &amp; Technol, Yokosuka, Kanagawa, Japan; [Shimada, K.; Kitade, Y.; Murase, H.] Tokyo Univ Marine Sci &amp; Technol, Tokyo, Japan; [Sasaki, H.] Japan Fisheries Res &amp; Educ Agcy, Yokohama, Kanagawa, Japan</t>
  </si>
  <si>
    <t>Hokkaido University; Hokkaido University; Hokkaido University; Japan Agency for Marine-Earth Science &amp; Technology (JAMSTEC); Tokyo University of Marine Science &amp; Technology; Japan Fisheries Research &amp; Education Agency (FRA)</t>
  </si>
  <si>
    <t>Aoki, S (corresponding author), Hokkaido Univ, Inst Low Temp Sci, Sapporo, Hokkaido, Japan.;Aoki, S (corresponding author), Hokkaido Univ, Grad Sch Environm Sci, Sapporo, Hokkaido, Japan.</t>
  </si>
  <si>
    <t>shigeru@lowtem.hokudai.ac.jp</t>
  </si>
  <si>
    <t>Katsumata, Katsuro/AAR-5034-2020; Murase, Hiroto/W-3556-2019; Yamazaki, Kaihe/HRC-7878-2023; KITADE, Yujiro/O-1912-2014</t>
  </si>
  <si>
    <t>Katsumata, Katsuro/0000-0002-4683-7610; Murase, Hiroto/0000-0001-7784-6555; Yamazaki, Kaihe/0000-0003-3631-5365; KITADE, Yujiro/0000-0002-9312-6870</t>
  </si>
  <si>
    <t>Institute of Cetacean Research and Fisheries Agency of Japan [17H01615]; MEXT of the Japanese Government; Grants-in-Aid for Scientific Research [20H04961, 17H01615] Funding Source: KAKEN</t>
  </si>
  <si>
    <t>Institute of Cetacean Research and Fisheries Agency of Japan; MEXT of the Japanese Government(Ministry of Education, Culture, Sports, Science and Technology, Japan (MEXT)); Grants-in-Aid for Scientific Research(Ministry of Education, Culture, Sports, Science and Technology, Japan (MEXT)Japan Society for the Promotion of ScienceGrants-in-Aid for Scientific Research (KAKENHI))</t>
  </si>
  <si>
    <t>The survey conducted by Kaiyo-maru and the subsequent analysis were supported by the Institute of Cetacean Research and Fisheries Agency of Japan. This work was supported by Grant-in-Aid for Scientific Research (17H01615) from the MEXT of the Japanese Government.</t>
  </si>
  <si>
    <t>10.1038/s41598-020-71290-6</t>
  </si>
  <si>
    <t>NU6JS</t>
  </si>
  <si>
    <t>WOS:000573749400001</t>
  </si>
  <si>
    <t>Lucas, EM; Soto, D; Nyblade, AA; Lloyd, AJ; Aster, RC; Wiens, DA; O'Donnell, JP; Stuart, GW; Wilson, TJ; Dalziel, IW; Winberry, JP; Huerta, AD</t>
  </si>
  <si>
    <t>Lucas, Erica M.; Soto, David; Nyblade, Andrew A.; Lloyd, Andrew J.; Aster, Richard C.; Wiens, Douglas A.; O'Donnell, John Paul; Stuart, Graham W.; Wilson, Terry J.; Dalziel, Ian W.; Winberry, J. Paul; Huerta, Audrey D.</t>
  </si>
  <si>
    <t>P- and S-wave velocity structure of central West Antarctica: Implications for the tectonic evolution of the West Antarctic Rift System</t>
  </si>
  <si>
    <t>Antarctica; West Antarctic Rift System; mantle structure; seismic tomography; West Antarctic Ice Sheet</t>
  </si>
  <si>
    <t>MARIE-BYRD-LAND; UPPER-MANTLE STRUCTURE; STRUCTURE BENEATH; RAYLEIGH-WAVE; ELLSWORTH MOUNTAINS; SEISMIC VELOCITY; GEOTHERMAL FLUX; SEA EMBAYMENT; ICE; CRUSTAL</t>
  </si>
  <si>
    <t>New P- and S-wave velocity models of the upper mantle from 100 to 400 km depth beneath the central portions of West Antarctica, obtained by inverting relative travel-times from teleseismic earthquakes recorded on Polar Earth Observing Network (POLENET/ANET) and UK Antarctic Network (UKANET) seismic stations between 2007 and 2017, reveal a heterogeneous upper mantle. A low velocity anomaly (-1.0% Vp; -2.0% Vs) imaged beneath Marie Byrd Land is attributed to thermally perturbed upper mantle of possible plume origin, and a low velocity anomaly imaged beneath the Pine Island Glacier and the mouth of Thwaites Glacier is interpreted as a rift-related thermal structure that may include warm mantle flowing from Marie Byrd Land. High velocity anomalies (&lt;= 0.8% Vp; 1.5% Vs) imaged in the central portion of the West Antarctic Rift System indicate the presence of lithosphere unmodified by tectonic activity since the Late Cretaceous formation of the rift system. Within the region of high velocities, localized low velocity anomalies beneath parts of the Bentley Subglacial Trench are suggestive of focused Cenozoic rifting. The models also show variable velocity structure beneath the Haag-Ellsworth Whitmore crustal block and low velocities beneath the Thurston Island-Eights Coast crustal block. The heterogenous upper mantle structure of central West Antarctica indicates that upper mantle temperatures could vary by 100 K or more over distances of less than 100 km, which may add complexity to solid earth-ice interactions and influence basal ice sheet conditions. (C) 2020 Elsevier B.V. All rights reserved.</t>
  </si>
  <si>
    <t>[Lucas, Erica M.; Soto, David; Nyblade, Andrew A.] Penn State Univ, Dept Geosci, 503 Deike Bldg, University Pk, PA 16802 USA; [Lloyd, Andrew J.; Wiens, Douglas A.] Washington Univ, Dept Earth &amp; Planetary Sci, 1 Brookings Dr, St Louis, MO 63130 USA; [Aster, Richard C.] Colorado State Univ, Warner Coll Nat Resources, Dept Geosci, 400 Univ Ave, Ft Collins, CO 80523 USA; [O'Donnell, John Paul; Stuart, Graham W.] Univ Leeds, Sch Earth &amp; Environm, Leeds LS2 9JT, W Yorkshire, England; [Wilson, Terry J.] Ohio State Univ, Sch Earth Sci, 125 Oval Dr S, Columbus, OH 43210 USA; [Dalziel, Ian W.] Univ Texas Austin, Jackson Sch Geosci, 2305 Speedway, Austin, TX 78712 USA; [Winberry, J. Paul; Huerta, Audrey D.] Cent Washington Univ, Dept Geol Sci, 400 E Univ Way, Ellensburg, WA 98926 USA</t>
  </si>
  <si>
    <t>Pennsylvania Commonwealth System of Higher Education (PCSHE); Pennsylvania State University; Pennsylvania State University - University Park; Washington University (WUSTL); Colorado State University; University of Leeds; University System of Ohio; Ohio State University; University of Texas System; University of Texas Austin; Central Washington University</t>
  </si>
  <si>
    <t>Lucas, EM (corresponding author), Penn State Univ, Dept Geosci, 503 Deike Bldg, University Pk, PA 16802 USA.</t>
  </si>
  <si>
    <t>emlucas@psu.edu; david_soto_73@yahoo.com; aan2@psu.edu; lloyd42486@gmail.com; rick.aster@colostate.edu; doug@wustl.edu; johnpaulodonnell@gmail.com; g.w.stuart@leeds.ac.uk; wilson.43osu@gmail.com; ian@ig.utexas.edu; paul.winberry@gmail.com; huertaa@geology.cwu.edu</t>
  </si>
  <si>
    <t>Aster, Richard/E-5067-2013; Winberry, Paul/HLQ-2673-2023; Huerta, Audrey D/A-8680-2009; Dalziel, Ian W. D./G-5926-2010; Facility, NERC Geophysical Equipment/G-5260-2010; Wiens, Douglas/J-9259-2016</t>
  </si>
  <si>
    <t>Aster, Richard/0000-0002-0821-4906; Winberry, Paul/0000-0003-1205-0745; Wiens, Douglas/0000-0002-5169-4386; Lucas, Erica/0000-0001-6372-3570; Huerta, Audrey/0000-0002-0252-8496; O'Donnell, John Paul/0000-0003-1524-2312; Lloyd, Andrew/0000-0002-2253-1342</t>
  </si>
  <si>
    <t>National Science Foundation (NSF) [1142126, 1142518, 1141916, 1148982, 1246416, 1246151, 1249631, 1249602, 1249513, 1246666, 1246712, 1246776, 1247518]; Natural Environment Research Council [NE/L006065/1, NE/L006294/1, NE/K009958/1]; Incorporated Research Institutions for Seismology (IRIS) through the Portable Array Seismic Studies of the Continental Lithosphere (PASSCAL) Instrument Center at New Mexico Tech; SEIS-UK; NERC [NE/L006294/1, NE/L006065/1] Funding Source: UKRI</t>
  </si>
  <si>
    <t>National Science Foundation (NSF)(National Science Foundation (NSF)); Natural Environment Research Council(UK Research &amp; Innovation (UKRI)Natural Environment Research Council (NERC)); Incorporated Research Institutions for Seismology (IRIS) through the Portable Array Seismic Studies of the Continental Lithosphere (PASSCAL) Instrument Center at New Mexico Tech; SEIS-UK; NERC(UK Research &amp; Innovation (UKRI)Natural Environment Research Council (NERC))</t>
  </si>
  <si>
    <t>This work was supported by the National Science Foundation (NSF) (grants 1142126, 1142518, 1141916, 1148982, 1246416, 1246151, 1249631, 1249602, 1249513, 1246666, 1246712, 1246776, 1247518) and by the Natural Environment Research Council (grants NE/L006065/1, NE/L006294/1, NE/K009958/1). POLENET/ANET seismic instrumentation was provided and supported by the Incorporated Research Institutions for Seismology (IRIS) through the Portable Array Seismic Studies of the Continental Lithosphere (PASSCAL) Instrument Center at New Mexico Tech. UKANET seismic instrumentation was provided and supported by SEIS-UK. We thank three anonymous reviewers for constructive and helpful reviews.</t>
  </si>
  <si>
    <t>10.1016/j.epsl.2020.116437</t>
  </si>
  <si>
    <t>MP3VM</t>
  </si>
  <si>
    <t>WOS:000552134300013</t>
  </si>
  <si>
    <t>Suttle, MD; Dionnet, Z; Franchi, I; Folco, L; Gibson, J; Greenwood, RC; Rotundi, A; King, A; Russell, SS</t>
  </si>
  <si>
    <t>Suttle, M. D.; Dionnet, Z.; Franchi, I; Folco, L.; Gibson, J.; Greenwood, R. C.; Rotundi, A.; King, A.; Russell, S. S.</t>
  </si>
  <si>
    <t>Isotopic and textural analysis of giant unmelted micrometeorites - identification of new material from intensely altered 16O-poor water-rich asteroids</t>
  </si>
  <si>
    <t>micrometeorites; carbonaceous chondrites; O-isotopes; water-to-rock ratio</t>
  </si>
  <si>
    <t>PROGRESSIVE AQUEOUS ALTERATION; OXYGEN-ISOTOPE; COSMIC SPHERULES; ANTARCTIC MICROMETEORITES; CARBONACEOUS CHONDRITES; ATMOSPHERIC ENTRY; MODAL MINERALOGY; PARENT BODY; CM; CR</t>
  </si>
  <si>
    <t>Bulk oxygen isotope data has the potential to match extraterrestrial samples to parent body sources based on distinctive delta O-18 and Delta O-17 ratios. We analysed 10 giant (&gt; 500 mu m) micrometeorites using combined micro-Computer Tomography (mu CT) and O-isotope analysis to pair internal textures to inferred parent body groups. We identify three ordinary chondrite particles (L and LL groups), four from CR chondrites and the first micrometeorite from the enstatite chondrite (EH4) group. In addition, two micrometeorites are from hydrated carbonaceous chondrite parent bodies with O-16-poor isotopic compositions and plot above the terrestrial fractionation line. They experienced intense aqueous alteration, contain pseudomorphic chondrules and are petrographically similar to the CM1/CR1 chondrites. These micrometeorites may be members of the newly established CY chondrites and/or derived from the enigmatic Group 4 micrometeorite population, previously identified by Yada et al., 2005 [GCA, 69:5789-5804], Suavet et al., [EPSL, 293:313-320] (and others). One of our O-16-poor micrometeorite plots on the same isotopic trendline as the CO, CM and CY chondrites - the CM mixing line (with a slope of similar to 0.7 and a delta O-17 intercept of -4.23 parts per thousand), this implies a close relationship and potentially a genetic link to these hydrated chondrites. If position along the CM mixing line reflects the amount of O-16-poor (heavy) water-ice accreted onto the parent body at formation, then the CY chondrites and these O-16-poor micrometeorites must have accreted at least as much water-ice as CM chondrites but potentially more. In addition, thermal metamorphism could have played a role in further raising the bulk O-isotope compositions through the preferential loss of isotopically light water during phyllosilicate dehydration. The study of micrometeorites provides insights into asteroid belt diversity through the discovery of material not currently sampled by larger meteorites, perhaps as a result of atmospheric entry biases preventing the survival of large blocks of friable hydrated material.</t>
  </si>
  <si>
    <t>[Suttle, M. D.; Folco, L.] Univ Pisa, Dipartimento Sci Terra, Via S Maria 53, I-56126 Pisa, Italy; [Suttle, M. D.; Russell, S. S.] Nat Hist Museum, Dept Earth Sci, Planetary Mat Grp, Cromwell Rd, London SW7 5BD, England; [Dionnet, Z.; Rotundi, A.] DIST Univ Napoli Parthenope, Ctr Direz Isola C4, I-80143 Naples, Italy; [Dionnet, Z.] INAF IAPS, Via Fosso Cavaliere 100, I-00133 Rome, Italy; [Franchi, I; Gibson, J.; Greenwood, R. C.] Open Univ, Sch Phys Sci, Walton Hall, Milton Keynes MK7 6AA, Bucks, England; [Folco, L.] CISUP, Lungarno Pacinotti 43, I-56126 Pisa, Italy; [King, A.] Synchrotron SOLEIL, Psiche Beamline, Orne Des Meurisiers, France</t>
  </si>
  <si>
    <t>University of Pisa; Natural History Museum London; Istituto Nazionale Astrofisica (INAF); Open University - UK; SOLEIL Synchrotron</t>
  </si>
  <si>
    <t>Suttle, MD (corresponding author), Univ Pisa, Dipartimento Sci Terra, Via S Maria 53, I-56126 Pisa, Italy.</t>
  </si>
  <si>
    <t>martindavid.suttle@dst.unipi.it; zelia.dionnet@uniparthenope.it; ian.franchi@open.ac.uk; luigi.folco@unipi.it; jennifer.gibson@open.ac.uk; r.c.greenwood@open.ac.uk; alessandra.rotundi@inaf.it; king@synchrotron-soleil.fr; sara.russell@nhm.ac.uk</t>
  </si>
  <si>
    <t>Folco, Luigi/AAB-8586-2021</t>
  </si>
  <si>
    <t>King, Ashley/0000-0001-6113-5417; Suttle, Martin/0000-0001-7165-2215; Folco, Luigi/0000-0002-7276-3483; Russell, Sara/0000-0001-5531-7847; Zelia, Dionnet/0000-0002-3679-6333; Greenwood, Richard/0000-0002-5544-8027</t>
  </si>
  <si>
    <t>Europlanet2020 transnational access grant - European Union's Horizon 2020 research and innovation programme [18-EPN4-060, 654208]; MIUR [PNRA16_00029, CUP I52F17001050005, PRIN2015_20158W4JZ7 [CUP I52F15000310001]]; Italian Space Agency (ASI, Italy) [I/024/12/2]; UK's Science and Technology Facilities Council (STFC) [ST/R000727/1]; UK Science and Technology Facilities Council (STFC) [ST/P000657/1]; [20180438]; STFC [ST/L000776/1, ST/R000727/1, ST/P000657/1, ST/T000228/1] Funding Source: UKRI</t>
  </si>
  <si>
    <t>Europlanet2020 transnational access grant - European Union's Horizon 2020 research and innovation programme; MIUR(Ministry of Education, Universities and Research (MIUR)); Italian Space Agency (ASI, Italy)(Agenzia Spaziale Italiana (ASI)); UK's Science and Technology Facilities Council (STFC)(UK Research &amp; Innovation (UKRI)Science &amp; Technology Facilities Council (STFC)); UK Science and Technology Facilities Council (STFC)(UK Research &amp; Innovation (UKRI)Science &amp; Technology Facilities Council (STFC)); ; STFC(UK Research &amp; Innovation (UKRI)Science &amp; Technology Facilities Council (STFC))</t>
  </si>
  <si>
    <t>Micro-CT data collected at the SOLEIL Synchrotron was funded through proposal no. 20180438. O-isotope data collection was funded through a Europlanet2020 transnational access grant (18-EPN4-060) - itself funded by the European Union's Horizon 2020 research and innovation programme under grant agreement No. 654208. Funding for micrometeorite research at the Universities of Pisa and Napoli is facilitated through two Italian research grants MIUR: PNRA16_00029 [Programma Nazionale delle Ricerche in Antartide -CUP I52F17001050005] and PRIN2015_20158W4JZ7 [CUP I52F15000310001 for the Meteoriti Antartiche]. We also wish to thank the Italian Space Agency (ASI, Italy) on contract no. I/024/12/2. Funding for research on water-rich asteroids is supported by the UK's Science and Technology Facilities Council (STFC) grant no. ST/R000727/1. Planetary science research studies at the Open University are supported by a Consolidated Grant from the UK Science and Technology Facilities Council (STFC), Grant number: ST/P000657/1. We thank M. Genge for useful discussions on the interpretation of TAM20C-345, two anonymous reviewers for their helpful comments and insights and to the associate editor William B. McKinnon for handling the manuscript during the review process.</t>
  </si>
  <si>
    <t>10.1016/j.epsl.2020.116444</t>
  </si>
  <si>
    <t>WOS:000552134300015</t>
  </si>
  <si>
    <t>Despirak, IV; Kozelova, TV; Kozelov, BV; Lubchich, AA</t>
  </si>
  <si>
    <t>Despirak, I., V; Kozelova, T., V; Kozelov, B., V; Lubchich, A. A.</t>
  </si>
  <si>
    <t>Westward propagation of substorm by THEMIS and ground-based observations</t>
  </si>
  <si>
    <t>Variability of the Sun and its Terrestrial Impact (VarSITI) Completion Symposium</t>
  </si>
  <si>
    <t>JUN 10-14, 2019</t>
  </si>
  <si>
    <t>Sofia, BULGARIA</t>
  </si>
  <si>
    <t>Substorms; Aurora; Westward traveling surge; Auroral horn</t>
  </si>
  <si>
    <t>GROWTH-PHASE; NIGHTTIME SECTOR; TRAVELING SURGES; CURRENT FLOW; ONSET; ARCS; DYNAMICS; IONOSPHERE; BREAKUP; PLASMA</t>
  </si>
  <si>
    <t>The spatio-temporal dynamic of the substorm on December 24, 2014 in the interval from 16:00 to 17:00 UT was analyzed by data of large observational complex: magnetometers data by the Scandinavian network and by the longitudinal chain of the Russian auroral stations, the auroral dynamics in Apatity and data of THEMIS satellites. During the interval under study the THEMIS-E and THEMIS-D satellites were located in the midnight sector of the magnetosphere at r similar to 8.5-10.3 R-E and then passed over Siberia toward to Kola Peninsula. We show that the first substorm disturbances in the magnetosphere were in the region between the THE and THD satellites, and, according ground-based observations, it was projected to near Amderma station. Despite a sparse observational network in Siberia, the substorm intensification was possible to trace from the point of the origin at the longitude similar to 80 degrees E to the Scandinavia region at the longitude similar to 30 degrees E. Our estimates of the propagation velocities of the westward traveling surge (WTS) and so-called auroral horn (the arc ahead WTS) confirmed the values, obtained in the previous works. The occurrence of several structures of substorm in aurora (first small, localized auroral arc; beads structure in the auroras and the auroral horn) manifestates the propagation of the disturbances from the onset region to the West. It is shown also, that the fronts of dipolarization (DFs) and injection of energetic electrons in the magnetosphere were accompanied by activations of auroras: the brightening of arcs, the breakup and the appearance of WTS over Apatity.</t>
  </si>
  <si>
    <t>[Despirak, I., V; Kozelova, T., V; Kozelov, B., V; Lubchich, A. A.] Polar Geophys Inst, Academgorodok 26a, Apatity 184209, Murmansk Region, Russia</t>
  </si>
  <si>
    <t>Russian Academy of Sciences; Polar Geophysical Institute</t>
  </si>
  <si>
    <t>Despirak, IV (corresponding author), Polar Geophys Inst, Academgorodok 26a, Apatity 184209, Murmansk Region, Russia.</t>
  </si>
  <si>
    <t>despirak@gmail.com; tamara.kozelova@gmail.com; boris.kozelov@gmail.com; lubchich@pgia.ru</t>
  </si>
  <si>
    <t>Kozelov, Boris/N-2731-2013; Kozelova, Tamara V/N-2760-2013; Lubchich, Andris/A-6865-2017</t>
  </si>
  <si>
    <t>Kozelov, Boris/0000-0003-2738-2443;</t>
  </si>
  <si>
    <t>[AAAA A 18-118012490100-7]</t>
  </si>
  <si>
    <t>Solar wind and interplanetary magnetic field data used in this study were taken from OMNI through http://cdaweb.gsfc.nasa.gov/cdaweb/istp_public/.We are grateful to J.N. King and N. Papitashvili, the heads of the experiments conducted with these instruments. We are grateful to staff of the SuperMAG network (http://supermag.jhuapl.edu/) and the data provider, Oleg Troshichev, at Department of Geophysics of Arctic and Antarctic Research Institute of Russian Academy of Sciences and CDAWeb (https://cdaweb.sci.gsfc.nasa.gov/cgi-in/eval1.cgi.).We are grateful to staff of Lovozero observatory of Polar Geophysical Institute for data of ground-based observations. We are grateful to the heads of the experiments conducted with these instruments. THEMIS satellites data were taken from NASA CDAWeb https ://cdaweb.sci.gsfc.nasa.gov/cgi-bin/eval1.cgi. We are grateful to V. Angelopoulos, U. Auster, K.H. Glassmeier, W. Baumjohann, C.W. Carlson, J. McFadden, the heads of the experiments conducted with these instruments. The work of all authors was supported by the State task AAAA A 18-118012490100-7</t>
  </si>
  <si>
    <t>10.1016/j.jastp.2020.105325</t>
  </si>
  <si>
    <t>MC5ZH</t>
  </si>
  <si>
    <t>WOS:000543364200005</t>
  </si>
  <si>
    <t>Potapowicz, J; Lambropoulou, D; Nannou, C; Koziol, K; Polkowska, Z</t>
  </si>
  <si>
    <t>Potapowicz, Joanna; Lambropoulou, Dimitra; Nannou, Christina; Koziol, Krystyna; Polkowska, Zaneta</t>
  </si>
  <si>
    <t>Occurrences, sources, and transport of organochlorine pesticides in the aquatic environment of Antarctica</t>
  </si>
  <si>
    <t>Organochlorine pesticides; Pollution remobilization; Anthropogenic influence; Environmental threat; Antarctica</t>
  </si>
  <si>
    <t>PERSISTENT ORGANIC POLLUTANTS; KING-GEORGE ISLAND; ESTER FLAME RETARDANTS; POLYCHLORINATED-BIPHENYLS; MELTING GLACIERS; IMMUNE FUNCTION; RISK-ASSESSMENT; SOUTHERN-OCEAN; CLIMATE-CHANGE; POLAR-REGIONS</t>
  </si>
  <si>
    <t>We review information on the concentration levels of organochlorine pesticides in the abiotic aquatic environment (in seawater, sea ice, surface freshwater, snow, firn, and glacial ice) and the organisms inhabiting those, in Antarctica. Particular attention is given to the environmental fate of these pollutants, which modifies their impact on the organisms living in the Antarctic. OCPs have been delivered to the Antarctic environment mainly via long-range transport from inhabited areas, and due to their long accumulation they are sometimes reemitted from melting cryosphere. Since climate change is forecasted to intensify, the release of anthropogenic pollutants from increased seasonal thaw may prove its importance for the future state of this unspoiled environment. However, the limited estimations of the OCPs storage magnitude in the Antarctic cryosphere are relatively crude and may err significantly towards higher values. The OCPs are already present in different types of animal tissues at every trophic level, where they may cause negative effects such as reproductive disorders, decreased survival rates, and an increased parasitic load. Therefore, it is important to continuously monitor OCP concentrations in various elements of the Antarctic environment and the fate of these pollutants, taking into account their global and local sources, including the remobilization from frozen state.</t>
  </si>
  <si>
    <t>[Potapowicz, Joanna; Koziol, Krystyna; Polkowska, Zaneta] Gdansk Univ Technol, Dept Analyt Chem, Fac Chem, 11-12 Narutowicza St, PL-80233 Gdansk, Poland; [Lambropoulou, Dimitra; Nannou, Christina] Aristotle Univ Thessaloniki, Dept Chem, Environm Pollut Control Lab, GR-54124 Thessaloniki, Greece</t>
  </si>
  <si>
    <t>Fahrenheit Universities; Gdansk University of Technology; Aristotle University of Thessaloniki</t>
  </si>
  <si>
    <t>Polkowska, Z (corresponding author), Gdansk Univ Technol, Dept Analyt Chem, Fac Chem, 11-12 Narutowicza St, PL-80233 Gdansk, Poland.</t>
  </si>
  <si>
    <t>zanpolko@pg.edu.pl</t>
  </si>
  <si>
    <t>Polkowska, Zaneta/AAA-3578-2020; Kozioł, Krystyna Anna/O-8888-2017; Nannou, Christina/AAJ-2464-2020</t>
  </si>
  <si>
    <t>Kozioł, Krystyna Anna/0000-0003-1678-3647; Nannou, Christina/0000-0002-9153-1127; Polkowska, Zaneta/0000-0002-2730-0068</t>
  </si>
  <si>
    <t>European Social Fund [POWR.03.02.00-IP.08-00-DOK/16]; National Science Centre, Poland [NCN 2017/26/D/ST10/00630]</t>
  </si>
  <si>
    <t>European Social Fund(European Social Fund (ESF)); National Science Centre, Poland(National Science Centre, Poland)</t>
  </si>
  <si>
    <t>The articlewas created partly thanks to funding by the European Social Fund fromthe project POWR.03.02.00-IP.08-00-DOK/16. This study was also partially funded by the National Science Centre, Poland grant NCN 2017/26/D/ST10/00630 awarded to K. Koziol. The inspiration to create this work was research conducted on the Henryk Arctowski Polish Antarctic Station under the agreement between the Institute of Biochemistry and Biophysics, Polish Academy of Science (IBB, PAS), and Gdansk University of Technology.</t>
  </si>
  <si>
    <t>10.1016/j.scitotenv.2020.139475</t>
  </si>
  <si>
    <t>MB4HI</t>
  </si>
  <si>
    <t>WOS:000542563900003</t>
  </si>
  <si>
    <t>Sajjad, W; Rafiq, M; Din, G; Hasan, F; Iqbal, A; Zada, S; Ali, B; Hayat, M; Irfan, M; Kang, SC</t>
  </si>
  <si>
    <t>Sajjad, Wasim; Rafiq, Muhammad; Din, Ghufranud; Hasan, Fariha; Iqbal, Awais; Zada, Sahib; Ali, Barkat; Hayat, Muhammad; Irfan, Muhammad; Kang, Shichang</t>
  </si>
  <si>
    <t>Resurrection of inactive microbes and resistome present in the natural frozen world: Reality or myth?</t>
  </si>
  <si>
    <t>Antibiotic-resistant genes; Naked DNA; Resurrection of microbes; Antarctica; Permafrost; Global change</t>
  </si>
  <si>
    <t>ANTIBIOTIC-RESISTANCE GENES; AUREOBASIDIUM-PULLULANS; SP NOV.; METAGENOMIC CHARACTERIZATION; PHYLOGENETIC ANALYSIS; ANTARCTIC PERMAFROST; MOLECULAR SIGNATURES; GLACIAL ENVIRONMENTS; SIBERIAN PERMAFROST; BETA-LACTAMASES</t>
  </si>
  <si>
    <t>The present world faces a new threat of ancient microbes and resistomes that are locked in the cryosphere and now releasing upon thawing due to climate change and anthropogenic activities. The cryosphere act as the best preserving place for these microbes and resistomes that stay alive for millions of years. Current reviews extensively discussed whether the resurrection of microbes and resistomes existing in these pristine environments is true or just a hype. Release of these ancient microorganisms and naked DNA is of great concern for society as these microbes can either cause infections directly or they can interact with contemporary microorganisms and affect their fitness, survival, and mutation rate. Moreover, the contemporary microorganisms may uptake the unlocked naked DNA, which might transform non-pathogenic microorganisms into deadly antibiotic-resistant microbes. Additionally, the resurrection of glacial microorganisms can cause adverse effects on ecosystems downstream. The release of glacial pathogens and naked DNA is real and can lead to fatal outbreaks; therefore, we must prepare ourselves for the possible reemergence of diseases caused by these microbes. This study provides a scientific base for the adoption of actions by international cooperation to develop preventive measures.</t>
  </si>
  <si>
    <t>[Sajjad, Wasim; Ali, Barkat; Kang, Shichang] Chinese Acad Sci, Northwest Inst Ecoenvironm &amp; Resources, State Key Lab Cryospher Sci, Donggang West Rd 320, Lanzhou 730000, Gansu, Peoples R China; [Rafiq, Muhammad] Balochistan Univ IT Engn &amp; Management Sci, Fac Life Sci &amp; Informat, Dept Microbiol, Quetta, Pakistan; [Din, Ghufranud; Hasan, Fariha] Quaid I Azam Univ, Dept Microbiol, Islamabad 45320, Pakistan; [Iqbal, Awais] Lanzhou Univ, State Key Lab Grassland Agroecosyst, Sch Life Sci, Lanzhou, Gansu, Peoples R China; [Zada, Sahib] Shantou Univ, Coll Sci, Dept Biol, Shantou, Peoples R China; [Hayat, Muhammad] Shandong Univ, State Key Lab Microbial Technol, Inst Microbial Technol, Qingdao Campus, Qingdao, Shandong, Peoples R China; [Irfan, Muhammad] Univ Florida, Coll Dent, Dept Oral Biol, Gainesville, FL 32610 USA; [Kang, Shichang] CAS Ctr Excellence Tibetan Plateau Earth Sci, Beijing, Peoples R China</t>
  </si>
  <si>
    <t>Chinese Academy of Sciences; Quaid I Azam University; Lanzhou University; Shantou University; Shandong University; State University System of Florida; University of Florida</t>
  </si>
  <si>
    <t>Kang, SC (corresponding author), Chinese Acad Sci, Northwest Inst Ecoenvironm &amp; Resources, State Key Lab Cryospher Sci, Donggang West Rd 320, Lanzhou 730000, Gansu, Peoples R China.</t>
  </si>
  <si>
    <t>shichang.kang@lzb.ac.cn</t>
  </si>
  <si>
    <t>SAJJAD, WASIM/B-5677-2019; Tahir ul Qamar, Muhammad/E-5803-2015; Rafiq, Muhammad/ADH-3500-2022; Iqbal, Awais/GQP-7929-2022; Iqbal, Awais/IAO-4733-2023; Hayat, Muhammad/HDN-8672-2022; Irfan, Muhamamd/AAT-4828-2021; Kang, Shichang/I-6830-2018</t>
  </si>
  <si>
    <t>SAJJAD, WASIM/0000-0002-1622-0484; Tahir ul Qamar, Muhammad/0000-0003-4832-4250; Rafiq, Muhammad/0000-0001-6098-4142; Kang, Shichang/0000-0003-2115-9005</t>
  </si>
  <si>
    <t>second Tibetan Plateau Scientific Expedition and Research Program (STEP) [2019QZKK0605]; Strategic Priority Research Programme of the Chinese Academy of Sciences, Pan-Third Pole Environment Study for a Green Silk Road (Pan-TPE) [XDA20040501]; National Natural Science Foundation of China [41630754]; PIFI Fellowship from the Chinese Academy of Sciences [2020PC0052]</t>
  </si>
  <si>
    <t>second Tibetan Plateau Scientific Expedition and Research Program (STEP); Strategic Priority Research Programme of the Chinese Academy of Sciences, Pan-Third Pole Environment Study for a Green Silk Road (Pan-TPE); National Natural Science Foundation of China(National Natural Science Foundation of China (NSFC)); PIFI Fellowship from the Chinese Academy of Sciences</t>
  </si>
  <si>
    <t>This study was supported by the second Tibetan Plateau Scientific Expedition and Research Program (STEP) (2019QZKK0605), the Strategic Priority Research Programme of the Chinese Academy of Sciences, Pan-Third Pole Environment Study for a Green Silk Road (Pan-TPE) (XDA20040501), the National Natural Science Foundation of China (Grant 41630754). WasimSajjad is supported by a PIFI Fellowship from the Chinese Academy of Sciences (2020PC0052).</t>
  </si>
  <si>
    <t>10.1016/j.scitotenv.2020.139275</t>
  </si>
  <si>
    <t>MB4GQ</t>
  </si>
  <si>
    <t>WOS:000542562100014</t>
  </si>
  <si>
    <t>Zhang, XK; Li, BL; Deng, JM; Qin, BQ; Wells, M; Tefsen, B</t>
  </si>
  <si>
    <t>Zhang, Xiaokai; Li, Boling; Deng, Jianming; Qin, Boqiang; Wells, Mona; Tefsen, Boris</t>
  </si>
  <si>
    <t>Quantitative high-throughput approach to chalkophore screening in freshwaters</t>
  </si>
  <si>
    <t>Siderophore; Metal complexation and bioavailability; Micronutrients; High-throughput methods and screening; Algae and harmful algal blooms; Copper</t>
  </si>
  <si>
    <t>CONDITIONAL STABILITY-CONSTANTS; CATHODIC STRIPPING VOLTAMMETRY; SUB-ANTARCTIC WATERS; ORGANIC COMPLEXATION; HUMIC SUBSTANCES; IRON SPECIATION; COPPER; SIDEROPHORES; ASSAY; METHANOBACTIN</t>
  </si>
  <si>
    <t>There is an increasing need to study the effects of trace metal micronutrients on microorganisms in natural waters. For Fe, small Fe-binding ligands called siderophores, which are secreted from cells and bind Fe with high affinity, have been demonstrated to modulate bioavailability of this critical nutrient. Relatively little is known about secretion of strong Cu-binding ligands (chalkophores) that may help organisms navigate the divide between Cu nutrition and toxicity. A barrier to environmental chalkophore research is a lack of literature on chalkophore analysis. Here we report the development of a quantitative, high-throughput approach to chalkophore screening based on a popular competitive-ligand binding assay for siderophores wherein ligands compete for metal in a chromogenic ternary complex of chrome azurol sulfonate-metal-surfactant. We developed the assay for high-throughput analysis using a microplate reader. The method performance is slightly better than that of comparable screening approaches for siderophores. We find that levels of other metals in natural samples may be capable of causing matrix interferences (a neglected source of analytical uncertainty in siderophore screening) and that for our method this can be overcome by standard additions. In this respect the high-throughput nature of the technique is a distinct advantage. To demonstrate practical use, we tested samples from field mesocosm studies that were set up with and without Cu and Fe amendments; we find trends in results that are logical in the environmental context of our application. This approach will be useful in areas such as risk assessment for a rapid survey of metal speciation and bioavailability; investigators who perform structural studies might also benefit from this approach to rapidly screen and select samples with high Fe/Cu binding capacity for further study.</t>
  </si>
  <si>
    <t>[Zhang, Xiaokai; Li, Boling; Tefsen, Boris] Xian Jiaotong Liverpool Univ, Dept Biol Sci, Suzhou 215123, Jiangsu, Peoples R China; [Zhang, Xiaokai; Li, Boling] Univ Liverpool, Dept Environm Sci, Brownlow Hill, Liverpool L69 7ZX, Merseyside, England; [Deng, Jianming; Qin, Boqiang] Chinese Acad Sci, Nanjing Inst Geog &amp; Limnol, Taihu Lab Lake Ecosyst Res, State Key Lab Lake Sci &amp; Environm, Nanjing 210008, Peoples R China; [Wells, Mona] Natl Inst Water &amp; Atmospher Res, Freshwater Ecol Grp, Dunedin 9016, New Zealand; [Wells, Mona] Ronin Inst, Environm Sci, 127 Haddon Pl, Montclair, NJ 07043 USA</t>
  </si>
  <si>
    <t>Xi'an Jiaotong-Liverpool University; University of Liverpool; Chinese Academy of Sciences; Nanjing Institute of Geography &amp; Limnology, CAS; National Institute of Water &amp; Atmospheric Research (NIWA) - New Zealand</t>
  </si>
  <si>
    <t>Wells, M (corresponding author), Ronin Inst, Environm Sci, 127 Haddon Pl, Montclair, NJ 07043 USA.</t>
  </si>
  <si>
    <t>Mona.Wells@RoninInstitute.org</t>
  </si>
  <si>
    <t>Tefsen, Boris/J-1503-2012; Li, Boling/JOZ-5571-2023; Deng, Jianming/AAN-2998-2020</t>
  </si>
  <si>
    <t>Tefsen, Boris/0000-0001-6668-217X; Deng, Jianming/0000-0003-2432-6307; Zhang, Xiaokai/0000-0002-2537-7678</t>
  </si>
  <si>
    <t>National Natural Science Foundation of China [41571485]; XJTLU Research Development Fund [RDF 14-03-26]</t>
  </si>
  <si>
    <t>National Natural Science Foundation of China(National Natural Science Foundation of China (NSFC)); XJTLU Research Development Fund</t>
  </si>
  <si>
    <t>This work was supported by projects from the National Natural Science Foundation of China (GrantNo. 41571485) and the XJTLU Research Development Fund (RDF 14-03-26). We are grateful to the Taihu Laboratory for Lake Ecosystem Research (TLLER, juried directly by the Nanjing Institute of Geography and Limnology, Chinese Academy of Sciences), for their assistance and extensive expertise and assistance with some aspects of this work.</t>
  </si>
  <si>
    <t>10.1016/j.scitotenv.2020.139476</t>
  </si>
  <si>
    <t>WOS:000542563900009</t>
  </si>
  <si>
    <t>Hyde, CJ; Fitzgibbon, QP; Elizur, A; Smith, GG; Ventura, T</t>
  </si>
  <si>
    <t>Hyde, Cameron J.; Fitzgibbon, Quinn P.; Elizur, Abigail; Smith, Gregory G.; Ventura, Tomer</t>
  </si>
  <si>
    <t>CrustyBase: an interactive online database for crustacean transcriptomes</t>
  </si>
  <si>
    <t>BMC GENOMICS</t>
  </si>
  <si>
    <t>RNA-seq; Crab; Lobster; Shrimp; Crayfish; Gene; Expression; Search; Visualize; Genomics</t>
  </si>
  <si>
    <t>RESOURCE; SEARCH</t>
  </si>
  <si>
    <t>Transcriptome sequencing has opened the field of genomics to a wide variety of researchers, owing to its efficiency, applicability across species and ability to quantify gene expression. The resulting datasets are a rich source of information that can be mined for many years into the future, with each dataset providing a unique angle on a specific context in biology. Maintaining accessibility to this accumulation of data presents quite a challenge for researchers.The primary focus of conventional genomics databases is the storage, navigation and interpretation of sequence data, which is typically classified down to the level of a species or individual. The addition of expression data adds a new dimension to this paradigm - the sampling context. Does gene expression describe different tissues, a temporal distribution or an experimental treatment? These data not only describe an individual, but the biological context surrounding that individual. The structure and utility of a transcriptome database must therefore reflect these attributes. We present an online database which has been designed to maximise the accessibility of crustacean transcriptome data by providing intuitive navigation within and between datasets and instant visualization of gene expression and protein structure.The site is accessible at https://crustybase.org and currently holds 10 datasets from a range of crustacean species. It also allows for upload of novel transcriptome datasets through a simple web interface, allowing the research community to contribute their own data to a pool of shared knowledge.</t>
  </si>
  <si>
    <t>[Hyde, Cameron J.; Elizur, Abigail; Ventura, Tomer] Univ Sunshine Coast, Genecol Res Ctr, Sippy Downs, Qld 4556, Australia; [Fitzgibbon, Quinn P.; Smith, Gregory G.] Univ Tasmania, Inst Marine &amp; Antarctic Studies IMAS, Private Bag 49, Hobart, Tas 7001, Australia</t>
  </si>
  <si>
    <t>University of the Sunshine Coast; University of Tasmania</t>
  </si>
  <si>
    <t>Hyde, CJ (corresponding author), Univ Sunshine Coast, Genecol Res Ctr, Sippy Downs, Qld 4556, Australia.</t>
  </si>
  <si>
    <t>chyde@crustybase.org</t>
  </si>
  <si>
    <t>Ventura, T./H-9832-2019; Smith, Gregory/C-9263-2013</t>
  </si>
  <si>
    <t>Ventura, T./0000-0002-0777-2367; Smith, Gregory/0000-0002-8677-1230; Hyde, Cameron/0000-0002-5913-9766; Fitzgibbon, Quinn/0000-0002-1104-3052; Elizur, Abigail/0000-0002-2960-302X</t>
  </si>
  <si>
    <t>USCRS scholarship - University of the Sunshine Coast; Australian Research Council Industrial Transformation Hub for Sustainable Onshore Lobster Aquaculture [IH190100014]; Australian Research Council [DP160103320, DE130101089]; Australian Research Council [DE130101089] Funding Source: Australian Research Council</t>
  </si>
  <si>
    <t>USCRS scholarship - University of the Sunshine Coast; Australian Research Council Industrial Transformation Hub for Sustainable Onshore Lobster Aquaculture(Australian Research Council); Australian Research Council(Australian Research Council); Australian Research Council(Australian Research Council)</t>
  </si>
  <si>
    <t>We would like to acknowledge funding from a USCRS scholarship, funded in part by the University of the Sunshine Coast. This research was conducted by the Australian Research Council Industrial Transformation Hub for Sustainable Onshore Lobster Aquaculture (IH190100014), and was additionally supported by an Australian Research Council Discovery Project: Analysis of the rock lobster transparent metamorphic clock enables redefining the molecular mechanism underlying crustacean metamorphosis (DP160103320) and an Australian Research Council Discovery Early Career Researcher Award (DECRA): Understanding masculinity, the crustacean way (DE130101089). The views expressed herein are those of the authors and are not necessarily those of the Australian Government or Australian Research Council.</t>
  </si>
  <si>
    <t>BMC</t>
  </si>
  <si>
    <t>CAMPUS, 4 CRINAN ST, LONDON N1 9XW, ENGLAND</t>
  </si>
  <si>
    <t>1471-2164</t>
  </si>
  <si>
    <t>BMC Genomics</t>
  </si>
  <si>
    <t>SEP 14</t>
  </si>
  <si>
    <t>10.1186/s12864-020-07063-2</t>
  </si>
  <si>
    <t>Biotechnology &amp; Applied Microbiology; Genetics &amp; Heredity</t>
  </si>
  <si>
    <t>NS0PC</t>
  </si>
  <si>
    <t>WOS:000571961200009</t>
  </si>
  <si>
    <t>Ito, M; Tomioka, N; Uesugi, K; Uesugi, M; Kodama, Y; Sakurai, I; Okada, I; Ohigashi, T; Yuzawa, H; Yamaguchi, A; Imae, N; Karouji, Y; Shirai, N; Yada, T; Abe, M</t>
  </si>
  <si>
    <t>Ito, Motoo; Tomioka, Naotaka; Uesugi, Kentaro; Uesugi, Masayuki; Kodama, Yu; Sakurai, Ikuya; Okada, Ikuo; Ohigashi, Takuji; Yuzawa, Hayato; Yamaguchi, Akira; Imae, Naoya; Karouji, Yuzuru; Shirai, Naoki; Yada, Toru; Abe, Masanao</t>
  </si>
  <si>
    <t>The universal sample holders of microanalytical instruments of FIB, TEM, NanoSIMS, and STXM-NEXAFS for the coordinated analysis of extraterrestrial materials</t>
  </si>
  <si>
    <t>EARTH PLANETS AND SPACE</t>
  </si>
  <si>
    <t>Universal sample holder; Coordinated analysis; Hayabusa2 returned sample; Asteroid ryugu</t>
  </si>
  <si>
    <t>COMET 81P/WILD 2; AQUEOUS ALTERATION; ORGANIC-COMPOUNDS; RETURNED SAMPLES; HAYABUSA; PARTICLES; EVOLUTION; SYSTEM; MATTER</t>
  </si>
  <si>
    <t>We developed universal sample holders [the Kochi grid, Kochi clamp, and Okazaki cell) and a transfer vessel (facility-to-facility transfer container (FFTC)] to analyze sensitive and fragile samples, such as extremely small extraterrestrial materials. The holders and container prevent degradation, contamination due to the terrestrial atmosphere (water vapor and oxygen gas) and small particles, as well as mechanical sample damage. The FFTC can isolate the samples from the effects of the atmosphere for more than a week. The Kochi grid and clamp were made for a coordinated micro/nano-analysis that utilizes a focused-ion beam apparatus, transmission electron microscope, and nanoscale secondary ion mass spectrometry. The Okazaki cell was developed as an additional attachment for a scanning transmission X-ray microscope that uses near-edge X-ray absorption fine structure (NEXAFS). These new apparatuses help to minimize possible alterations from the exposure of the samples to air. The coordinated analysis involving these holders was successfully carried out without any sample damage or loss, thereby enabling us to obtain sufficient analytical datasets of textures, crystallography, elemental/isotopic abundances, and molecular functional groups for mu m-sized minerals and organics in both the Antarctic micrometeorite and a carbonaceous chondrite. We will apply the coordinated analysis to acquire the complex characteristics in samples obtained by the future spacecraft sample return mission.</t>
  </si>
  <si>
    <t>[Ito, Motoo; Tomioka, Naotaka] Japan Agcy Marine Earth Sci Technol JAMSTEC, Kochi Inst Core Sample Res, Nanko Ku, Kochi, Japan; [Uesugi, Kentaro; Uesugi, Masayuki] Japan Synchrotron Radiat Res Inst JASRI SPring8, Sayo Gun, Hyogo, Japan; [Kodama, Yu] Marine Works Japan, Yokosuka, Kanagawa, Japan; [Sakurai, Ikuya; Okada, Ikuo] Nagoya Univ, Synchrotron Radiat Res Ctr, Nagoya, Aichi, Japan; [Ohigashi, Takuji; Yuzawa, Hayato] Natl Inst Nat Sci, Inst Mol Sci, UVSOR Synchrotron, Okazaki, Aichi, Japan; [Yamaguchi, Akira; Imae, Naoya] Natl Inst Polar Res NIPR, Tachikawa, Tokyo, Japan; [Karouji, Yuzuru] Japan Aerosp Explorat Agcy JAXA, JAXA Space Explorat Ctr, Sagamihara, Kanagawa, Japan; [Shirai, Naoki] Tokyo Metropolitan Univ, Hachioji, Tokyo, Japan; [Yada, Toru; Abe, Masanao] Japan Aerosp Explorat Agcy JAXA, Inst Space &amp; Astronaut Sci ISAS, Sagamihara, Kanagawa, Japan</t>
  </si>
  <si>
    <t>Japan Agency for Marine-Earth Science &amp; Technology (JAMSTEC); Nagoya University; National Institutes of Natural Sciences (NINS) - Japan; Institute for Molecular Science (IMS); Research Organization of Information &amp; Systems (ROIS); National Institute of Polar Research (NIPR) - Japan; Japan Aerospace Exploration Agency (JAXA); Tokyo Metropolitan University; Japan Aerospace Exploration Agency (JAXA); Institute of Space &amp; Astronautical Science (ISAS)</t>
  </si>
  <si>
    <t>Ito, M; Tomioka, N (corresponding author), Japan Agcy Marine Earth Sci Technol JAMSTEC, Kochi Inst Core Sample Res, Nanko Ku, Kochi, Japan.</t>
  </si>
  <si>
    <t>motoo@jamstec.go.jp; tomioka@jamstec.go.jp</t>
  </si>
  <si>
    <t>YUZAWA, Hayato/F-7020-2012; Sakurai, Ikuya/GRX-6464-2022; Tomioka, Naotaka/B-1888-2011; Yamaguchi, Akinobu/E-4265-2016</t>
  </si>
  <si>
    <t>Sakurai, Ikuya/0000-0003-3225-0365; Tomioka, Naotaka/0000-0001-5725-9513; da dong, zuo zhi/0000-0003-4778-5645</t>
  </si>
  <si>
    <t>JSPS [JP18H04468, JP18K18795, JP15H03750, JP15H05695, JP16H06348, JP15H03755, JP18H05479, JP16K05022, JP16H03877, JP17H03013]; Shimadzu Science Foundation; Grants-in-Aid for Scientific Research [20H01965] Funding Source: KAKEN</t>
  </si>
  <si>
    <t>JSPS(Ministry of Education, Culture, Sports, Science and Technology, Japan (MEXT)Japan Society for the Promotion of Science); Shimadzu Science Foundation; Grants-in-Aid for Scientific Research(Ministry of Education, Culture, Sports, Science and Technology, Japan (MEXT)Japan Society for the Promotion of ScienceGrants-in-Aid for Scientific Research (KAKENHI))</t>
  </si>
  <si>
    <t>Funding was provided by the JSPS Grant-in-Aid for Scientific Research (JP18H04468 and JP18K18795 to MI, JP15H03750 to NT, JP15H05695 and JP16H06348 to KU, JP15H03755 and JP18H05479 to MU, and JP16K05022, JP16H03877, and JP17H03013 to TO) and the Shimadzu Science Foundation (2016 to MI).</t>
  </si>
  <si>
    <t>1880-5981</t>
  </si>
  <si>
    <t>EARTH PLANETS SPACE</t>
  </si>
  <si>
    <t>Earth Planets Space</t>
  </si>
  <si>
    <t>10.1186/s40623-020-01267-2</t>
  </si>
  <si>
    <t>NS0BG</t>
  </si>
  <si>
    <t>WOS:000571925200002</t>
  </si>
  <si>
    <t>Chen, XT; Cheng, X; Zhang, BG; Meng, H; Wu, D; Zhang, M; Ji, M; Li, XL</t>
  </si>
  <si>
    <t>Chen, Xintong; Cheng, Xiao; Zhang, Baogang; Meng, Hao; Wu, Di; Zhang, Miao; Ji, Ming; Li, Xianglan</t>
  </si>
  <si>
    <t>Lagged response of Adelie penguin (Pygoscelis adeliae) abundance to environmental variability in the Ross Sea, Antarctica</t>
  </si>
  <si>
    <t>Environmental factors; Regional population changes; Lagged effects; Optimal range</t>
  </si>
  <si>
    <t>EUPHAUSIA-SUPERBA; PACIFIC SECTOR; CLIMATE-CHANGE; KRILL; POPULATIONS; REVEALS; ICE; DYNAMICS; SURVIVAL; INCREASE</t>
  </si>
  <si>
    <t>Environmental variability drives Adelie penguin (Pygoscelis adeliae) population dynamics through its effects on vital rates (e.g., survival, dispersal, or breeding success) resulted in penguin abundance changes with time delays. The lagged effects of environmental changes on penguin abundance are still not well defined. We divided the Ross Sea region into six areas to investigate the effects of environmental changes on penguin abundance from 1982 to 2013. Time lagged analysis of 1-6 years between penguin abundance and environmental factors were conducted in our study. We found that penguin abundance was significantly correlated with environmental factors at different lag times (p &lt; 0.05). The relationship between penguin abundance and environmental factors might differ among regions. Generalized additive model results showed that sea surface temperature negatively affected penguin abundance in most regions of the Ross Sea. In mid-Victoria Land, the relationship between sea-ice concentration and penguin abundance was quadratic. Penguin abundance peaked when sea-ice concentration was approximately 40%. Optimal ranges of environmental factors for Adelie penguin population might exist. Our study highlighted the lagged response of penguin abundance to environmental factors to further understand the effects of climate changes on the Antarctic biosphere.</t>
  </si>
  <si>
    <t>[Chen, Xintong; Zhang, Baogang; Meng, Hao; Zhang, Miao; Ji, Ming; Li, Xianglan] Beijing Normal Univ, State Key Lab Remote Sensing Sci, Beijing 100875, Peoples R China; [Chen, Xintong; Zhang, Baogang; Meng, Hao; Zhang, Miao; Ji, Ming; Li, Xianglan] Beijing Normal Univ, Coll Global Change &amp; Earth Syst Sci, Beijing 100875, Peoples R China; [Cheng, Xiao] Sun Yat Sen Univ, Sch Geospatial Engn &amp; Sci, Zhuhai 519082, Peoples R China; [Cheng, Xiao; Zhang, Baogang; Li, Xianglan] Univ Corp Polar Res, Beijing 100875, Peoples R China; [Wu, Di] Heilongjiang Geomat Ctr NASG, Harbin 150081, Peoples R China</t>
  </si>
  <si>
    <t>Beijing Normal University; Beijing Normal University; Sun Yat Sen University</t>
  </si>
  <si>
    <t>Li, XL (corresponding author), Beijing Normal Univ, State Key Lab Remote Sensing Sci, Beijing 100875, Peoples R China.;Li, XL (corresponding author), Beijing Normal Univ, Coll Global Change &amp; Earth Syst Sci, Beijing 100875, Peoples R China.;Li, XL (corresponding author), Univ Corp Polar Res, Beijing 100875, Peoples R China.</t>
  </si>
  <si>
    <t>xianglan_li@163.com</t>
  </si>
  <si>
    <t>wu, di/IYS-9217-2023</t>
  </si>
  <si>
    <t>National Key Research and Development Program of China [2018YFC1406906]; National Natural Science Foundation of China [41205104]; Fundamental Research Funds for the Central Universities</t>
  </si>
  <si>
    <t>National Key Research and Development Program of China; National Natural Science Foundation of China(National Natural Science Foundation of China (NSFC)); Fundamental Research Funds for the Central Universities(Fundamental Research Funds for the Central Universities)</t>
  </si>
  <si>
    <t>Funding was provided by National Key Research and Development Program of China (Grant No. 2018YFC1406906), National Natural Science Foundation of China (Grant No. 41205104) and Fundamental Research Funds for the Central Universities.</t>
  </si>
  <si>
    <t>10.1007/s00300-020-02743-x</t>
  </si>
  <si>
    <t>WOS:000569276600001</t>
  </si>
  <si>
    <t>Zhao, ZJ; Zhang, XH</t>
  </si>
  <si>
    <t>Zhao, Zijie; Zhang, Xihan</t>
  </si>
  <si>
    <t>Evaluation of methods to detect and quantify the bimodal precipitation over Central America and Mexico</t>
  </si>
  <si>
    <t>bimodal precipitation; intraseasonal variability; midsummer drought</t>
  </si>
  <si>
    <t>MIDSUMMER DROUGHT; MJO INFLUENCE; VARIABILITY; TEMPERATURE; RAINFALL</t>
  </si>
  <si>
    <t>Bimodal precipitation is a globally observed and regionally significant event that has a significant influence on the agriculture, public health, and insurance needs of associated regions. Many studies have focused on the mechanisms behind the generation and development of this event; however, little research into its characteristics exists due to a lack of a widely accepted method for accurate detection and quantification. Using a function collection containing various methods, different methods can be compared in terms of their performance in the detection and quantification of bimodal precipitation signals, allowing the proposal of appropriate criteria for method choice in various study types. Five methods (Mosino and Garcia, 1966; Curtis, 2002; Angeles et al., 2010; Karnauskas et al., 2013; Zhao et al., 2020) are adapted to the Climate Prediction Centre data during 1979-2017 in the domain of southern Mexico and Central America, and their performances are evaluated and compared. While outputs from the five methods reach general consistence for strong bimodal features over the Pacific side of Central America and Yucatan Peninsula, some biases are identified, specifically shown by the fact that methods using monthly climatological data demonstrates bimodal precipitation over the Caribbean side of Central America, while those using daily annual data indicate the existence of bimodal precipitation over the Pacific side of southern Mexico. By comparing two typical algorithms, we determined that this bias was induced by the limitation of temporal resolution in monthly climatological data and the nature of algorithms applying daily annual data. As part of a case study, a cluster algorithm was applied to outputs from an algorithm using daily annual precipitation, and a classification algorithm was used to test clustering performance. The resultant general high accuracy shows that annual bimodal signals offer good adaption to cluster and other potential machine learning algorithms.</t>
  </si>
  <si>
    <t>[Zhao, Zijie] Univ Melbourne, Sch Earth Sci, Melbourne, Vic, Australia; [Zhao, Zijie] Univ Melbourne, Australian Res Council, Ctr Excellence Climate Extremes, Melbourne, Vic, Australia; [Zhang, Xihan] Univ Tasmania, Inst Marine &amp; Antarctic Studies, Hobart, Tas, Australia</t>
  </si>
  <si>
    <t>University of Melbourne; Melbourne Bioinformatics; Melbourne Genomics Health Alliance; University of Melbourne; University of Tasmania</t>
  </si>
  <si>
    <t>Zhao, ZJ (corresponding author), Univ Melbourne, Sch Earth Sci, Melbourne, Vic, Australia.</t>
  </si>
  <si>
    <t>zijizhao@student.unimelb.edu.au</t>
  </si>
  <si>
    <t>Zhao, Zijie/0000-0003-3403-878X</t>
  </si>
  <si>
    <t>Australian Research Council Centre of Excellence for Climate System Science [CE110001028]</t>
  </si>
  <si>
    <t>Australian Research Council Centre of Excellence for Climate System Science(Australian Research Council)</t>
  </si>
  <si>
    <t>Authors would like to acknowledge a vacation scholarship provided by the Australian Research Council Centre of Excellence for Climate System Science (CE110001028). Authors would like to thank two anonymous reviewers for their careful reading and constructive comments on this manuscript. Authors declare no conflict of interest.</t>
  </si>
  <si>
    <t>E897</t>
  </si>
  <si>
    <t>E911</t>
  </si>
  <si>
    <t>10.1002/joc.6736</t>
  </si>
  <si>
    <t>WOS:000568620100001</t>
  </si>
  <si>
    <t>Holsman, KK; Haynie, AC; Hollowed, AB; Reum, JCP; Aydin, K; Hermann, AJ; Cheng, W; Faig, A; Ianelli, JN; Kearney, KA; Punt, AE</t>
  </si>
  <si>
    <t>Holsman, K. K.; Haynie, A. C.; Hollowed, A. B.; Reum, J. C. P.; Aydin, K.; Hermann, A. J.; Cheng, W.; Faig, A.; Ianelli, J. N.; Kearney, K. A.; Punt, A. E.</t>
  </si>
  <si>
    <t>Ecosystem-based fisheries management forestalls climate-driven collapse</t>
  </si>
  <si>
    <t>NORTHERN BERING-SEA; WALLEYE POLLOCK; IMPACTS; FUTURE; RESPONSES; MODEL; UNCERTAINTY; FORMULATION; STRATEGIES; STATES</t>
  </si>
  <si>
    <t>Climate change is impacting fisheries worldwide with uncertain outcomes for food and nutritional security. Using management strategy evaluations for key US fisheries in the eastern Bering Sea we find that Ecosystem Based Fisheries Management (EBFM) measures forestall future declines under climate change over non-EBFM approaches. Yet, benefits are species-specific and decrease markedly after 2050. Under high-baseline carbon emission scenarios (RCP 8.5), end-of-century (2075-2100) pollock and Pacific cod fisheries collapse in &gt;70% and &gt;35% of all simulations, respectively. Our analysis suggests that 2.1-2.3 degrees C (modeled summer bottom temperature) is a tipping point of rapid decline in gadid biomass and catch. Multiyear stanzas above 2.1 degrees C become commonplace in projections from -2030 onward, with higher agreement under RCP 8.5 than simulations with moderate carbon mitigation (i.e., RCP 4.5). We find that EBFM ameliorates climate change impacts on fisheries in the near-term, but long-term EBFM benefits are limited by the magnitude of anticipated change.</t>
  </si>
  <si>
    <t>[Holsman, K. K.; Haynie, A. C.; Hollowed, A. B.; Reum, J. C. P.; Aydin, K.; Ianelli, J. N.; Kearney, K. A.] NOAA, Alaska Fisheries Sci Ctr, 7600 Sand Point Way NE, Seattle, WA 98115 USA; [Holsman, K. K.; Hollowed, A. B.; Reum, J. C. P.; Aydin, K.; Faig, A.; Ianelli, J. N.; Punt, A. E.] Univ Washington, Sch Aquat &amp; Fishery Sci, Seattle, WA 98195 USA; [Reum, J. C. P.] Univ Tasmania, Inst Marine &amp; Antarctic Studies, Hobart, Tas 7001, Australia; [Reum, J. C. P.] Univ Tasmania, Ctr Marine Socioecol, Hobart, Tas 7001, Australia; [Hermann, A. J.; Cheng, W.; Kearney, K. A.] Univ Washington, Cooperat Inst Climate Ocean &amp; Ecosyst Studies, Joint Inst Study Atmosphere &amp; Ocean, Seattle, WA 98195 USA; [Hermann, A. J.; Cheng, W.] NOAA, Ocean Environm Res Div, Pacific Marine Environm Lab, Seattle, WA 98115 USA</t>
  </si>
  <si>
    <t>National Oceanic Atmospheric Admin (NOAA) - USA; University of Washington; University of Washington Seattle; University of Tasmania; University of Tasmania; University of Washington; University of Washington Seattle; National Oceanic Atmospheric Admin (NOAA) - USA</t>
  </si>
  <si>
    <t>Holsman, KK (corresponding author), NOAA, Alaska Fisheries Sci Ctr, 7600 Sand Point Way NE, Seattle, WA 98115 USA.;Holsman, KK (corresponding author), Univ Washington, Sch Aquat &amp; Fishery Sci, Seattle, WA 98195 USA.</t>
  </si>
  <si>
    <t>kirstin.holsman@noaa.gov</t>
  </si>
  <si>
    <t>FAIG, AMANDA/0000-0001-7955-453X; Hermann, Albert/0000-0002-0253-7464; Holsman, Kirstin/0000-0001-6361-2256</t>
  </si>
  <si>
    <t>Fisheries and the Environment (FATE); Stock Assessment Analytical Methods (SAAM) Science and Technology North Pacific Climate Regimes and Ecosystem Productivity; Integrated Ecosystem Assessment Program (IEA) [2020_5]; NOAA Research Transition Acceleration Program (RTAP); Alaska Fisheries Science Center (ASFC); Office of Oceanic and Atmospheric Research (OAR); National Marine Fisheries Service (NMFS)</t>
  </si>
  <si>
    <t>Fisheries and the Environment (FATE); Stock Assessment Analytical Methods (SAAM) Science and Technology North Pacific Climate Regimes and Ecosystem Productivity; Integrated Ecosystem Assessment Program (IEA); NOAA Research Transition Acceleration Program (RTAP); Alaska Fisheries Science Center (ASFC); Office of Oceanic and Atmospheric Research (OAR); National Marine Fisheries Service (NMFS)</t>
  </si>
  <si>
    <t>We thank the NOAA's Alaska Climate Integrated Modeling project (ACLIM) team and the FATE project on Climate Impacts on Fish Habitat modeling team for support of this research through collaborative research, development and validation of methodologies, and general conceptualization for integrated modeling of climate change impacts on the Bering Sea ecosystem. Multiple NOAA National Marine Fisheries programs provided support for ACLIM including Fisheries and the Environment (FATE), Stock Assessment Analytical Methods (SAAM) Science and Technology North Pacific Climate Regimes and Ecosystem Productivity, the Integrated Ecosystem Assessment Program (IEA; publication number 2020_5), NOAA Research Transition Acceleration Program (RTAP), the Alaska Fisheries Science Center (ASFC), the Office of Oceanic and Atmospheric Research (OAR) and the National Marine Fisheries Service (NMFS). In addition, the International Council for the Exploration of the Sea (ICES) and the North Pacific Marine Science Organization (PICES) provided support for Strategic Initiative for the Study of Climate Impacts on Marine Ecosystems (SI-CCME) workshops, which facilitated development of the ideas presented in this paper. The scientific views, opinions, and conclusions expressed herein are solely those of the authors and do not represent the views, opinions, or conclusions of NOAA, the Department of Commerce, ICES, or PICES.</t>
  </si>
  <si>
    <t>SEP 11</t>
  </si>
  <si>
    <t>10.1038/s41467-020-18300-3</t>
  </si>
  <si>
    <t>PR3OC</t>
  </si>
  <si>
    <t>WOS:000607147300001</t>
  </si>
  <si>
    <t>Bourgeois, I; Peischl, J; Thompson, CR; Aikin, KC; Campos, T; Clark, H; Commane, R; Daube, B; Diskin, GW; Elkins, JW; Gao, RS; Gaudel, A; Hintsa, EJ; Johnson, BJ; Kivi, R; McKain, K; Moore, FL; Parrish, DD; Querel, R; Ray, E; Sánchez, R; Sweeney, C; Tarasick, DW; Thompson, AM; Thouret, V; Witte, JC; Wofsy, SC; Ryerson, TB</t>
  </si>
  <si>
    <t>Bourgeois, Ilann; Peischl, Jeff; Thompson, Chelsea R.; Aikin, Kenneth C.; Campos, Teresa; Clark, Hannah; Commane, Roisin; Daube, Bruce; Diskin, Glenn W.; Elkins, James W.; Gao, Ru-Shan; Gaudel, Audrey; Hintsa, Eric J.; Johnson, Bryan J.; Kivi, Rigel; McKain, Kathryn; Moore, Fred L.; Parrish, David D.; Querel, Richard; Ray, Eric; Sanchez, Ricardo; Sweeney, Colm; Tarasick, David W.; Thompson, Anne M.; Thouret, Valerie; Witte, Jacquelyn C.; Wofsy, Steve C.; Ryerson, Thomas B.</t>
  </si>
  <si>
    <t>Global-scale distribution of ozone in the remote troposphere from the ATom and HIPPO airborne field missions</t>
  </si>
  <si>
    <t>AIR-MASS CHARACTERISTICS; MARINE BOUNDARY-LAYER; BIOMASS BURNING EMISSIONS; TROPICAL SOUTH-ATLANTIC; WESTERN NORTH PACIFIC; ATMOSPHERIC CHEMISTRY; TRANSPACIFIC TRANSPORT; AEROSOL DISTRIBUTIONS; REACTIVE NITROGEN; OCTOBER 1992</t>
  </si>
  <si>
    <t>Ozone is a key constituent of the troposphere, where it drives photochemical processes, impacts air quality, and acts as a climate forcer. Large-scale in situ observations of ozone commensurate with the grid resolution of current Earth system models are necessary to validate model outputs and satellite retrievals. In this paper, we examine measurements from the Atmospheric Tomography (ATom; four deployments in 2016-2018) and the HIAPER Pole-to-Pole Observations (HIPPO; five deployments in 2009-2011) experiments, two global-scale airborne campaigns covering the Pacific and Atlantic basins. ATom and HIPPO represent the first global-scale, vertically resolved measurements of O-3 distributions throughout the troposphere, with HIPPO sampling the atmosphere over the Pacific and ATom sampling both the Pacific and Atlantic. Given the relatively limited temporal resolution of these two campaigns, we first compare ATom and HIPPO ozone data to longer-term observational records to establish the representativeness of our dataset. We show that these two airborne campaigns captured on average 53 %, 54 %, and 38% of the ozone variability in the marine boundary layer, free troposphere, and upper troposphere-lower stratosphere (UTLS), respectively, at nine well-established ozonesonde sites. Additionally, ATom captured the most frequent ozone concentrations measured by regular commercial aircraft flights in the northern Atlantic UTLS. We then use the repeated vertical profiles from these two campaigns to confirm and extend the existing knowledge of tropospheric ozone spatial and vertical distributions throughout the remote troposphere. We highlight a clear hemispheric gradient, with greater ozone in the Northern Hemisphere, consistent with greater precursor emissions and consistent with previous modeling and satellite studies. We also show that the ozone distribution below 8 km was similar in the extra-tropics of the Atlantic and Pacific basins, likely due to zonal circulation patterns. However, twice as much ozone was found in the tropical Atlantic as in the tropical Pacific, due to well-documented dynamical patterns transporting continental air masses over the Atlantic. Finally, we show that the seasonal variability of tropospheric ozone over the Pacific and the Atlantic basins is driven year-round by transported continental plumes and photochemistry, and the vertical distribution is driven by photochemistry and mixing with stratospheric air. This new dataset provides additional constraints for global climate and chemistry models to improve our understanding of both ozone production and loss processes in remote regions, as well as the influence of anthropogenic emissions on baseline ozone.</t>
  </si>
  <si>
    <t>[Bourgeois, Ilann; Peischl, Jeff; Thompson, Chelsea R.; Aikin, Kenneth C.; Gaudel, Audrey; Hintsa, Eric J.; McKain, Kathryn; Moore, Fred L.; Parrish, David D.; Ray, Eric] Univ Colorado, Cooperat Inst Res Environm Sci, Boulder, CO 80309 USA; [Bourgeois, Ilann; Peischl, Jeff; Thompson, Chelsea R.; Aikin, Kenneth C.; Gao, Ru-Shan; Gaudel, Audrey; Parrish, David D.; Ray, Eric; Ryerson, Thomas B.] NOAA, Chem Sci Lab, Boulder, CO 80305 USA; [Campos, Teresa; Witte, Jacquelyn C.] Natl Ctr Atmospher Res, POB 3000, Boulder, CO 80307 USA; [Clark, Hannah] IAGOS AISBL, Brussels, Belgium; [Commane, Roisin] Columbia Univ, Lamont Doherty Earth Observ, Dept Earth &amp; Environm Sci, New York, NY USA; [Daube, Bruce; Wofsy, Steve C.] Harvard Univ, Sch Engn &amp; Appl Sci, Cambridge, MA 02138 USA; [Diskin, Glenn W.] NASA, Langley Res Ctr, Hampton, VA 23665 USA; [Elkins, James W.; Hintsa, Eric J.; Johnson, Bryan J.; McKain, Kathryn; Moore, Fred L.; Sweeney, Colm] NOAA, Global Monitoring Lab, Boulder, CO USA; [Kivi, Rigel] Finnish Meteorol Inst, Space &amp; Earth Observat Ctr, Sodankyla, Finland; [Querel, Richard] Natl Inst Water &amp; Atmospher Res NIWA, Lauder, New Zealand; [Sanchez, Ricardo] Serv Meteorol Nacl, Buenos Aires, DF, Argentina; [Tarasick, David W.] MSC Environm &amp; Climate Change Canada, Expt Studies Res Div, Downsview, ON, Canada; [Thompson, Anne M.] NASA, Earth Sci Div, Goddard Space Flight Ctr, Greenbelt, MD USA; [Thouret, Valerie] CNRS, Lab Aerol, Toulouse, France; [Thouret, Valerie] Univ Toulouse, Univ Paul Sabatier, Toulouse, France</t>
  </si>
  <si>
    <t>University of Colorado System; University of Colorado Boulder; National Oceanic Atmospheric Admin (NOAA) - USA; National Center Atmospheric Research (NCAR) - USA; Columbia University; Harvard University; National Aeronautics &amp; Space Administration (NASA); NASA Langley Research Center; National Oceanic Atmospheric Admin (NOAA) - USA; Finnish Meteorological Institute; National Institute of Water &amp; Atmospheric Research (NIWA) - New Zealand; National Aeronautics &amp; Space Administration (NASA); NASA Goddard Space Flight Center; Universite de Toulouse; Universite Toulouse III - Paul Sabatier; Centre National de la Recherche Scientifique (CNRS); Universite de Toulouse; Universite Toulouse III - Paul Sabatier</t>
  </si>
  <si>
    <t>Bourgeois, I; Peischl, J (corresponding author), Univ Colorado, Cooperat Inst Res Environm Sci, Boulder, CO 80309 USA.;Bourgeois, I; Peischl, J (corresponding author), NOAA, Chem Sci Lab, Boulder, CO 80305 USA.</t>
  </si>
  <si>
    <t>ilann.bourgeois@noaa.gov; jeff.peischl@noaa.gov</t>
  </si>
  <si>
    <t>Sweeney, Colm/AAE-9291-2019; Tarasick, David Walter/IYS-7006-2023; Commane, Roisin/O-3497-2019; Gaudel, Audrey/AAE-2567-2019; Aikin, Kenneth C/I-1973-2013; Ray, Eric/D-5941-2013; Ryerson, Tom/AAA-8399-2021; Bourgeois, Ilann/AAQ-3379-2020; Gao, Ru-Shan/H-7455-2013; McKain, Kathryn/AAG-9135-2019; Parrish, David/E-8957-2010; Witte, Jacquelyn/H-7393-2013; Peischl, Jeff/E-7454-2010; Thompson, Chelsea/L-2302-2015; Querel, Richard/D-3770-2015</t>
  </si>
  <si>
    <t>Tarasick, David Walter/0000-0001-9869-0692; Commane, Roisin/0000-0003-1373-1550; Gaudel, Audrey/0000-0003-2727-213X; Bourgeois, Ilann/0000-0002-2875-1258; Gao, Ru-Shan/0000-0001-6985-1637; McKain, Kathryn/0000-0002-8323-5758; Parrish, David/0000-0001-6312-2724; Witte, Jacquelyn/0000-0002-4110-5277; Campos, Teresa/0000-0002-7226-3569; Peischl, Jeff/0000-0002-9320-7101; Thompson, Chelsea/0000-0002-7332-9945; clark, hannah/0000-0001-5602-5328; Querel, Richard/0000-0001-8792-2486</t>
  </si>
  <si>
    <t>NASA ROSES-2013 NRA [NNH13ZDA001N-EVS2]; NSF [ATM-0628575, ATM-0628519, ATM-0628388]; U.S. National Oceanic and Atmospheric Administration (NOAA) Health of the Atmosphere program; U.S. National Oceanic and Atmospheric Administration (NOAA) Atmospheric Chemistry, Carbon Cycle, and Climate program; NASA Upper Atmosphere Research program; Finnish Antarctic research program (FINNARP); European Commission</t>
  </si>
  <si>
    <t>NASA ROSES-2013 NRA; NSF(National Science Foundation (NSF)); U.S. National Oceanic and Atmospheric Administration (NOAA) Health of the Atmosphere program; U.S. National Oceanic and Atmospheric Administration (NOAA) Atmospheric Chemistry, Carbon Cycle, and Climate program; NASA Upper Atmosphere Research program(National Aeronautics &amp; Space Administration (NASA)); Finnish Antarctic research program (FINNARP); European Commission(European Union (EU)European Commission Joint Research Centre)</t>
  </si>
  <si>
    <t>ATom was funded in response to NASA ROSES-2013 NRA NNH13ZDA001N-EVS2. The HIPPO program was supported by NSF grants (grant nos. ATM-0628575, ATM-0628519, and ATM-0628388). The authors acknowledge support from the U.S. National Oceanic and Atmospheric Administration (NOAA) Health of the Atmosphere and Atmospheric Chemistry, Carbon Cycle, and Climate programs. SHADOZ ozonesondes are supported by the NASA Upper Atmosphere Research program. Ozone soundings at Marambio have been supported by the Finnish Antarctic research program (FINNARP). The IAGOS program acknowledges the European Commission for its support of the MOZAIC project (1994-2003), the preparatory phase of IAGOS (2005-2013), and IGAS (2013-2016); the partner institutions of the IAGOS Research Infrastructure (FZJ, DLR, MPI, and KIT in Germany; CNRS, Meteo-France, and Universite Paul Sabatier in France; and the University of Manchester in the UK); the French Atmospheric Data Center AERIS for hosting the database; and the participating airlines (Lufthansa, Air France, China Airlines, Iberia, Cathay Pacific, and Hawaiian Airlines) for transporting the instrumentation free of charge.</t>
  </si>
  <si>
    <t>10.5194/acp-20-10611-2020</t>
  </si>
  <si>
    <t>NR3RR</t>
  </si>
  <si>
    <t>WOS:000571481400001</t>
  </si>
  <si>
    <t>Haunost, M; Riebesell, U; Bach, LT</t>
  </si>
  <si>
    <t>Haunost, Mathias; Riebesell, Ulf; Bach, Lennart T.</t>
  </si>
  <si>
    <t>The Calcium Carbonate Shell of Emiliania huxleyi Provides Limited Protection Against Viral Infection</t>
  </si>
  <si>
    <t>calcification; coccolithophores; Emiliania huxleyi; virus; phytoplankton; infection</t>
  </si>
  <si>
    <t>MARINE PLANKTON; VIRUS DYNAMICS; ALGAL VIRUS; COCCOLITHOPHORE; BLOOM; CALCIFICATION; METABOLISM; PHASE; CYCLE; FATE</t>
  </si>
  <si>
    <t>Coccolithophores are an important group of marine phytoplankton which cover themselves with the coccosphere - a shell composed of numerous calcium carbonate (CaCO3) platelets. Despite more than a century of coccolithophore research, it remains speculative why coccolithophores calcify. Resolving this question is essential to assess the competitive fitness of coccolithophores in the future ocean where changes in calcification are expected. Here, we used the Emiliania huxleyi - Emiliania huxleyi Virus 86 host-virus model system to test the hypothesis that the coccosphere serves as a physical barrier reducing viral infection. Therefore, we removed the coccosphere from living E. huxleyi cells and compared the infection progress relative to calcified cells in a series of 6 experiments under different growth conditions. We found that the coccosphere does not constitute an effective physical barrier against viral penetration, since non-growing calcified cells were susceptible to viral infection and lysis (growth stopped by light limitation). However, we also found that protection against the virus may depend on the daily growth cycle. E. huxleyi reached higher peak abundances when decalcified cells were allowed to rebuild their coccosphere before entering cell division phase and being exposed to the virus, thereby suggesting that rates of viral infection could be reduced by the coccosphere during the critical phase in the cell cycle. However, the benefit of this potential protection is arguably of limited ecological significance since the concentrations of both, calcified and decalcified E. huxleyi approached similar values until the end of the bloom. We conclude that the coccosphere provides at best a limited protection against infection with the EhV86.</t>
  </si>
  <si>
    <t>[Haunost, Mathias; Riebesell, Ulf] GEOMAR Helmholtz Ctr Ocean Res Kiel, Kiel, Germany; [Bach, Lennart T.] Univ Tasmania, Inst Marine &amp; Antarctic Studies, Hobart, Tas, Australia</t>
  </si>
  <si>
    <t>Haunost, M (corresponding author), GEOMAR Helmholtz Ctr Ocean Res Kiel, Kiel, Germany.</t>
  </si>
  <si>
    <t>mhaunost@geomar.de</t>
  </si>
  <si>
    <t>Bach, Lennart/0000-0003-0202-3671</t>
  </si>
  <si>
    <t>German Research Foundation (DFG) [BA5188/1-1]</t>
  </si>
  <si>
    <t>German Research Foundation (DFG)(German Research Foundation (DFG))</t>
  </si>
  <si>
    <t>This research was funded by the German Research Foundation (DFG) (BA5188/1-1).</t>
  </si>
  <si>
    <t>10.3389/fmars.2020.530757</t>
  </si>
  <si>
    <t>NR9VZ</t>
  </si>
  <si>
    <t>gold, Green Published, Green Accepted</t>
  </si>
  <si>
    <t>WOS:000571911500001</t>
  </si>
  <si>
    <t>Subramaniam, RC; Melbourne-Thomas, J; Corney, SP; Alexander, K; Péron, C; Ziegler, P; Swadling, KM</t>
  </si>
  <si>
    <t>Subramaniam, Roshni C.; Melbourne-Thomas, Jessica; Corney, Stuart P.; Alexander, Karen; Peron, Clara; Ziegler, Philippe; Swadling, Kerrie M.</t>
  </si>
  <si>
    <t>Time-Dynamic Food Web Modeling to Explore Environmental Drivers of Ecosystem Change on the Kerguelen Plateau</t>
  </si>
  <si>
    <t>Ecosim; environmental drivers; ecosystem change; Kerguelen Plateau; Patagonian toothfish fishery</t>
  </si>
  <si>
    <t>TOOTHFISH DISSOSTICHUS-ELEGINOIDES; JUVENILE PATAGONIAN TOOTHFISH; SOUTHERN-OCEAN; IRON FERTILIZATION; CLIMATE-CHANGE; ISLANDS; TRENDS; FISH; TEMPERATURE; CIRCULATION</t>
  </si>
  <si>
    <t>Understanding the impacts of climate and fishing on marine systems is important for ecosystem-based management in the Southern Ocean, but can be difficult to evaluate due to patchy data in space and time. We developed the first time-dynamic food web model for the Kerguelen Plateau using Ecopath with Ecosim to explore likely drivers of change in this relatively data-poor region. The Kerguelen Plateau is located at the centre of intersecting frontal systems and is inhabited by one of the largest populations of the commercially important Patagonian toothfish. We used this model to evaluate the environmental and human drivers of food web dynamics in the region by calibrating it with French and Australian fisheries data from 1997-2018 and biomass data for the period 1986-2018. Fishing was not identified as a driver of food web dynamics within this model, which could indicate that current management strategies are sustainable. A correlation analysis with environmental parameters likely to drive food web dynamics (sea surface temperature, zonal wind, Southern Annular Mode and chlorophyll a concentration) highlighted cool sea surface temperature, higher zonal wind speeds and negative phases of the Southern Annular Mode as important drivers of change, particularly during the summer. As the Southern Ocean is predicted to warm and winds are expected to intensify under future climate change, our study illustrates the importance of considering environmental change in ecosystem management.</t>
  </si>
  <si>
    <t>[Subramaniam, Roshni C.] Antarctic Cilmate &amp; Ecosyst Cooperat Res Ctr, Hobart, Tas, Australia; [Subramaniam, Roshni C.; Corney, Stuart P.; Alexander, Karen; Swadling, Kerrie M.] Univ Tasmania, Coll Sci &amp; Engn, Inst Marine &amp; Antarctic Studies, Hobart, Tas, Australia; [Melbourne-Thomas, Jessica] CSIRO Oceans &amp; Atmosphere, Hobart, Tas, Australia; [Melbourne-Thomas, Jessica; Alexander, Karen] Univ Tasmania, Ctr Marine Socioecol, Hobart, Tas, Australia; [Peron, Clara] Sorbonne Univ, Museum Natl Hist Nat, Dept Milieu &amp; Peuplernentsaquat, BOREA MNHN CNRS UPMC IRD UCB UMR7208, Paris, France; [Ziegler, Philippe] Australian Antarctic Div, Hobart, Tas, Australia</t>
  </si>
  <si>
    <t>University of Tasmania; Commonwealth Scientific &amp; Industrial Research Organisation (CSIRO); University of Tasmania; Sorbonne Universite; Museum National d'Histoire Naturelle (MNHN); Australian Antarctic Division</t>
  </si>
  <si>
    <t>Subramaniam, RC (corresponding author), Antarctic Cilmate &amp; Ecosyst Cooperat Res Ctr, Hobart, Tas, Australia.;Subramaniam, RC (corresponding author), Univ Tasmania, Coll Sci &amp; Engn, Inst Marine &amp; Antarctic Studies, Hobart, Tas, Australia.</t>
  </si>
  <si>
    <t>roshni.subramaniam@utas.edu.au; clara.peron@mnhn.fr; Philippe.Ziegler@awe.gov.au</t>
  </si>
  <si>
    <t>Subramaniam, Roshni/ADZ-6878-2022; Melbourne-Thomas, Jess/N-2437-2019; Alexander, Karen/O-7042-2017</t>
  </si>
  <si>
    <t>Melbourne-Thomas, Jess/0000-0001-6585-876X; Subramaniam, Roshni/0000-0001-7368-8086; Alexander, Karen/0000-0001-8801-413X; Swadling, Kerrie/0000-0002-7620-841X; Ziegler, Philippe/0000-0001-5940-9394</t>
  </si>
  <si>
    <t>Australian Government's Cooperative Research Centres Programme through the Antarctic Climate and Ecosystems Cooperative Research Centre; Institute for Marine and Antarctic Studies (IMAS) through the Australian Antarctic Science Programme [AAS 4347]; University of Tasmania (UTAS) Tasmanian Graduate Research Scholarship; Institute for Marine and Antarctic Studies (IMAS)</t>
  </si>
  <si>
    <t>Australian Government's Cooperative Research Centres Programme through the Antarctic Climate and Ecosystems Cooperative Research Centre(Australian GovernmentDepartment of Industry, Innovation and ScienceCooperative Research Centres (CRC) Programme); Institute for Marine and Antarctic Studies (IMAS) through the Australian Antarctic Science Programme; University of Tasmania (UTAS) Tasmanian Graduate Research Scholarship; Institute for Marine and Antarctic Studies (IMAS)</t>
  </si>
  <si>
    <t>This study was supported by Australian Government's Cooperative Research Centres Programme through the Antarctic Climate and Ecosystems Cooperative Research Centre, the Institute for Marine and Antarctic Studies (IMAS) through the Australian Antarctic Science Programme (AAS 4347) and through the IMAS and University of Tasmania (UTAS) Tasmanian Graduate Research Scholarship.</t>
  </si>
  <si>
    <t>10.3389/fmars.2020.00641</t>
  </si>
  <si>
    <t>NR9VK</t>
  </si>
  <si>
    <t>WOS:000571910000001</t>
  </si>
  <si>
    <t>Stewart, BS; Grove, JS; Kühlem, A; Flores, M</t>
  </si>
  <si>
    <t>Stewart, Brent S.; Grove, Jack S.; Kuehlem, Annette; Flores, Marcelo</t>
  </si>
  <si>
    <t>Recent and historic occurrences of leopard seals (Hydrurga leptonyx) at Easter Island (Rapa Nui), Eastern Polynesia</t>
  </si>
  <si>
    <t>Leopard seal; Hydrurga leptonyx; Easter Island; Petroglyphs; Rongorongo script; Polynesian myths; Archaeozoology</t>
  </si>
  <si>
    <t>Though leopard seals live and reproduce almost exclusively in fast ice and pack ice habitats surrounding the Antarctic Continent, they have been reported to range northward to South Georgia in the South Atlantic Ocean, South Africa, Patagonia, New Zealand and several islands in the South Atlantic, South Pacific, and southern Indian oceans. We summarize recent (2011 through 2018) sightings of leopard seals at Easter Island (Rapa Nui), Eastern Polynesia, and we discuss archeological and anthropological records (i.e., rock art, legends, archeological specimens, Rongorongo script) that arguably indicate that leopard seals have periodically appeared at the island for several centuries. We think that the most likely origin of these visits of leopard seals to Easter Island is from the Antarctic Peninsula to southwestern South America in austral winter as seasonal sea ice expands northward, or perhaps more recently from a small resident population in Tierra del Fuego, via the broad, cold Humboldt Current that flows northward along the Chilean coast from the Southern Ocean.</t>
  </si>
  <si>
    <t>[Stewart, Brent S.] Hubbs SeaWorld Res Inst, 2595 Ingraham St, San Diego, CA 92109 USA; [Grove, Jack S.] JS Grove Photog, 166 Peace Ave, Tavernier, FL 33070 USA; [Kuehlem, Annette] Christian Albrechts Univ Kiel, Inst Ecosyst Res, Olshausenstr 40, D-24098 Kiel, Germany; [Flores, Marcelo] Univ Andres Bello, Fac Ciencias La Vida, Republ 440, Santiago, Chile</t>
  </si>
  <si>
    <t>University of Kiel; Universidad Andres Bello</t>
  </si>
  <si>
    <t>Stewart, BS (corresponding author), Hubbs SeaWorld Res Inst, 2595 Ingraham St, San Diego, CA 92109 USA.</t>
  </si>
  <si>
    <t>bstewart@hswri.org; GroveJack509@gmail.com; akuehlem@ecology.uni-kiel.de; marcelo.flores@uandresbello.edu</t>
  </si>
  <si>
    <t>Stewart, Brent/0000-0002-8720-4457</t>
  </si>
  <si>
    <t>10.1007/s00300-020-02741-z</t>
  </si>
  <si>
    <t>WOS:000569240900001</t>
  </si>
  <si>
    <t>Westerhold, T; Marwan, N; Drury, AJ; Liebrand, D; Agnini, C; Anagnostou, E; Barnet, JSK; Bohaty, SM; De Vleeschouwer, D; Florindo, F; Frederichs, T; Hodell, DA; Holbourn, AE; Kroon, D; Lauretano, V; Littler, K; Lourens, LJ; Lyle, M; Pälike, H; Röhl, U; Tian, J; Wilkens, RH; Wilson, PA; Zachos, JC</t>
  </si>
  <si>
    <t>Westerhold, Thomas; Marwan, Norbert; Drury, Anna Joy; Liebrand, Diederik; Agnini, Claudia; Anagnostou, Eleni; Barnet, James S. K.; Bohaty, Steven M.; De Vleeschouwer, David; Florindo, Fabio; Frederichs, Thomas; Hodell, David A.; Holbourn, Ann E.; Kroon, Dick; Lauretano, Vittoria; Littler, Kate; Lourens, Lucas J.; Lyle, Mitchell; Palike, Heiko; Rohl, Ursula; Tian, Jun; Wilkens, Roy H.; Wilson, Paul A.; Zachos, James C.</t>
  </si>
  <si>
    <t>An astronomically dated record of Earth's climate and its predictability over the last 66 million years</t>
  </si>
  <si>
    <t>EARLY EOCENE CLIMATE; ANTARCTIC ICE-SHEET; GREENHOUSE-GAS CONCENTRATIONS; ATMOSPHERIC CARBON-DIOXIDE; EAST EQUATORIAL PACIFIC; DEEP-WATER CIRCULATION; STABLE-ISOTOPE RECORD; LATE-MIDDLE EOCENE; ODP SITE 1263; NORTH-ATLANTIC</t>
  </si>
  <si>
    <t>Much of our understanding of Earth's past climate comes from the measurement of oxygen and carbon isotope variations in deep-sea benthic foraminifera. Yet, long intervals in existing records lack the temporal resolution and age control needed to thoroughly categorize climate states of the Cenozoic era and to study their dynamics. Here, we present a new, highly resolved, astronomically dated, continuous composite of benthic foraminifer isotope records developed in our laboratories. Four climate states-Hothouse, Warmhouse, Coolhouse, Icehouse-are identified on the basis of their distinctive response to astronomical forcing depending on greenhouse gas concentrations and polar ice sheet volume. Statistical analysis of the nonlinear behavior encoded in our record reveals the key role that polar ice volume plays in the predictability of Cenozoic climate dynamics.</t>
  </si>
  <si>
    <t>[Westerhold, Thomas; Drury, Anna Joy; Liebrand, Diederik; De Vleeschouwer, David; Frederichs, Thomas; Palike, Heiko; Rohl, Ursula] Univ Bremen, MARUM Ctr Marine Environm Sci, D-28359 Bremen, Germany; [Marwan, Norbert] Leibniz Assoc, Potsdam Inst Climate Impact Res PIK, D-14412 Potsdam, Germany; [Marwan, Norbert] Univ Potsdam, Inst Geosci, D-14469 Potsdam, Germany; [Drury, Anna Joy] UCL, Dept Earth Sci, Gower St, London WC1E 6BT, England; [Agnini, Claudia] Univ Padua, Dipartimento Geosci, Via Gradenigo 6, I-35131 Padua, Italy; [Anagnostou, Eleni] GEOMAR Helmholtz Zentrum Ozeanforsch Kiel, Wischhofstr 1-3, D-24148 Kiel, Germany; [Barnet, James S. K.; Littler, Kate] Univ Exeter, Camborne Sch Mines, Penryn Campus, Penryn, England; [Barnet, James S. K.; Littler, Kate] Univ Exeter, Environm &amp; Sustainabil Inst, Penryn Campus, Penryn, England; [Barnet, James S. K.] Univ St Andrews, Sch Earth &amp; Environm Sci, St Andrews, Fife, Scotland; [Bohaty, Steven M.; Wilson, Paul A.] Univ Southampton, Natl Oceanog Ctr, Ocean &amp; Earth Sci, Southampton, Hants, England; [Florindo, Fabio] INGV, Ist Nazl Geofis &amp; Vulcanol, Rome, Italy; [Florindo, Fabio] Inst Climate Change Solut, Pesaro E Urbino, Italy; [Frederichs, Thomas] Univ Bremen, Fac Geosci, Bremen, Germany; [Hodell, David A.] Univ Cambridge, Dept Earth Sci, Godwin Lab Palaeoclimate Res, Cambridge, England; [Holbourn, Ann E.] Univ Kiel, Inst Geosci, D-24118 Kiel, Germany; [Kroon, Dick] Univ Edinburgh, Sch GeoSci, Edinburgh, Midlothian, Scotland; [Lauretano, Vittoria] Univ Bristol, Sch Chem, Bristol BS8 1TS, Avon, England; [Lourens, Lucas J.] Univ Utrecht, Fac Geosci, Dept Earth Sci, Princetonlaan 8a, NL-3584 CB Utrecht, Netherlands; [Lyle, Mitchell] Oregon State Univ, Coll Earth Ocean &amp; Atmospher Sci, Corvallis, OR 97331 USA; [Tian, Jun] Tongji Univ, State Key Lab Marine Geol, Siping Rd 1239, Shanghai 200092, Peoples R China; [Wilkens, Roy H.] Univ Hawaii, Sch Ocean &amp; Earth Sci &amp; Technol, Honolulu, HI 96822 USA; [Zachos, James C.] Univ Calif Santa Cruz, Dept Earth &amp; Planetary Sci, Santa Cruz, CA USA</t>
  </si>
  <si>
    <t>University of Bremen; Potsdam Institut fur Klimafolgenforschung; University of Potsdam; University of London; University College London; University of Padua; Helmholtz Association; GEOMAR Helmholtz Center for Ocean Research Kiel; University of Exeter; University of Exeter; University of St Andrews; University of Southampton; NERC National Oceanography Centre; Istituto Nazionale Geofisica e Vulcanologia (INGV); University of Bremen; University of Cambridge; University of Kiel; University of Edinburgh; University of Bristol; Utrecht University; Oregon State University; Tongji University; University of Hawaii System; University of California System; University of California Santa Cruz</t>
  </si>
  <si>
    <t>Westerhold, T (corresponding author), Univ Bremen, MARUM Ctr Marine Environm Sci, D-28359 Bremen, Germany.</t>
  </si>
  <si>
    <t>twesterhold@marum.de</t>
  </si>
  <si>
    <t>Drury, Anna Joy/A-5237-2017; Pälike, Heiko/A-6560-2008; Florindo, Fabio/F-4119-2010; Westerhold, Thomas/D-4581-2011; Marwan, Norbert/D-9576-2011; anagnostou, eleni/AAH-2618-2021; Lieband, Diederik/AAT-2004-2021; Röhl, Ursula/G-5986-2011; Agnini, Claudia/AAB-9971-2020; De Vleeschouwer, David/ABA-6115-2020; Florindo, Fabio/AAU-2548-2021; Zachos, James C/A-7674-2008</t>
  </si>
  <si>
    <t>Drury, Anna Joy/0000-0001-6206-7284; Pälike, Heiko/0000-0003-3386-0923; Florindo, Fabio/0000-0002-6058-9748; Westerhold, Thomas/0000-0001-8151-4684; Marwan, Norbert/0000-0003-1437-7039; anagnostou, eleni/0000-0002-7200-4794; Lieband, Diederik/0000-0002-6925-7889; Röhl, Ursula/0000-0001-9469-7053; Agnini, Claudia/0000-0001-9749-6003; De Vleeschouwer, David/0000-0002-3323-807X; Barnet, James/0000-0003-3885-5664; Wilson, Paul/0000-0001-6425-8906</t>
  </si>
  <si>
    <t>Deutsche Forschungsgemeinschaft (DFG, German Research Foundation) [320221997, 242225091, 5410858, 28504316, 179386126, 242241969, 48739182, 224193684, 142157224]; Natural Environmental Research Council (NERC); DFG [408101468, 386137731, 405856037]; European Union [796220, 820970]; National Science Foundation of China [41525020, 41776051]; NWO-ALW grant [865.10.001]; Netherlands Earth System Science Centre [024.002.001]; NSF [EAR-0628719]; Cluster of Excellence The Ocean Floor Earth's Uncharted Interface (research unit Recorder); NERC Isotope Geosciences Facility at the British Geological Survey [IP-1581-1115]; NERC [NE/L007452/1, NE/K014137/1] Funding Source: UKRI; Marie Curie Actions (MSCA) [796220] Funding Source: Marie Curie Actions (MSCA)</t>
  </si>
  <si>
    <t>Deutsche Forschungsgemeinschaft (DFG, German Research Foundation)(German Research Foundation (DFG)); Natural Environmental Research Council (NERC)(UK Research &amp; Innovation (UKRI)Natural Environment Research Council (NERC)); DFG(German Research Foundation (DFG)); European Union(European Union (EU)); National Science Foundation of China(National Natural Science Foundation of China (NSFC)); NWO-ALW grant; Netherlands Earth System Science Centre; NSF(National Science Foundation (NSF)); Cluster of Excellence The Ocean Floor Earth's Uncharted Interface (research unit Recorder); NERC Isotope Geosciences Facility at the British Geological Survey; NERC(UK Research &amp; Innovation (UKRI)Natural Environment Research Council (NERC)); Marie Curie Actions (MSCA)(Marie Curie Actions)</t>
  </si>
  <si>
    <t>This research used samples and/or data provided by the International Ocean Discovery Program (IODP). Funding for this research was provided by the Deutsche Forschungsgemeinschaft (DFG, German Research Foundation) to T.W. (project nos. 320221997, 242225091), U.R. (project nos. 5410858, 28504316, 179386126, 242241969, 320221997), and A.E.H. (project nos. 48739182, 224193684, and 142157224); the Natural Environmental Research Council (NERC) to D.A.H.; the DFG (project nos. 386137731, 405856037) and the European Union's Horizon 2020 research and innovation program under grant agreement no. 820970 to N.M.; the DFG (project no. 408101468) and the European Union's Horizon 2020 research and innovation program under the Marie Sklodowska-Curie grant agreement (no. 796220) to A.J.D.; the National Science Foundation of China (grant no. 41525020, 41776051) to J.T.); the NERC Isotope Geosciences Facility at the British Geological Survey (IP-1581-1115) to J.S.K.B. and K.L.); the NWO-ALW grant (project no. 865.10.001) and Netherlands Earth System Science Centre (gravitation grant no. 024.002.001 to L.J.L.; and the NSF (grant no. EAR-0628719) to J.C.Z. Funded through the Cluster of Excellence The Ocean Floor Earth's Uncharted Interface (research unit Recorder).</t>
  </si>
  <si>
    <t>10.1126/science.aba6853</t>
  </si>
  <si>
    <t>NO9YB</t>
  </si>
  <si>
    <t>WOS:000569840300056</t>
  </si>
  <si>
    <t>Monteiro, T; Kerr, R; Machado, ED</t>
  </si>
  <si>
    <t>Monteiro, Thiago; Kerr, Rodrigo; Machado, Eunice da Costa</t>
  </si>
  <si>
    <t>Seasonal variability of net sea-air CO2 fluxes in a coastal region of the northern Antarctic Peninsula</t>
  </si>
  <si>
    <t>CIRCUMPOLAR DEEP-WATER; CARBONATE SYSTEM PROPERTIES; WESTERN BRANSFIELD STRAIT; GERLACHE STRAIT; SOUTHERN-OCEAN; RYDER BAY; DISSOCIATION-CONSTANTS; HUMPBACK WHALES; SURFACE OCEAN; ANNUAL CYCLE</t>
  </si>
  <si>
    <t>We show an annual overview of the sea-air CO2 exchanges and primary drivers in the Gerlache Strait, a hotspot for climate change that is ecologically important in the northern Antarctic Peninsula. In autumn and winter, episodic upwelling events increase the remineralized carbon in the sea surface, leading the region to act as a moderate or strong CO2 source to the atmosphere of up to 40 mmol m(-2) day(-1). During summer and late spring, photosynthesis decreases the CO2 partial pressure in the surface seawater, enhancing ocean CO2 uptake, which reaches values higher than -40 mmol m(-2) day(-1). Thus, autumn/winter CO2 outgassing is nearly balanced by an only 4-month period of intense ocean CO2 ingassing during summer/spring. Hence, the estimated annual net sea-air CO2 flux from 2002 to 2017 was 1.24 +/- 4.33 mmol m(-2) day(-1), opposing the common CO2 sink behaviour observed in other coastal regions around Antarctica. The main drivers of changes in the surface CO2 system in this region were total dissolved inorganic carbon and total alkalinity, revealing dominant influences of both physical and biological processes. These findings demonstrate the importance of Antarctica coastal zones as summer carbon sinks and emphasize the need to better understand local/regional seasonal sensitivity to the net CO2 flux effect on the Southern Ocean carbon cycle, especially considering the impacts caused by climate change.</t>
  </si>
  <si>
    <t>[Monteiro, Thiago; Kerr, Rodrigo; Machado, Eunice da Costa] Univ Fed Rio Grande FURG, Inst Oceanog, Programa Posgrad Oceanol, Ave Italia Km 8, BR-96203900 Rio Grande, RS, Brazil; [Monteiro, Thiago; Kerr, Rodrigo] Fundacao Univ Fed Rio Grande, Inst Oceanog, Lab Estudos Oceanos &amp; Clima, Rio Grande, RS, Brazil; [Monteiro, Thiago; Kerr, Rodrigo] Brazilian Ocean Acidificat Network BrOA, Rio Grande, RS, Brazil; [Machado, Eunice da Costa] Fundacao Univ Fed Rio Grande, Inst Oceanog, Lab Hidroquim, Rio Grande, RS, Brazil</t>
  </si>
  <si>
    <t>Universidade Federal do Rio Grande; Universidade Federal do Rio Grande; Universidade Federal do Rio Grande</t>
  </si>
  <si>
    <t>Monteiro, T; Kerr, R (corresponding author), Univ Fed Rio Grande FURG, Inst Oceanog, Programa Posgrad Oceanol, Ave Italia Km 8, BR-96203900 Rio Grande, RS, Brazil.;Monteiro, T; Kerr, R (corresponding author), Fundacao Univ Fed Rio Grande, Inst Oceanog, Lab Estudos Oceanos &amp; Clima, Rio Grande, RS, Brazil.;Monteiro, T; Kerr, R (corresponding author), Brazilian Ocean Acidificat Network BrOA, Rio Grande, RS, Brazil.</t>
  </si>
  <si>
    <t>thiagomonteiro@furg.br; rodrigokerr@furg.br</t>
  </si>
  <si>
    <t>da Machado, Eunice/AAB-9405-2021; Monteiro, Thiago/AAJ-7902-2020; Kerr, Rodrigo/I-2494-2012</t>
  </si>
  <si>
    <t>da Machado, Eunice/0000-0002-3764-0787; Monteiro, Thiago/0000-0001-7643-0646; Kerr, Rodrigo/0000-0002-2632-3137; Reis, AlessanRSS/0000-0001-8486-7469</t>
  </si>
  <si>
    <t>Brazilian Ministry of the Environment (MMA); Brazilian Ministry of Science, Technology, and Innovation (MCTI); Council for Research and Scientific Development of Brazil (CNPq) through grants from the Brazilian National Institute of Science and Technology of Cryosphere (INCT-CRIOSFERA); CNPq [888881.195000/2018-01, 573720/2008-8, 465680/2014-3]; FAPERGS [17/2551-0000518-0]; NAUTILUS project [405869/2013-4]; Higher Education Personnel Improvement Coordination (CAPES) [23038.001421/2014-30, 88887.360799/201900]; CAPES project; INTERBIOTA project [407889/2013-2]; PROVOCCAR project [442628/2018-8]; ECOPELAGOS project [442637/2018-7]</t>
  </si>
  <si>
    <t>Brazilian Ministry of the Environment (MMA); Brazilian Ministry of Science, Technology, and Innovation (MCTI); Council for Research and Scientific Development of Brazil (CNPq) through grants from the Brazilian National Institute of Science and Technology of Cryosphere (INCT-CRIOSFERA)(Conselho Nacional de Desenvolvimento Cientifico e Tecnologico (CNPQ)); CNPq(Conselho Nacional de Desenvolvimento Cientifico e Tecnologico (CNPQ)); FAPERGS(Fundacao de Amparo a Ciencia e Tecnologia do Estado do Rio Grande do Sul (FAPERGS)); NAUTILUS project; Higher Education Personnel Improvement Coordination (CAPES)(Coordenacao de Aperfeicoamento de Pessoal de Nivel Superior (CAPES)); CAPES project(Coordenacao de Aperfeicoamento de Pessoal de Nivel Superior (CAPES)); INTERBIOTA project; PROVOCCAR project; ECOPELAGOS project</t>
  </si>
  <si>
    <t>This study contributes to the activities of the Brazilian Ocean Acidification Network (BrOA; www.broa.furg.br) and the Brazilian High Latitude Oceanography Group (GOAL; www.goal.furg.br), which is part of the Brazilian Antarctic Program (PROANTAR). GOAL has been funded by and/or has received logistical support from the Brazilian Ministry of the Environment (MMA), the Brazilian Ministry of Science, Technology, and Innovation (MCTI), the Brazilian Navy, the Secretariat of the Interministerial Commission for the Resources of the Sea (SECIRM), and the Council for Research and Scientific Development of Brazil (CNPq) through grants from the Brazilian National Institute of Science and Technology of Cryosphere (INCT-CRIOSFERA; CNPq Grants Nos. 573720/2008-8 and 465680/2014-3; FAPERGS Grant no. 17/2551-0000518-0), NAUTILUS, INTERBIOTA, PROVOCCAR and ECOPELAGOS projects (CNPq Grants Nos. 405869/2013-4, 407889/2013-2, 442628/2018-8 and 442637/2018-7, respectively), and Higher Education Personnel Improvement Coordination (CAPES Grant No. 23038.001421/2014-30). T.M. received financial support from PhD Grant No. 88887.360799/201900 from CAPES. R.K. received financial support from researcher Grant No. 304937/2018-5 from CNPq and 888881.195000/2018-01 from CAPES. We are thankful for the resources provided by CAPES to support the Graduate Program in Oceanology. We appreciate the availability of high-quality data from the SOCATv6, PANGAEA and Palmer Station datasets. Special thanks to the scientists (Taro Takahashi, Colm Sweeney, David Munro, Stu Sutherland, Timothy Newberger, Steven van Heuven, Mario Hoppema, Vassilis Kitidis and Ian Brown) onboard the RV Lawrence M. Gould, Nathaniel B. Palmer, Polarstern and James Clark Ross, who provided the surface ocean pCO2 measurements publicly available via the SOCAT dataset. We thank all researchers and students from LEOC/FURG and other GOAL groups for their contributions to cruise planning, sampling, and analyses. We also thank the Brazilian Navy, especially the crew onboard the RV Almirante Maximiano, for providing logistical and sampling support during the NAUTILUS and INTERBIOTA cruises.</t>
  </si>
  <si>
    <t>SEP 10</t>
  </si>
  <si>
    <t>10.1038/s41598-020-71814-0</t>
  </si>
  <si>
    <t>NR9VX</t>
  </si>
  <si>
    <t>WOS:000571911300014</t>
  </si>
  <si>
    <t>Cabanes, DJE; Blanco-Ameijeiras, S; Bergin, K; Trimborn, S; Völkner, C; Lelchat, F; Hassler, CS</t>
  </si>
  <si>
    <t>Cabanes, Damien J. E.; Blanco-Ameijeiras, Sonia; Bergin, Kevin; Trimborn, Scarlett; Voelkner, Christian; Lelchat, Florian; Hassler, Christel S.</t>
  </si>
  <si>
    <t>Using Fe chemistry to predict Fe uptake rates for natural plankton assemblages from the Southern Ocean</t>
  </si>
  <si>
    <t>MARINE CHEMISTRY</t>
  </si>
  <si>
    <t>Iron; Bioavailability; Chemistry; Phytoplankton; Southern Ocean</t>
  </si>
  <si>
    <t>EQUATORIAL PACIFIC-OCEAN; DISSOLVED IRON; ORGANIC COMPLEXATION; DRAKE PASSAGE; FERTILIZATION EXPERIMENT; EXOPOLYMERIC SUBSTANCES; STRIPPING VOLTAMMETRY; MARINE-PHYTOPLANKTON; CHEMICAL SPECIATION; COMMUNITY STRUCTURE</t>
  </si>
  <si>
    <t>A recent study using Fe-limited phytoplankton strains, showed that iron (Fe) uptake rates normalized by cellular surface area were best related to dissolved iron (dFe) concentrations as the inorganic Fe (Fe') supply rates were not sufficient to satisfy the Fe biological demand. Short-term (24 h) shipboard incubations with the in-situ phytoplankton community were used to measure Fe uptake rates that were normalized per biomass (as particulate organic carbon, POC). Fe uptake rates measured following (FeCl3)-Fe-55 additions (0.05 to 0.9 nM) were fitted to different Fe pools (dFe, Fe-labrie, and Fe') using the Michaelis-Menten equation. Data showed a similar high conditional stability constant for biological transporters across all sites and phytoplankton size classes, with only a 2-fold variation in the concentrations of cellular transporters. These observations are in line with previous reports that eukaryotic phytoplankton takes up Fe close to the limit imposed by transporters cellular density and uses similar high-affinity Fe uptake systems. To further explore the link between Fe uptake rates and Fe chemistry, we also studied the effect of Fe additions preequilibrated with different Fe-binding ligands (L) including: the siderophore desferrioxamine B, two carbohydrates (glucuronic acid and carrageenan) and two different bacterial exopolycarbohydrates (L-6 and L-22, referred as EPS). For all stations, phytoplankton were able to acquire Fe associated to DFB as previously reported, however, different Fe:L ratios prevent quantitative comparison with other studies. Iron bound to carbohydrates, glucuronic acid, carrageenan and EPS could enhance or decrease Fe uptake rates in comparison to equimolar FeCl3 addition. These results illustrate that the effect of such L on Fe uptake rates will depend on the in-situ plankton community and their chemical structure. The variation of the Fe' concentrations was able to explain up to 69% of the Fe uptake rates observed for the Antarctic communities. This relationship with Fe' was related to the fact that the Fe' maximal supply, due to the dissociation of FeL, was enough to satisfy the measured Fe uptakes rates. Calculations using previous reports in contrasted regions of the Southern Ocean, showed that Fe' maximal supply was greater than Fe uptake rates measured in 80% of the cases. Moreover, considering photo- and redox-chemistry as well as kinetical situations prevailing in the field, Fe' should not be overlooked as a pool able to satisfy most of the Fe biological demand. Finally, this study points towards the potential that the GEOTRACES Fe chemical speciation data represent to explore Fe uptake rates at a larger scale in this vast Fe-limited oceanic region.</t>
  </si>
  <si>
    <t>[Cabanes, Damien J. E.; Blanco-Ameijeiras, Sonia; Bergin, Kevin; Lelchat, Florian; Hassler, Christel S.] Univ Geneva, Dept FA Forel Environm &amp; Aquat Sci Earth &amp; Enviro, 66 Bvd Carl Vogt, CH-1211 Geneva 4, Switzerland; [Trimborn, Scarlett; Voelkner, Christian] Helmholtz Ctr Polar &amp; Marine Res, Alfred Wegener Inst, Handelshafen 12, D-27570 Bremerhaven, Germany; [Trimborn, Scarlett] Univ Bremen, Leobener Str NW2-A, D-28359 Bremen, Germany; [Lelchat, Florian] Leo Viridis, Zone Technopole Brest Iroise,140 Ave Graham Bell, F-29280 Plouzane, Bretagne, France; [Hassler, Christel S.] Ecole Polytech Fed Lausanne, Swiss Polar Inst, CH-1015 Lausanne, Switzerland</t>
  </si>
  <si>
    <t>University of Geneva; Helmholtz Association; Alfred Wegener Institute, Helmholtz Centre for Polar &amp; Marine Research; University of Bremen; Swiss Federal Institutes of Technology Domain; Ecole Polytechnique Federale de Lausanne</t>
  </si>
  <si>
    <t>Hassler, CS (corresponding author), Ecole Polytech Fed Lausanne, Swiss Polar Inst ENT R SPI GE, GR C2 505,Stn 2, CH-1015 Lausanne, Switzerland.</t>
  </si>
  <si>
    <t>Christel.hassler@epfl.ch</t>
  </si>
  <si>
    <t>Trimborn, Scarlett/AAM-1061-2021</t>
  </si>
  <si>
    <t>Trimborn, Scarlett/0000-0003-1434-9927; Lelchat, Florian/0000-0002-5544-0666; Blanco-Ameijeiras, Sonia/0000-0003-2698-1735; Hassler, Christel/0000-0002-8976-5469</t>
  </si>
  <si>
    <t>Helmholtz Association of German Research Centers [AWI_PS97_05]; Swiss National Science Foundation [FNS PP00P2-138955]; Helmholtz Impulse Fond (HGF Young Investigators Group EcoTrace) [VH-NG-901]</t>
  </si>
  <si>
    <t>Helmholtz Association of German Research Centers(Helmholtz Association); Swiss National Science Foundation(Swiss National Science Foundation (SNSF)); Helmholtz Impulse Fond (HGF Young Investigators Group EcoTrace)</t>
  </si>
  <si>
    <t>This project funded by the Helmholtz Association of German Research Centers, providing ship time and funding associated to the PROIRON project (Grant no. AWI_PS97_05), and the Swiss National Science Foundation (FNS PP00P2-138955). ST and CV were funded by the Helmholtz Impulse Fond (HGF Young Investigators Group EcoTrace, VH-NG-901). We would like to thank the chief scientist Frank Lamy and all the scientists as well as the captain, officers and crew of R.V. Polarstern for their work and support during the ANT-XXXI/3 cruise. Thanks goes to Florian Koch, Matthias Sieber, Heike Simon and Jasmin Heiden for help at sea; Astrid Bracher, Sonja Wiegmann, Dorothee Wilhelms-Dick and Tina Brenneis for help in chl-a, BSi, nutrients and ICP-MS analyses; Christine Klaas, Kevin Wilkinson and Constant van den Berg for discussions. Finally, we thank two anonymous reviewers whose comments greatly improved this manuscript.</t>
  </si>
  <si>
    <t>0304-4203</t>
  </si>
  <si>
    <t>1872-7581</t>
  </si>
  <si>
    <t>MAR CHEM</t>
  </si>
  <si>
    <t>Mar. Chem.</t>
  </si>
  <si>
    <t>10.1016/j.marchem.2020.103853</t>
  </si>
  <si>
    <t>Chemistry, Multidisciplinary; Oceanography</t>
  </si>
  <si>
    <t>Chemistry; Oceanography</t>
  </si>
  <si>
    <t>NG3RK</t>
  </si>
  <si>
    <t>WOS:000563903100012</t>
  </si>
  <si>
    <t>Murakami, K; Nomura, D; Hashida, G; Nakaoka, S; Kitade, Y; Hirano, D; Hirawake, T; Ohshima, KI</t>
  </si>
  <si>
    <t>Murakami, Kan; Nomura, Daiki; Hashida, Gen; Nakaoka, Shin-ichiro; Kitade, Yujiro; Hirano, Daisuke; Hirawake, Toru; Ohshima, Kay, I</t>
  </si>
  <si>
    <t>Strong biological carbon uptake and carbonate chemistry associated with dense shelf water outflows in the Cape Darnley polynya, East Antarctica</t>
  </si>
  <si>
    <t>Carbon dioxide; Primary production; Carbon transport; Dense water formation; Gas exchange; Polynya; Cape Darnley; Southern Ocean</t>
  </si>
  <si>
    <t>SEA CO2 FLUX; NET COMMUNITY PRODUCTION; SOUTHERN-OCEAN SOUTH; SEASONAL CYCLE; SURFACE-WATER; RYDER BAY; PRYDZ BAY; ICE-ZONE; VARIABILITY; DIOXIDE</t>
  </si>
  <si>
    <t>Formation of dense shelf water (DSW) in coastal polynyas (open water or thin sea-ice cover) in the sea-ice zone around Antarctica supplies Antarctic Bottom Water (AABW) through overflow down the continental slope. In coastal polynyas, atmospheric carbon dioxide (CO2) is absorbed by the ocean in the early spring because of active primary production, and DSW formation is an important process for transporting this carbon from the sea surface to the deep ocean. However, there have been few quantitative evaluations of carbon consumption by active primary production and transport in coastal polynyas. Here, we examined the carbon dynamics in the Cape Darnley polynya (CDP), East Antarctica during austral summer 2009, by using carbonate system parameters combined with oceanographic mooring data. The partial pressure of CO2 in the CDP surface water was lower than that of the atmosphere and the mean and standard deviation of sea-air CO2 flux was estimated as - 6.5 +/- 6.9 mmol C m(-2) d(-1)(a negative value indicates absorption of atmospheric CO2 by the ocean). Vertical profiles of dissolved inorganic carbon (DIC) concentration showed that concentrations in the bottom layer near the ocean floor were lower (by about 20 mu mmol kg(-1)) than those in the ambient water (e.g., modified Circumpolar Deep Water, mCDW). The low-DIC in the shelf water was maintained by the strong biological uptake of carbon imported from high-DIC mCDW within the water column. Therefore, low-DIC DSW overflowed down the continental slope, and low-DIC concentrations were maintained through an export pathway to the continental shelf. The annual production of dissolved organic carbon and particulate organic carbon on the shelf was estimated as 0.7 x 10(11) -1.5 x 10(11) mol C using the data for the DIC of DSW and current velocity data from a mooring in the CDP. Our results provide quantitative estimates for the potential role of carbon consumption by the active primary production and carbon transport by dense water formation in Antarctic coastal polynyas.</t>
  </si>
  <si>
    <t>[Murakami, Kan; Nomura, Daiki; Hirawake, Toru] Hokkaido Univ, Fac Fisheries Sci, 3-1-1 Minato Cho, Hakodate, Hokkaido 0418611, Japan; [Nomura, Daiki] Hokkaido Univ, Field Sci Ctr Northern Biosphere, 3-1-1 Minato Cho, Hakodate, Hokkaido 0418611, Japan; [Nomura, Daiki; Hirano, Daisuke; Hirawake, Toru; Ohshima, Kay, I] Hokkaido Univ, Arctic Res Ctr, Kita Ku, Kita 21,Nishi 11, Sapporo, Hokkaido 0010021, Japan; [Nomura, Daiki] Hokkaido Univ, Global Inst Collaborat Res &amp; Educ, Global Stn Arctic Res, Kita Ku, Kita 8,Nishi 5, Sapporo, Hokkaido 0600808, Japan; [Hashida, Gen] Natl Inst Polar Res, 10-3 Midori Cho, Tachikawa, Tokyo 1908501, Japan; [Nakaoka, Shin-ichiro] Natl Inst Environm Studies, 16-2 Onogawa, Tsukuba, Ibaraki 3058506, Japan; [Kitade, Yujiro] Tokyo Univ Marine Sci &amp; Technol, Tokyo 1088477, Japan; [Hirano, Daisuke; Ohshima, Kay, I] Hokkaido Univ, Inst Low Temp Sci, Kita Ku, Kita 19,Nishi 8, Sapporo, Hokkaido 0600819, Japan</t>
  </si>
  <si>
    <t>Hokkaido University; Hokkaido University; Hokkaido University; Hokkaido University; Research Organization of Information &amp; Systems (ROIS); National Institute of Polar Research (NIPR) - Japan; National Institute for Environmental Studies - Japan; Tokyo University of Marine Science &amp; Technology; Hokkaido University</t>
  </si>
  <si>
    <t>Nomura, D (corresponding author), Hokkaido Univ, Field Sci Ctr Northern Biosphere, 3-1-1 Minato Cho, Hakodate, Hokkaido 0418611, Japan.</t>
  </si>
  <si>
    <t>daiki.nomura@fish.hokudai.ac.jp</t>
  </si>
  <si>
    <t>KITADE, Yujiro/O-1912-2014; Ohshima, Kay I/D-6909-2012; Hirano, Daisuke/P-3963-2019; Shin-ichiro, Nakaoka/I-7222-2018</t>
  </si>
  <si>
    <t>KITADE, Yujiro/0000-0002-9312-6870; Shin-ichiro, Nakaoka/0000-0002-3870-1721</t>
  </si>
  <si>
    <t>Japan Society for the Promotion of Science [20221001, 17H04715]; Joint Research Program of the Institute of Low Temperature Science, Hokkaido University [18G038]; National Institute for Polar Research [28-14]; Grants-in-Aid for Scientific Research [20H04961, 17H04715] Funding Source: KAKEN</t>
  </si>
  <si>
    <t>Japan Society for the Promotion of Science(Ministry of Education, Culture, Sports, Science and Technology, Japan (MEXT)Japan Society for the Promotion of Science); Joint Research Program of the Institute of Low Temperature Science, Hokkaido University; National Institute for Polar Research; Grants-in-Aid for Scientific Research(Ministry of Education, Culture, Sports, Science and Technology, Japan (MEXT)Japan Society for the Promotion of ScienceGrants-in-Aid for Scientific Research (KAKENHI))</t>
  </si>
  <si>
    <t>We thank the crew of R/V Umitaka Maru and cruise members for their support in conducting the field work. We greatly benefitted from advice offered by Shuki Uhio, Takeshi Tamura, Shintaro Takao, Yasushi Fukamachi, Shigeru Aoki, Atsushi Ooki, and Akihide Kasai, and from their useful comments about this paper. This work was supported by grants from the Japan Society for the Promotion of Science (#20221001 and #17H04715), the Joint Research Program of the Institute of Low Temperature Science, Hokkaido University (#18G038) and the National Institute for Polar Research (#28-14). The pCO2 data in this study are available in SOCAT data-base (www.socat.info).</t>
  </si>
  <si>
    <t>10.1016/j.marchem.2020.103842</t>
  </si>
  <si>
    <t>WOS:000563903100002</t>
  </si>
  <si>
    <t>Reisinger, RR; Carpenter-Kling, T; Connan, M; Cherel, Y; Pistorius, PA</t>
  </si>
  <si>
    <t>Reisinger, Ryan R.; Carpenter-Kling, Tegan; Connan, Maelle; Cherel, Yves; Pistorius, Pierre A.</t>
  </si>
  <si>
    <t>Foraging behaviour and habitat-use drives niche segregation in sibling seabird species</t>
  </si>
  <si>
    <t>diet; stable isotopes; movement; competition; partitioning; habitat selection</t>
  </si>
  <si>
    <t>GIANT PETRELS MACRONECTES; SEXUAL SEGREGATION; GEOGRAPHICAL VARIATION; BREEDING DISTRIBUTION; ACTIVITY PATTERNS; MARINE PREDATORS; FEEDING ECOLOGY; POPULATION; DELTA-C-13; CARBON</t>
  </si>
  <si>
    <t>To mediate competition, similar sympatric species are assumed to use different resources, or the same but geographically separated resources. The two giant petrels (Macronectes spp.) are intriguing in that they are morphologically similar seabirds with overlapping diets and distributions. To better understand the mechanisms allowing their coexistence, we investigated intra- and interspecific niche segregation at Marion Island (Southern Indian Ocean), one of the few localities where they breed in sympatry. We used GPS tracks from 94 individuals and remote-sensed environmental data to quantify habitat use, combined with blood carbon and nitrogen stable isotope ratios from 90 individuals to characterize their foraging habitat and trophic ecology. Females of both species made distant at-sea foraging trips and fed at a similar trophic level. However, they used distinct pelagic habitats. By contrast, males of both species mainly foraged on or near land, resulting in significant sexual segregation, but high interspecific habitat and diet overlap. However, some males showed flexible behavioural strategies, also making distant, pelagic foraging trips. Using contemporaneous tracking, environmental and stable isotope data we provide a clear example of how sympatric sibling species can be segregated along different foraging behaviour dimensions.</t>
  </si>
  <si>
    <t>[Reisinger, Ryan R.; Carpenter-Kling, Tegan; Connan, Maelle; Pistorius, Pierre A.] Nelson Mandela Univ, Inst Coastal &amp; Marine Res, Marine Apex Predator Res Unit, South Campus, ZA-6031 Port Elizabeth, South Africa; [Reisinger, Ryan R.; Carpenter-Kling, Tegan; Connan, Maelle; Pistorius, Pierre A.] Nelson Mandela Univ, Dept Zool, South Campus, ZA-6031 Port Elizabeth, South Africa; [Reisinger, Ryan R.; Cherel, Yves] La Rochelle Univ, CNRS, UMR 7372, Ctr Etud Biol Chize, F-79360 Villiers En Bois, France; [Reisinger, Ryan R.] Univ Calif Santa Cruz, Inst Marine Sci, Santa Cruz, CA 95060 USA; [Carpenter-Kling, Tegan; Pistorius, Pierre A.] Nelson Mandela Univ, Dept Zool, FitzPatrick Inst African Ornithol, DST NRF Ctr Excellence, Port Elizabeth, South Africa</t>
  </si>
  <si>
    <t>Nelson Mandela University; Nelson Mandela University; Centre National de la Recherche Scientifique (CNRS); CNRS - Institute of Ecology &amp; Environment (INEE); University of California System; University of California Santa Cruz; Nelson Mandela University; National Research Foundation - South Africa</t>
  </si>
  <si>
    <t>Reisinger, RR (corresponding author), Nelson Mandela Univ, Inst Coastal &amp; Marine Res, Marine Apex Predator Res Unit, South Campus, ZA-6031 Port Elizabeth, South Africa.;Reisinger, RR (corresponding author), Nelson Mandela Univ, Dept Zool, South Campus, ZA-6031 Port Elizabeth, South Africa.;Reisinger, RR (corresponding author), La Rochelle Univ, CNRS, UMR 7372, Ctr Etud Biol Chize, F-79360 Villiers En Bois, France.;Reisinger, RR (corresponding author), Univ Calif Santa Cruz, Inst Marine Sci, Santa Cruz, CA 95060 USA.</t>
  </si>
  <si>
    <t>ryan.r.reisinger@gmail.com</t>
  </si>
  <si>
    <t>Reisinger, Ryan/0000-0002-8933-6875; Connan, Maelle/0000-0002-1308-9118; Cherel, Yves/0000-0001-9469-9489</t>
  </si>
  <si>
    <t>South African National Research Foundation, under the South African National Antarctic Program [SNA93071]; South African Network for Coastal and Oceanic Research [94916]</t>
  </si>
  <si>
    <t>South African National Research Foundation, under the South African National Antarctic Program; South African Network for Coastal and Oceanic Research</t>
  </si>
  <si>
    <t>This work was funded by the South African National Research Foundation, under the South African National Antarctic Program (grant no. SNA93071 to P.A.P.) and the South African Network for Coastal and Oceanic Research (grant no. 94916 to R.R.R.).</t>
  </si>
  <si>
    <t>SEP 9</t>
  </si>
  <si>
    <t>10.1098/rsos.200649</t>
  </si>
  <si>
    <t>NS7GR</t>
  </si>
  <si>
    <t>gold, Green Accepted, Green Published</t>
  </si>
  <si>
    <t>WOS:000572426300001</t>
  </si>
  <si>
    <t>Tanbakouei, S; Trigo-Rodríguez, JM; Blum, J; Williams, I; Llorca, J</t>
  </si>
  <si>
    <t>Tanbakouei, Safoura; Trigo-Rodriguez, Josep M.; Blum, Juergen; Williams, Iwan; Llorca, Jordi</t>
  </si>
  <si>
    <t>Comparing the reflectivity of ungrouped carbonaceous chondrites with those of short-period comets like 2P/Encke</t>
  </si>
  <si>
    <t>ASTRONOMY &amp; ASTROPHYSICS</t>
  </si>
  <si>
    <t>comets: general; meteorites; meteors; meteoroids; techniques: spectroscopic; ultraviolet: planetary systems</t>
  </si>
  <si>
    <t>SPECTRAL REFLECTANCE PROPERTIES; SPECTROSCOPIC INVESTIGATIONS; THERMAL METAMORPHISM; AQUEOUS ALTERATION; ASTEROIDS; ORIGIN; 67P/CHURYUMOV-GERASIMENKO; METEORITE; NUCLEUS; EVOLUTION</t>
  </si>
  <si>
    <t>Aims. The existence of asteroid complexes produced by the disruption of these comets suggests that evolved comets could also produce high-strength materials able to survive as meteorites. We chose as an example comet 2P/Encke, one of the largest object of the so-called Taurid complex. We compare the reflectance spectrum of this comet with the laboratory spectra of some Antarctic ungrouped carbonaceous chondrites to investigate whether some of these meteorites could be associated with evolved comets.Methods. We compared the spectral behaviour of 2P/Encke with laboratory spectra of carbonaceous chondrites. Different specimens of the common carbonaceous chondrite groups do not match the overall features and slope of the comet 2P/Encke. By testing anomalous carbonaceous chondrites, we found two meteorites: Meteorite Hills 01017 and Grosvenor Mountains 95551, which could be good proxies for the dark materials that formed this short-period comet. We hypothesise that these two meteorites could be rare surviving samples, either from the Taurid complex or another compositionally similar body. In any case, it is difficult to get rid of the effects of terrestrial weathering in these Antarctic finds, and further studies are needed. A future sample return from the so-called dormant comets could also be useful to establish a ground truth on the materials forming evolved short-period comets.Results. As a natural outcome, we think that identifying good proxies of 2P/Encke-forming materials might have interesting implications for future sample-return missions to evolved, potentially dormant, or extinct comets. Understanding the compositional nature of evolved comets is particularly relevant in the context of the future mitigation of impact hazard from these dark and dangerous projectiles.</t>
  </si>
  <si>
    <t>[Tanbakouei, Safoura; Trigo-Rodriguez, Josep M.] Inst Space Sci ICE CSIC, Campus UAB,C Can Magrans S-N, Bellaterra 08193, Catalonia, Spain; [Tanbakouei, Safoura; Trigo-Rodriguez, Josep M.] Inst Estudis Espacials Catalunya IEEC, C Gran Capita,2-4,Ed Nexus,Desp 201, Barcelona 08034, Catalonia, Spain; [Blum, Juergen] Tech Univ Carolo Wilhelmina Braunschweig, Inst Geophys &amp; Extraterr Phys, Mendelssohnstr 3, D-38106 Braunschweig, Germany; [Williams, Iwan] Queen Mary Univ London, Sch Phys &amp; Astron, Mile End Rd, London E1 4NS, England; [Llorca, Jordi] Univ Politecn Cataluna, BarcelonaTech, Dept Chem Engn, Inst Energy Technol, Catalonia, Spain; [Llorca, Jordi] Univ Politecn Cataluna, BarcelonaTech, Barcelona Res Ctr Multiscale Sci &amp; Engn, Catalonia, Spain</t>
  </si>
  <si>
    <t>Autonomous University of Barcelona; Consejo Superior de Investigaciones Cientificas (CSIC); CSIC - Instituto de Ciencias del Espacio (ICE); Institut d'Estudis Espacials de Catalunya (IEEC); Braunschweig University of Technology; University of London; University College London; Queen Mary University London; Universitat Politecnica de Catalunya; Universitat Politecnica de Catalunya</t>
  </si>
  <si>
    <t>Tanbakouei, S; Trigo-Rodríguez, JM (corresponding author), Inst Space Sci ICE CSIC, Campus UAB,C Can Magrans S-N, Bellaterra 08193, Catalonia, Spain.;Tanbakouei, S; Trigo-Rodríguez, JM (corresponding author), Inst Estudis Espacials Catalunya IEEC, C Gran Capita,2-4,Ed Nexus,Desp 201, Barcelona 08034, Catalonia, Spain.;Blum, J (corresponding author), Tech Univ Carolo Wilhelmina Braunschweig, Inst Geophys &amp; Extraterr Phys, Mendelssohnstr 3, D-38106 Braunschweig, Germany.</t>
  </si>
  <si>
    <t>tanbakouei@ice.csic.es; trigo@ice.csic.es; j.blum@tu-bs.de</t>
  </si>
  <si>
    <t>Trigo-Rodríguez, Josep M./L-3870-2014; Trigo-Rodriguez, Josep M./ABF-5444-2020; Llorca, Jordi/M-8134-2014</t>
  </si>
  <si>
    <t>Trigo-Rodríguez, Josep M./0000-0001-8417-702X; Llorca, Jordi/0000-0002-7447-9582</t>
  </si>
  <si>
    <t>Spanish Ministry [PGC2018-097374-B-I00]; Generalitat de Catalunya [2017 SGR 128]; NSF; NASA; Deutsches Zentrum fur Luft- und Raumfahrt (DLR); Deutsche Forschungsgemeinschaft (DFG)</t>
  </si>
  <si>
    <t>Spanish Ministry(Spanish Government); Generalitat de Catalunya(Generalitat de Catalunya); NSF(National Science Foundation (NSF)); NASA(National Aeronautics &amp; Space Administration (NASA)); Deutsches Zentrum fur Luft- und Raumfahrt (DLR)(Helmholtz AssociationGerman Aerospace Centre (DLR)); Deutsche Forschungsgemeinschaft (DFG)(German Research Foundation (DFG))</t>
  </si>
  <si>
    <t>J.M.T.R. and S.T. acknowledge financial support from the Spanish Ministry (PGC2018-097374-B-I00, PI: JMTR). J.L.L. is grateful to ICREA Academia program and funding from Generalitat de Catalunya (2017 SGR 128). US Antarctic meteorite samples are recovered by the Antarctic Search for Meteorites (ANSMET) program which has been funded by NSF and NASA, and characterized and curated by the Department of Mineral Sciences of the Smithsonian Institution and Astromaterials Acquisition and Curation Office at NASA Johnson Space Center. We thank these institutions for providing the Antarctic meteorites studied here. J.B. thanks the Deutsches Zentrum fur Luft- und Raumfahrt (DLR) and the Deutsche Forschungsgemeinschaft (DFG) for their continuous support.</t>
  </si>
  <si>
    <t>EDP SCIENCES S A</t>
  </si>
  <si>
    <t>LES ULIS CEDEX A</t>
  </si>
  <si>
    <t>17, AVE DU HOGGAR, PA COURTABOEUF, BP 112, F-91944 LES ULIS CEDEX A, FRANCE</t>
  </si>
  <si>
    <t>0004-6361</t>
  </si>
  <si>
    <t>1432-0746</t>
  </si>
  <si>
    <t>ASTRON ASTROPHYS</t>
  </si>
  <si>
    <t>Astron. Astrophys.</t>
  </si>
  <si>
    <t>A58</t>
  </si>
  <si>
    <t>10.1051/0004-6361/202037996</t>
  </si>
  <si>
    <t>NR6QH</t>
  </si>
  <si>
    <t>WOS:000571686900004</t>
  </si>
  <si>
    <t>Jordan, TA; Porter, D; Tinto, K; Millan, R; Muto, A; Hogan, K; Larter, RD; Graham, AGC; Paden, JD</t>
  </si>
  <si>
    <t>Jordan, Tom A.; Porter, David; Tinto, Kirsty; Millan, Romain; Muto, Atsuhiro; Hogan, Kelly; Larter, Robert D.; Graham, Alastair G. C.; Paden, John D.</t>
  </si>
  <si>
    <t>New gravity-derived bathymetry for the Thwaites, Crosson, and Dotson ice shelves revealing two ice shelf populations</t>
  </si>
  <si>
    <t>PINE ISLAND GLACIER; AMUNDSEN SEA EMBAYMENT; WEST ANTARCTICA; ICEBRIDGE GRAVITY; CONTINENTAL-SHELF; RETREAT; BENEATH; THICKNESS; DRIVEN; INVERSION</t>
  </si>
  <si>
    <t>Ice shelves play a critical role in the long-term stability of ice sheets through their buttressing effect. The underlying bathymetry and cavity thickness are key inputs for modelling future ice sheet evolution. However, direct observation of sub-ice-shelf bathymetry is time-consuming, logistically risky, and in some areas simply not possible. Here we use new compilations of airborne and marine gravity, radar depth sounding, and swath bathymetry to provide new estimates of sub-ice-shelf bathymetry outboard of the rapidly changing West Antarctic Thwaites Glacier and beneath the adjacent Dotson and Crosson ice shelves. This region is of special interest, as the low-lying inland reverse slope of the Thwaites Glacier system makes it vulnerable to marine ice sheet instability, with rapid grounding line retreat observed since 1993 suggesting this process may be underway. Our results confirm a major marine channel &gt; 800m deep extends tens of kilometres to the front of Thwaites Glacier, while the adjacent ice shelves are underlain by more complex bathymetry. Comparison of our new bathymetry with ice shelf draft reveals that ice shelves formed since 1993 comprise a distinct population where the draft conforms closely to the underlying bathymetry, unlike the older ice shelves, which show a more uniform depth of the ice base. This indicates that despite rapid basal melting in some areas, these recently floated parts of the ice shelf are not yet in dynamic equilibrium with their retreated grounding line positions and the underlying ocean system, a factor which must be included in future models of this region's evolution.</t>
  </si>
  <si>
    <t>[Jordan, Tom A.; Hogan, Kelly; Larter, Robert D.] British Antarctic Survey, Madingley Rd, Cambridge CB3 0ET, England; [Porter, David; Tinto, Kirsty] Columbia Univ, Lamont Doherty Earth Observ, Palisades, NY 10964 USA; [Millan, Romain] Univ Grenoble Alpes, CNRS, Inst Geosci Environm, F-38000 Grenoble, France; [Muto, Atsuhiro] Temple Univ, Dept Earth &amp; Environm Sci, Philadelphia, PA 19122 USA; [Graham, Alastair G. C.] Univ S Florida, Coll Marine Sci, St Petersburg, FL 33701 USA; [Paden, John D.] Univ Kansas, Ctr Remote Sensing Ice Sheets CReSIS, Lawrence, KS 66045 USA</t>
  </si>
  <si>
    <t>UK Research &amp; Innovation (UKRI); Natural Environment Research Council (NERC); NERC British Antarctic Survey; Columbia University; Centre National de la Recherche Scientifique (CNRS); Communaute Universite Grenoble Alpes; Universite Grenoble Alpes (UGA); Pennsylvania Commonwealth System of Higher Education (PCSHE); Temple University; State University System of Florida; University of South Florida; University of Kansas</t>
  </si>
  <si>
    <t>Jordan, TA (corresponding author), British Antarctic Survey, Madingley Rd, Cambridge CB3 0ET, England.</t>
  </si>
  <si>
    <t>tomj@bas.ac.uk</t>
  </si>
  <si>
    <t>Porter, David F/D-2631-2017; Muto, Atsuhiro/AAJ-9558-2020</t>
  </si>
  <si>
    <t>Muto, Atsuhiro/0000-0002-1722-2457; Larter, Robert/0000-0002-8414-7389</t>
  </si>
  <si>
    <t>UK Natural Environment Research Council (NERC) [NE/S006664/1, NE/S006419/1]; US National Science Foundation (NSF) [NSF1842064, NSFPLR-NERC-1738942, NSFPLR-NERC-1738992, NSFPLR-NERC-1739003]; NERC [NE/S006419/1, NE/S006664/1, bas0100029, bas0100030] Funding Source: UKRI</t>
  </si>
  <si>
    <t>UK Natural Environment Research Council (NERC)(UK Research &amp; Innovation (UKRI)Natural Environment Research Council (NERC)); US National Science Foundation (NSF)(National Science Foundation (NSF)); NERC(UK Research &amp; Innovation (UKRI)Natural Environment Research Council (NERC))</t>
  </si>
  <si>
    <t>This research has been supported by the UK Natural Environment Research Council (NERC) (grant nos. NE/S006664/1, NE/S006419/1) and US National Science Foundation (NSF) (grant nos. NSF1842064, NSFPLR-NERC-1738942, NSFPLR-NERC-1738992, NSFPLR-NERC-1739003).</t>
  </si>
  <si>
    <t>10.5194/tc-14-2869-2020</t>
  </si>
  <si>
    <t>NO3YC</t>
  </si>
  <si>
    <t>WOS:000569421000001</t>
  </si>
  <si>
    <t>Taylor, RS; Slinger, J; Lima, PC; English, CJ; Maynard, B; Samsing, F; McCulloch, R; Quezada-Rodriguez, PR; Wynne, JW</t>
  </si>
  <si>
    <t>Taylor, Richard S.; Slinger, Joel; Lima, Paula Camargo; English, Chloe J.; Maynard, Ben T.; Samsing, Francisca; McCulloch, Russell; Quezada-Rodriguez, Petra R.; Wynne, James W.</t>
  </si>
  <si>
    <t>Evaluation of sodium percarbonate as a bath treatment for amoebic gill disease in Atlantic salmon</t>
  </si>
  <si>
    <t>AGD; combined treatment; hydrogen peroxide; Neoparamoeba perurans; Salmo salar</t>
  </si>
  <si>
    <t>HYDROGEN-PEROXIDE; NEOPARAMOEBA-PERURANS; SALAR L.; SEQUENTIAL PATHOLOGY; GENETIC-VARIATION; WATER CHEMISTRY; SURVIVAL; AGD; EFFICACY; FORMALDEHYDE</t>
  </si>
  <si>
    <t>Amoebic gill disease (AGD), caused byNeoparamoeba perurans, is a major health challenge for Atlantic salmon aquaculture globally. While freshwater bathing for 2 hr is effective in reducing infection severity, there is need for more rapid and lower cost alternatives. To this end, a combination of sodium percarbonate (SPC) in freshwater was examined for its treatment efficacy. Initial in vitro studies showed a reduction in amoeba viability when exposed for 30 min to freshwater containing &gt;500 mg/L SPC. Subsequently, AGD-affected salmon were bathed for 30 min in 16 degrees C freshwater containing 100, 500 or 1,000 mg/L SPC, or for 2 hr in 16 degrees C freshwater to mimic industry practice. Treatment at the highest SPC concentration caused extensive gill damage and substantial mortality. Neither occurred to a significant extent at lower SPC concentrations. Gill pathology of surviving fish 10 days post-treatment (dpt) was comparable to or more severe than pre-treatment, and significantly (p &lt; .001) more severe than in 2 hr freshwater bathed fish.N. peruransDNA was confirmed by qPCR in all treatment groups at 10 dpt. The data indicate that a 30-min exposure to SPC in freshwater is not a suitable alternative to existing freshwater treatment of AGD.</t>
  </si>
  <si>
    <t>[Taylor, Richard S.; Maynard, Ben T.; Samsing, Francisca; Quezada-Rodriguez, Petra R.; Wynne, James W.] CSIRO Agr &amp; Food, Livestock &amp; Aquaculture Program, Hobart, Tas, Australia; [Slinger, Joel; English, Chloe J.] CSIRO Agr &amp; Food, Livestock &amp; Aquaculture Program, Bribie Isl Res Ctr, Woorim, Qld, Australia; [Slinger, Joel; Quezada-Rodriguez, Petra R.] Univ Tasmania, Inst Marine &amp; Antarctic Studies, Launceston, Tas, Australia; [Lima, Paula Camargo; McCulloch, Russell] CSIRO Agr &amp; Food, Livestock &amp; Aquaculture Program, Queensland Biosci Precinct, St Lucia, Qld, Australia; [English, Chloe J.] Univ Queensland, Sch Biol Sci, St Lucia, Qld, Australia</t>
  </si>
  <si>
    <t>Commonwealth Scientific &amp; Industrial Research Organisation (CSIRO); Commonwealth Scientific &amp; Industrial Research Organisation (CSIRO); Queensland Department of Agriculture &amp; Fisheries; University of Tasmania; Commonwealth Scientific &amp; Industrial Research Organisation (CSIRO); University of Queensland</t>
  </si>
  <si>
    <t>Taylor, RS (corresponding author), CSIRO Agr &amp; Food, Livestock &amp; Aquaculture Program, Hobart, Tas, Australia.</t>
  </si>
  <si>
    <t>richard.taylor@csiro.au</t>
  </si>
  <si>
    <t>Wynne, James W/H-7957-2013; Taylor, Richard S/E-9961-2012; Samsing, Francisca/AAL-8488-2021; Taylor, Richard S./T-7996-2019; Slinger, Joel/AAD-6684-2022; Samsing, Francisca/ABA-6072-2021; Quezada-Rodriguez, Petra/O-7965-2018</t>
  </si>
  <si>
    <t>Wynne, James W/0000-0001-6846-757X; Samsing, Francisca/0000-0002-6343-2295; Taylor, Richard S./0000-0003-0312-7317; Camargo Lima, Paula/0000-0001-6621-662X; English, Chloe/0000-0002-9904-493X; Slinger, Joel/0000-0003-2781-2300; Quezada-Rodriguez, Petra/0000-0003-3061-4428</t>
  </si>
  <si>
    <t>Tassal Operations Pty Ltd</t>
  </si>
  <si>
    <t>10.1111/are.14874</t>
  </si>
  <si>
    <t>WOS:000567432800001</t>
  </si>
  <si>
    <t>Bolam, FC; Mair, L; Angelico, M; Brooks, TM; Burgman, M; Hermes, C; Hoffmann, M; Martin, RW; McGowan, PJK; Rodrigues, ASL; Rondinini, C; Westrip, JRS; Wheatley, H; Bedolla-Guzmán, Y; Calzada, J; Child, MF; Cranswick, PA; Dickman, CR; Fessl, B; Fisher, DO; Garnett, ST; Groombridge, JJ; Johnson, CN; Kennerley, RJ; King, SRB; Lamoreux, JF; Lees, AC; Lens, L; Mahood, SP; Mallon, DP; Meijaard, E; Méndez-Sánchez, F; Percequillo, AR; Regan, TJ; Renjifo, LM; Rivers, MC; Roach, NS; Roxburgh, L; Safford, RJ; Salaman, P; Squires, T; Vázquez-Domínguez, E; Visconti, P; Woinarski, JCZ; Young, RP; Butchart, SHM</t>
  </si>
  <si>
    <t>Bolam, Friederike C.; Mair, Louise; Angelico, Marco; Brooks, Thomas M.; Burgman, Mark; Hermes, Claudia; Hoffmann, Michael; Martin, Rob W.; McGowan, Philip J. K.; Rodrigues, Ana S. L.; Rondinini, Carlo; Westrip, James R. S.; Wheatley, Hannah; Bedolla-Guzman, Yuliana; Calzada, Javier; Child, Matthew F.; Cranswick, Peter A.; Dickman, Christopher R.; Fessl, Birgit; Fisher, Diana O.; Garnett, Stephen T.; Groombridge, Jim J.; Johnson, Christopher N.; Kennerley, Rosalind J.; King, Sarah R. B.; Lamoreux, John F.; Lees, Alexander C.; Lens, Luc; Mahood, Simon P.; Mallon, David P.; Meijaard, Erik; Mendez-Sanchez, Federico; Percequillo, Alexandre Reis; Regan, Tracey J.; Renjifo, Luis Miguel; Rivers, Malin C.; Roach, Nicolette S.; Roxburgh, Lizanne; Safford, Roger J.; Salaman, Paul; Squires, Tom; Vazquez-Dominguez, Ella; Visconti, Piero; Woinarski, John C. Z.; Young, Richard P.; Butchart, Stuart H. M.</t>
  </si>
  <si>
    <t>How many bird and mammal extinctions has recent conservation action prevented?</t>
  </si>
  <si>
    <t>CONSERVATION LETTERS</t>
  </si>
  <si>
    <t>Letter</t>
  </si>
  <si>
    <t>Aichi biodiversity target 12; Convention on Biological Diversity; Delphi method; extinction risk; species conservation; IUCN Red List</t>
  </si>
  <si>
    <t>IMPACT</t>
  </si>
  <si>
    <t>Aichi Target 12 of the Convention on Biological Diversity (CBD) contains the aim to 'prevent extinctions of known threatened species'. To measure the degree to which this was achieved, we used expert elicitation to estimate the number of bird and mammal species whose extinctions were prevented by conservation action in 1993-2020 (the lifetime of the CBD) and 2010-2020 (the timing of Aichi Target 12). We found that conservation action prevented 21-32 bird and 7-16 mammal extinctions since 1993, and 9-18 bird and two to seven mammal extinctions since 2010. Many remain highly threatened and may still become extinct. Considering that 10 bird and five mammal species did go extinct (or are strongly suspected to) since 1993, extinction rates would have been 2.9-4.2 times greater without conservation action. While policy commitments have fostered significant conservation achievements, future biodiversity action needs to be scaled up to avert additional extinctions.</t>
  </si>
  <si>
    <t>[Bolam, Friederike C.; Mair, Louise; McGowan, Philip J. K.] Newcastle Univ, Sch Nat &amp; Environm Sci, Newcastle Upon Tyne NE1 7RU, Tyne &amp; Wear, England; [Angelico, Marco; Rondinini, Carlo] Sapienza Univ Rome, Dept Biol &amp; Biotechnol, Global Mammal Assessment Program, Rome, Italy; [Brooks, Thomas M.] IUCN, Gland, Switzerland; [Brooks, Thomas M.] Univ Philippines Banos, World Agroforestry Ctr ICRAF, Laguna, Philippines; [Brooks, Thomas M.] Univ Tasmania, Inst Marine &amp; Antarctic Studies, Hobart, Tas, Australia; [Burgman, Mark] Imperial Coll London, London, England; [Hermes, Claudia; Martin, Rob W.; Wheatley, Hannah; Safford, Roger J.; Butchart, Stuart H. M.] BirdLife Int, Cambridge, England; [Hoffmann, Michael] Zool Soc London, London, England; [Rodrigues, Ana S. L.] Univ Paul Valery Montpellier 3, Univ Montpellier, CNRS, CEFE,EPHE,IRD, Montpellier, France; [Westrip, James R. S.] IUCN Int Union Conservat Nat, Global Species Programme, Cambridge, England; [Bedolla-Guzman, Yuliana; Mendez-Sanchez, Federico] Grp Ecol &amp; Conservac Islas AC, Ensenada, Baja California, Mexico; [Calzada, Javier] Univ Huelva, Dept Integrated Sci, Huelva, Spain; [Child, Matthew F.] South African Natl Biodivers Inst, Pretoria, South Africa; [Child, Matthew F.] Univ Pretoria, Mammal Res Inst, Pretoria, South Africa; [Cranswick, Peter A.] Wildfowl &amp; Wetlands Trust, Slimbridge, Glos, England; [Dickman, Christopher R.] Univ Sydney, Sch Life &amp; Environm Sci, Sydney, NSW, Australia; [Dickman, Christopher R.; Garnett, Stephen T.; Woinarski, John C. Z.] Natl Environm Sci Program, Threatened Species Recovery Hub, Brisbane, Qld, Australia; [Fessl, Birgit] Charles Darwin Fdn, Charles Darwin Res Stn, Galapagos, Ecuador; [Fisher, Diana O.] Univ Queensland, Sch Biol Sci, Brisbane, Qld, Australia; [Garnett, Stephen T.; Mahood, Simon P.; Woinarski, John C. Z.] Charles Darwin Univ, Res Inst Environm &amp; Livelihoods, Casuarina, Australia; [Groombridge, Jim J.; Meijaard, Erik] Univ Kent, Durrell Inst Conservat &amp; Ecol, Sch Anthropol &amp; Conservat, Canterbury, Kent, England; [Johnson, Christopher N.] Univ Tasmania, Sch Nat Sci, Hobart, Tas, Australia; [Johnson, Christopher N.] Univ Tasmania, ARC Ctr Australian Biodivers &amp; Heritage, Hobart, Tas, Australia; [Kennerley, Rosalind J.; Young, Richard P.] Durrell Wildlife Conservat Trust, Channel Isl, England; [King, Sarah R. B.] Colorado State Univ, Nat Resource Ecol Lab, Ft Collins, CO 80523 USA; [Lees, Alexander C.; Mallon, David P.; Squires, Tom] Manchester Metropolitan Univ, Dept Nat Sci, Manchester, Lancs, England; [Lees, Alexander C.] Cornell Univ, Cornell Lab Ornithol, Ithaca, NY USA; [Lens, Luc] Univ Ghent, Dept Biol, Terr Ecol Unit, Ghent, Belgium; [Mahood, Simon P.] Wildlife Conservat Soc, Phnom Penh, Cambodia; [Mallon, David P.] IUCN Species Survival Commiss, Gland, Switzerland; [Meijaard, Erik] Borneo Futures, Bandar Seri Begawan, Brunei; [Mendez-Sanchez, Federico] Ctr Invest Biol Noroeste SC, La Paz, Baja California, Mexico; [Percequillo, Alexandre Reis] Univ Sao Paulo, Escola Super Agricultura Luiz Queiroz, Sao Paulo, Brazil; [Regan, Tracey J.] Arthur Rylah Inst Environm Res, Dept Environm Land Water &amp; Planning, Heidelberg, Vic, Australia; [Regan, Tracey J.] Univ Melbourne, Sch BioSci, Parkville, Vic, Australia; [Renjifo, Luis Miguel] Pontificia Univ Javeriana, Dept Ecol &amp; Terr, Bogota, Colombia; [Rivers, Malin C.] Bot Gardens Conservat Int, Richmond, Surrey, England; [Roach, Nicolette S.] Texas A&amp;M Univ, Dept Wildlife &amp; Fisheries Sci, College Stn, TX 77843 USA; [Roach, Nicolette S.] Global Wildlife Conservat, Austin, TX USA; [Roxburgh, Lizanne] Endangered Wildlife Trust, Johannesburg, South Africa; [Salaman, Paul] Rasmussen Family Fdn, Santa Clara, UT USA; [Vazquez-Dominguez, Ella] Univ Nacl Autonoma Mexico, Inst Ecol, Dept Ecol Biodivers, Mexico City, DF, Mexico; [Visconti, Piero] Int Inst Appl Syst Anal, Laxenburg, Austria; [Visconti, Piero] UCL, Ctr Biodivers &amp; Environm Res, London, England; [Butchart, Stuart H. M.] Univ Cambridge, Dept Zool, Cambridge, England</t>
  </si>
  <si>
    <t>Newcastle University - UK; Sapienza University Rome; CGIAR; World Agroforestry (ICRAF); University of the Philippines System; University of the Philippines Los Banos; University of Tasmania; Imperial College London; BirdLife International; Zoological Society of London; Universite PSL; Ecole Pratique des Hautes Etudes (EPHE); Institut Agro; Montpellier SupAgro; CIRAD; Centre National de la Recherche Scientifique (CNRS); Institut de Recherche pour le Developpement (IRD); Universite Paul-Valery; Universite de Montpellier; Universidad de Huelva; South African National Biodiversity Institute; University of Pretoria; University of Sydney; University of Queensland; Charles Darwin University; University of Kent; University of Tasmania; University of Tasmania; Colorado State University; Manchester Metropolitan University; Cornell University; Ghent University; CIBNOR - Centro de Investigaciones Biologicas del Noroeste; Universidade de Sao Paulo; Arthur Rylah Institute for Environmental Research (ARI); University of Melbourne; Pontificia Universidad Javeriana; Royal Botanic Gardens, Kew; Texas A&amp;M University System; Texas A&amp;M University College Station; Universidad Nacional Autonoma de Mexico; International Institute for Applied Systems Analysis (IIASA); University of London; University College London; University of Cambridge</t>
  </si>
  <si>
    <t>McGowan, PJK (corresponding author), Newcastle Univ, Sch Nat &amp; Environm Sci, Newcastle Upon Tyne NE1 7RU, Tyne &amp; Wear, England.</t>
  </si>
  <si>
    <t>philip.mcgowan@ncl.ac.uk</t>
  </si>
  <si>
    <t>Percequillo, Alexandre R/C-3067-2012; Meijaard, Erik/A-2687-2016; Johnson, Christopher/JWP-0315-2024; Mair, Louise/AAL-4986-2020; Martin, Rob/JNS-5628-2023; Lees, Alexander Charles/S-2443-2019; Garnett, Stephen T/M-3877-2013; Rodrigues, Ana/GYQ-6273-2022; Rodriguez, Christophe/AAG-5900-2021; Rondinini, Carlo/E-9027-2011; King, Sarah R. B./C-1856-2013; Butchart, Stuart/AAJ-1852-2021; Groombridge, Jim J/G-8060-2011; Visconti, Piero/A-3253-2009; Squires, Thomas/JXL-9263-2024; Johnson, Christopher/J-7894-2014; Woinarski, John C.Z./N-2262-2013; Rodrigues, Ana S.L./A-5914-2009; Vázquez-Domínguez, Ella/AFO-8593-2022; Wheatley, Hannah/F-2794-2018; Child, Matthew Fairfax/None</t>
  </si>
  <si>
    <t>Percequillo, Alexandre R/0000-0002-7892-8912; Meijaard, Erik/0000-0001-8685-3685; Mair, Louise/0000-0002-7419-7200; Martin, Rob/0000-0002-5886-2581; Lees, Alexander Charles/0000-0001-7603-9081; Rodriguez, Christophe/0000-0002-9817-5006; King, Sarah R. B./0000-0002-9316-7488; Butchart, Stuart/0000-0002-1140-4049; Visconti, Piero/0000-0001-6823-2826; Squires, Thomas/0000-0002-3159-7044; Rodrigues, Ana S.L./0000-0003-4775-0127; Vázquez-Domínguez, Ella/0000-0001-6131-2014; Woinarski, John/0000-0002-1712-9500; Burgman, Mark/0000-0003-0435-4829; Bolam, Friederike/0000-0002-2021-0828; Young, Richard/0000-0002-6515-6343; McGowan, Philip/0000-0001-8674-7444; Child, Matthew Fairfax/0000-0003-1718-4638; Rondinini, Carlo/0000-0002-6617-018X; Renjifo, Luis Miguel/0000-0003-1907-2760</t>
  </si>
  <si>
    <t>1755-263X</t>
  </si>
  <si>
    <t>CONSERV LETT</t>
  </si>
  <si>
    <t>Conserv. Lett.</t>
  </si>
  <si>
    <t>e12762</t>
  </si>
  <si>
    <t>10.1111/conl.12762</t>
  </si>
  <si>
    <t>QG3VB</t>
  </si>
  <si>
    <t>WOS:000567481100001</t>
  </si>
  <si>
    <t>Hogan, KA; Larter, RD; Graham, AGC; Arthern, R; Kirkham, JD; Totten, RL; Jordan, TA; Clark, R; Fitzgerald, V; Wåhlin, AK; Anderson, JB; Hillenbrand, CD; Nitsche, FO; Simkins, L; Smith, JA; Gohl, K; Arndt, JE; Hong, J; Wellner, J</t>
  </si>
  <si>
    <t>Hogan, Kelly A.; Larter, Robert D.; Graham, Alastair G. C.; Arthern, Robert; Kirkham, James D.; Totten, Rebecca L.; Jordan, Tom A.; Clark, Rachel; Fitzgerald, Victoria; Wahlin, Anna K.; Anderson, John B.; Hillenbrand, Claus-Dieter; Nitsche, Frank O.; Simkins, Lauren; Smith, James A.; Gohl, Karsten; Arndt, Jan Erik; Hong, Jongkuk; Wellner, Julia</t>
  </si>
  <si>
    <t>Revealing the former bed of Thwaites Glacier using sea-floor bathymetry: implications for warm-water routing and bed controls on ice flow and buttressing</t>
  </si>
  <si>
    <t>GROUNDING-LINE RETREAT; PINE ISLAND GLACIER; AMUNDSEN SEA; WEST ANTARCTICA; CONTINENTAL-SHELF; TAIL FEATURES; DEEP-WATER; SHEET; BENEATH; EMBAYMENT</t>
  </si>
  <si>
    <t>The geometry of the sea floor immediately beyond Antarctica's marine-terminating glaciers is a fundamental control on warm-water routing, but it also describes former topographic pinning points that have been important for ice-shelf buttressing. Unfortunately, this information is often lacking due to the inaccessibility of these areas for survey, leading to modelled or interpolated bathymetries being used as boundary conditions in numerical modelling simulations. At Thwaites Glacier (TG) this critical data gap was addressed in 2019 during the first cruise of the International Thwaites Glacier Collaboration (ITGC) project. We present more than 2000 km(2) of new multibeam echo-sounder (MBES) data acquired in exceptional sea-ice conditions immediately offshore TG, and we update existing bathymetric compilations. The cross-sectional areas of sea-floor troughs are under-predicted by up to 40% or are not resolved at all where MBES data are missing, suggesting that calculations of trough capacity, and thus oceanic heat flux, may be significantly underestimated. Spatial variations in the morphology of topographic highs, known to be former pinning points for the floating ice shelf of TG, indicate differences in bed composition that are supported by landform evidence. We discuss links to ice dynamics for an overriding ice mass including a potential positive feedback mechanism where erosion of soft erodible highs may lead to ice-shelf ungrounding even with little or no ice thinning. Analyses of bed roughnesses and basal drag contributions show that the sea-floor bathymetry in front of TG is an analogue for extant bed areas. Ice flow over the sea-floor troughs and ridges would have been affected by similarly high basal drag to that acting at the grounding zone today. We conclude that more can certainly be gleaned from these 3D bathymetric datasets regarding the likely spatial variability of bed roughness and bed composition types underneath TG. This work also addresses the requirements of recent numerical ice-sheet and ocean modelling studies that have recognised the need for accurate and high-resolution bathymetry to determine warm-water routing to the grounding zone and, ultimately, for predicting glacier retreat behaviour.</t>
  </si>
  <si>
    <t>[Hogan, Kelly A.; Larter, Robert D.; Arthern, Robert; Kirkham, James D.; Jordan, Tom A.; Hillenbrand, Claus-Dieter; Smith, James A.] British Antarctic Survey, Nat Environm Res Council, Madingley Rd, Cambridge CB3 0ET, England; [Graham, Alastair G. C.] Univ S Florida, Coll Marine Sci, St Petersburg, FL 33701 USA; [Kirkham, James D.] Univ Cambridge, Scott Polar Res Inst, Lensfield Rd, Cambridge CB2 1ER, England; [Totten, Rebecca L.; Fitzgerald, Victoria] Univ Alabama, Dept Geol Sci, Tuscaloosa, AL 35487 USA; [Clark, Rachel; Wellner, Julia] Univ Houston, Dept Earth &amp; Atmospher Sci, Houston, TX 77204 USA; [Wahlin, Anna K.] Univ Gothenburg, Dept Marine Sci, S-40530 Gothenburg, Sweden; [Anderson, John B.] Rice Univ, Dept Earth Sci, Houston, TX 77005 USA; [Nitsche, Frank O.] Columbia Univ, Lamont Doherty Earth Observ, Palisades, NY USA; [Simkins, Lauren] Univ Virginia, Dept Environm Sci, Charlottesville, VA 22904 USA; [Gohl, Karsten; Arndt, Jan Erik] Ctr Polar &amp; Marine Res, Alfred Wegener Inst Helmholtz, D-27568 Bremerhaven, Germany; [Hong, Jongkuk] Korea Polar Res Inst KOPRI, Incheon 21990, South Korea</t>
  </si>
  <si>
    <t>UK Research &amp; Innovation (UKRI); Natural Environment Research Council (NERC); NERC British Antarctic Survey; State University System of Florida; University of South Florida; University of Cambridge; University of Alabama System; University of Alabama Tuscaloosa; University of Houston System; University of Houston; University of Gothenburg; Rice University; Columbia University; University of Virginia; Helmholtz Association; Alfred Wegener Institute, Helmholtz Centre for Polar &amp; Marine Research; Korea Polar Research Institute (KOPRI)</t>
  </si>
  <si>
    <t>Hogan, KA (corresponding author), British Antarctic Survey, Nat Environm Res Council, Madingley Rd, Cambridge CB3 0ET, England.</t>
  </si>
  <si>
    <t>kelgan@bas.ac.uk</t>
  </si>
  <si>
    <t>Nitsche, Frank O/A-9343-2009; Wahlin, Anna/U-3790-2017</t>
  </si>
  <si>
    <t>Nitsche, Frank O/0000-0002-4137-547X; Jordan, Tom/0000-0003-2780-1986; Kirkham, James/0000-0002-0506-1625; Totten, Rebecca L./0000-0002-8227-2848; Arndt, Jan Erik/0000-0002-9413-1612; Wahlin, Anna/0000-0003-1799-6476; Clark, Rachel W./0000-0002-5487-3160; Larter, Robert/0000-0002-8414-7389</t>
  </si>
  <si>
    <t>National Science Foundation, Office of Polar Programs [1738942]; Natural Environment Research Council [NE/S006664/1, NE/S006672/1]; Directorate For Geosciences; Office of Polar Programs (OPP) [1738942] Funding Source: National Science Foundation; NERC [bas0100029, bas0100030, NE/S006672/1, NE/S006664/1, bas0100034] Funding Source: UKRI</t>
  </si>
  <si>
    <t>National Science Foundation, Office of Polar Programs(National Science Foundation (NSF)NSF - Directorate for Geosciences (GEO)); Natural Environment Research Council(UK Research &amp; Innovation (UKRI)Natural Environment Research Council (NERC)); Directorate For Geosciences; Office of Polar Programs (OPP)(National Science Foundation (NSF)NSF - Directorate for Geosciences (GEO)); NERC(UK Research &amp; Innovation (UKRI)Natural Environment Research Council (NERC))</t>
  </si>
  <si>
    <t>This research has been supported by the National Science Foundation, Office of Polar Programs (grant no. 1738942), the Natural Environment Research Council (grant nos. NE/S006664/1 and NE/S006672/1).</t>
  </si>
  <si>
    <t>10.5194/tc-14-2883-2020</t>
  </si>
  <si>
    <t>WOS:000569421000002</t>
  </si>
  <si>
    <t>van Haren, H; Uchida, H; Yanagimoto, D</t>
  </si>
  <si>
    <t>van Haren, Hans; Uchida, Hiroshi; Yanagimoto, Daigo</t>
  </si>
  <si>
    <t>Further correcting pressure effects on SBE911 CTD-conductivity data from hadal depths</t>
  </si>
  <si>
    <t>JOURNAL OF OCEANOGRAPHY</t>
  </si>
  <si>
    <t>Challenger deep; Mariana trench; Improved pressure correction of conductivity profile data; Turbulence parameter estimates</t>
  </si>
  <si>
    <t>CHALLENGER DEEP; OCEAN; WATER; DISSIPATION; OVERTURNS; MARIANA; THORPE; TEMPERATURE; TRENCHES; SHEAR</t>
  </si>
  <si>
    <t>Hadal, &gt; 6000 m deep shipborne Sea-Bird Electronics SBE 911plus Conductivity Temperature Depth (CTD) data are obtained using two different systems in the vicinity of the Earth's deepest point, in the Challenger Deep, Mariana Trench 14 years apart. Below 7000 m in very weakly density stratified waters, the salinity data from both sets show an artificial increase with depth of about 10(-6) g kg(-1) m(-1)that is not covered by the SBE linear pressure correction to the conductivity data. With the aid of independent water sample data, salinity is corrected and an additional algorithm for the pressure correction on conductivity data is formulated. The corrected salinity data still weakly increase with depth, together with a decrease in temperature, which may point at an influx of dense modified Antarctic bottom water. The corrected density variations with depth are used in calculations of deep turbulence values.</t>
  </si>
  <si>
    <t>[van Haren, Hans] Royal Netherlands Inst Sea Res NIOZ, POB 59, NL-1790 AB Den Burg, Netherlands; [van Haren, Hans] Univ Utrecht, POB 59, NL-1790 AB Den Burg, Netherlands; [Uchida, Hiroshi] Japan Agcy Marine Earth Sci &amp; Technol JAMSTEC, Res Inst Global Change, Yokosuka, Kanagawa, Japan; [Yanagimoto, Daigo] Univ Tokyo, Atmosphere &amp; Ocean Res Inst, Kashiwanoha 5-1-5, Kashiwa, Chiba 2778564, Japan</t>
  </si>
  <si>
    <t>Utrecht University; Royal Netherlands Institute for Sea Research (NIOZ); Utrecht University; Japan Agency for Marine-Earth Science &amp; Technology (JAMSTEC); University of Tokyo</t>
  </si>
  <si>
    <t>van Haren, H (corresponding author), Royal Netherlands Inst Sea Res NIOZ, POB 59, NL-1790 AB Den Burg, Netherlands.;van Haren, H (corresponding author), Univ Utrecht, POB 59, NL-1790 AB Den Burg, Netherlands.</t>
  </si>
  <si>
    <t>hans.van.haren@nioz.nl</t>
  </si>
  <si>
    <t>Yanagimoto, Daigo/0000-0002-8025-9383</t>
  </si>
  <si>
    <t>0916-8370</t>
  </si>
  <si>
    <t>1573-868X</t>
  </si>
  <si>
    <t>J OCEANOGR</t>
  </si>
  <si>
    <t>J. Oceanogr.</t>
  </si>
  <si>
    <t>10.1007/s10872-020-00565-3</t>
  </si>
  <si>
    <t>PV7IJ</t>
  </si>
  <si>
    <t>WOS:000567763300001</t>
  </si>
  <si>
    <t>Freire, RKB; Mendonça, CMN; Ferraro, RB; Moguel, IS; Tonso, A; Lourenço, FR; Santos, JHPM; Sette, LD; Pessoa, A</t>
  </si>
  <si>
    <t>Freire, Rominne Karla Barros; Mendonca, Carlos Miguel Nobrega; Ferraro, Rafael Bertelli; Moguel, Ignacio Sanchez; Tonso, Aldo; Lourenco, Felipe Rebello; Santos, Joao Henrique Picado Madalena; Sette, Lara Duraes; Pessoa Junior, Adalberto</t>
  </si>
  <si>
    <t>Glutaminase-free L-asparaginase production byLeucosporidium muscorumisolated from Antarctic marine-sediment</t>
  </si>
  <si>
    <t>PREPARATIVE BIOCHEMISTRY &amp; BIOTECHNOLOGY</t>
  </si>
  <si>
    <t>Cold-adapted yeast; enzyme production; glutaminase-free asparaginase; L-asparaginase; Leucosporidium muscorum</t>
  </si>
  <si>
    <t>EXTRACELLULAR L-ASPARAGINASE; SACCHAROMYCES-CEREVISIAE; OPTIMIZATION; PURIFICATION; ENZYME; EFFICIENT; MEDIA; TERRESTRIAL; PROTEASE; YEASTS</t>
  </si>
  <si>
    <t>L-asparaginase (ASNase) is an essential drug in the treatment of acute lymphoblastic leukemia (ALL). Commercial bacterial ASNases increase patient survival, but the consequent immunological reactions remain a challenge. Yeasts ASNase is closer to human congeners and could lead to lower side effects. Among 134 yeast strains isolated from marine-sediments in King George Island, Antarctica, nine were L-asparaginase producing yeasts and glutaminase-free.Leucosporidium muscorumCRM 1648 yielded the highest ASNase activity (490.41 U.L-1) and volumetric productivity (5.12 U.L(-1)h(-1)). Sucrose, yeast extract and proline were the best carbon and nitrogen sources to support growth and ASNase production. A full factorial design analysis pointed the optimum media condition for yeast growth and ASNase yield: 20 g L(-1)sucrose, 15 g L(-1)yeast extract and 20 g L(-1)proline, which resulted in 4582.5 U L(-1)and 63.64 U L(-1)h(-1)of ASNase and volumetric productivity, respectively. Analysis of temperature, pH, inoculum and addition of seawater indicated the best condition for ASNase production by this yeast: 12-15 degrees C, pH 5.5-6.5 and seawater &gt;25% (v/v). Inoculum concentration seems not to interfere. This work is pioneer on the production of ASNase by cold-adapted yeasts, highlighting the potential of these microbial resources as a source of glutaminase-free L-asparaginase for commercial purposes.</t>
  </si>
  <si>
    <t>[Freire, Rominne Karla Barros; Mendonca, Carlos Miguel Nobrega; Ferraro, Rafael Bertelli; Moguel, Ignacio Sanchez; Santos, Joao Henrique Picado Madalena; Pessoa Junior, Adalberto] Univ Sao Paulo, Dept Biochem &amp; Pharmaceut Technol, Sch Pharmaceut Sci, BR-05508900 Sao Paulo, Brazil; [Tonso, Aldo] Univ Sao Paulo, Polytech Sch, Dept Chem Engn, Sao Paulo, Brazil; [Lourenco, Felipe Rebello] Univ Sao Paulo, Sch Pharmaceut Sci, Dept Pharm, Sao Paulo, Brazil; [Sette, Lara Duraes] State Univ Julio de Mesquita Filho UNESP, Inst Biosci, Dept Gen &amp; Appl Biol, Rio Claro, Brazil</t>
  </si>
  <si>
    <t>Universidade de Sao Paulo; Universidade de Sao Paulo; Universidade de Sao Paulo</t>
  </si>
  <si>
    <t>Freire, RKB (corresponding author), Univ Sao Paulo, Dept Biochem &amp; Pharmaceut Technol, Sch Pharmaceut Sci, BR-05508900 Sao Paulo, Brazil.</t>
  </si>
  <si>
    <t>rkbfreire@gmail.com</t>
  </si>
  <si>
    <t>Mendonça, Carlos M. N./G-6896-2019; Sánchez Moguel, Ignacio/KBC-5107-2024; Lourenço, Felipe R/C-4016-2013; Pessoa-Junior, Adalberto/B-7963-2012; Santos, João H. P. M./G-8387-2017; Sette, Lara Durães/C-8298-2013; Tonso, Aldo/B-5645-2008</t>
  </si>
  <si>
    <t>Sánchez Moguel, Ignacio/0000-0003-3706-4780; Pessoa-Junior, Adalberto/0000-0002-5268-8690; Sette, Lara Durães/0000-0002-5980-3786; Tonso, Aldo/0000-0001-8498-7348</t>
  </si>
  <si>
    <t>CAPES [2013/08617-7]; State of Sao Paulo Research Foundation (FAPESP) [2018/25994-2]</t>
  </si>
  <si>
    <t>CAPES(Coordenacao de Aperfeicoamento de Pessoal de Nivel Superior (CAPES)); State of Sao Paulo Research Foundation (FAPESP)(Fundacao de Amparo a Pesquisa do Estado de Sao Paulo (FAPESP))</t>
  </si>
  <si>
    <t>This work was supported by the Brazilian agencies CAPES [grant number 2013/08617-7] and State of Sao Paulo Research Foundation (FAPESP) [grant number 2018/25994-2].</t>
  </si>
  <si>
    <t>1082-6068</t>
  </si>
  <si>
    <t>1532-2297</t>
  </si>
  <si>
    <t>PREP BIOCHEM BIOTECH</t>
  </si>
  <si>
    <t>Prep. Biochem. Biotechnol.</t>
  </si>
  <si>
    <t>MAR 1</t>
  </si>
  <si>
    <t>10.1080/10826068.2020.1815053</t>
  </si>
  <si>
    <t>Biochemical Research Methods; Biochemistry &amp; Molecular Biology; Biotechnology &amp; Applied Microbiology</t>
  </si>
  <si>
    <t>Biochemistry &amp; Molecular Biology; Biotechnology &amp; Applied Microbiology</t>
  </si>
  <si>
    <t>QS5SP</t>
  </si>
  <si>
    <t>WOS:000568951800001</t>
  </si>
  <si>
    <t>Gázquez, F; Bauska, TK; Comas-Bru, L; Ghaleb, B; Calaforra, JM; Hodell, DA</t>
  </si>
  <si>
    <t>Gazquez, Fernando; Bauska, Thomas K.; Comas-Bru, Laia; Ghaleb, Bassam; Calaforra, Jose-Maria; Hodell, David A.</t>
  </si>
  <si>
    <t>The potential of gypsum speleothems for paleoclimatology: application to the Iberian Roman Human Period</t>
  </si>
  <si>
    <t>NORTH-ATLANTIC OSCILLATION; CLIMATE VARIABILITY; HYDRATION WATER; LATE HOLOCENE; MEDITERRANEAN REGION; SIERRA-NEVADA; VEGETATION; RECORD; PRECIPITATION; CAVES</t>
  </si>
  <si>
    <t>Carbonate cave deposits (speleothems) have been used widely for paleoclimate reconstructions; however, few studies have examined the utility of other speleothem-forming minerals for this purpose. Here we demonstrate for the first time that stable isotopes (delta O-17, delta O-18 and delta D) of structurally-bound gypsum (CaSO(4)2H(2)O) hydration water (GHW) can be used to infer paleoclimate. Specifically, we used a 63 cm-long gypsum stalactite from Sima Blanca Cave to reconstruct the climate history of SE Spain from similar to 800 BCE to similar to 800 CE. The gypsum stalactite indicates wet conditions in the cave and humid climate from similar to 200 BCE to 100 CE, at the time of the Roman Empire apogee in Hispania. From similar to 100 CE to similar to 600 CE, evaporation in the cave increased in response to regional aridification that peaked at similar to 500-600 CE, roughly coinciding with the transition between the Iberian Roman Humid Period and the Migration Period. Our record agrees with most Mediterranean and Iberian paleoclimate archives, demonstrating that stable isotopes of GHW in subaerial gypsum speleothems are a useful tool for paleoclimate reconstructions.</t>
  </si>
  <si>
    <t>[Gazquez, Fernando; Calaforra, Jose-Maria] Univ Almeria, Dept Biol &amp; Geol, Water Resources &amp; Environm Geol Res Grp, Crta Sacramento S-N, Almeria 04120, Spain; [Gazquez, Fernando; Calaforra, Jose-Maria] Univ Almeria, Andalusian Ctr Monitoring &amp; Assessment Global Cha, Crta Sacramento S-N, Almeria 04120, Spain; [Bauska, Thomas K.; Hodell, David A.] Univ Cambridge, Godwin Lab Palaeoclimate Res, Dept Earth Sci, Downing St, Cambridge CB2 3EQ, England; [Bauska, Thomas K.] British Antarctic Survey, Madingley Rd, Cambridge CB3 0ET, England; [Comas-Bru, Laia] Univ Reading, Sch Archaeol Geog &amp; Environm Sci, Reading RG6 6DR, Berks, England; [Ghaleb, Bassam] McGill Univ, Ctr Rech Geochim &amp; Geodynam, GEOTOP, UQAM, 201 Ave President Kennedy 7e Etage,Local PK-7150, Montreal, PQ H2X 3Y7, Canada</t>
  </si>
  <si>
    <t>Universidad de Almeria; Universidad de Almeria; University of Cambridge; UK Research &amp; Innovation (UKRI); Natural Environment Research Council (NERC); NERC British Antarctic Survey; University of Reading; University of Quebec; University of Quebec Montreal; McGill University</t>
  </si>
  <si>
    <t>Gázquez, F (corresponding author), Univ Almeria, Dept Biol &amp; Geol, Water Resources &amp; Environm Geol Res Grp, Crta Sacramento S-N, Almeria 04120, Spain.;Gázquez, F (corresponding author), Univ Almeria, Andalusian Ctr Monitoring &amp; Assessment Global Cha, Crta Sacramento S-N, Almeria 04120, Spain.</t>
  </si>
  <si>
    <t>f.gazquez@ual.es</t>
  </si>
  <si>
    <t>ERC WIHM Project [339694]; Water Resources and Environmental Geology Research Group (University of Almeria); GLOCHARID Project of the Junta de Andalucia Regional Government; HIPATIA research program of the University of Almeria; Speleoclub Almeria (ECA); NERC [bas0100034] Funding Source: UKRI; European Research Council (ERC) [339694] Funding Source: European Research Council (ERC)</t>
  </si>
  <si>
    <t>ERC WIHM Project(European Research Council (ERC)); Water Resources and Environmental Geology Research Group (University of Almeria); GLOCHARID Project of the Junta de Andalucia Regional Government; HIPATIA research program of the University of Almeria; Speleoclub Almeria (ECA); NERC(UK Research &amp; Innovation (UKRI)Natural Environment Research Council (NERC)); European Research Council (ERC)(European Research Council (ERC)Spanish Government)</t>
  </si>
  <si>
    <t>This research was funded by the ERC WIHM Project (#339694) to DAH, the Water Resources and Environmental Geology Research Group (University of Almeria) and the GLOCHARID Project of the Junta de Andalucia Regional Government conducted by the CAESCG (Andalusian Global Change Centre). FG was financially supported by the HIPATIA research program of the University of Almeria. Surveys and sampling in the cave were supported by the Speleoclub Almeria (ECA).</t>
  </si>
  <si>
    <t>10.1038/s41598-020-71679-3</t>
  </si>
  <si>
    <t>NR8SS</t>
  </si>
  <si>
    <t>WOS:000571832300001</t>
  </si>
  <si>
    <t>Wallner, A; Feige, J; Fifield, LK; Froehlich, MB; Golser, R; Hotchkis, MAC; Koll, D; Leckenby, G; Martschini, M; Merchel, S; Panjkov, S; Pavetich, S; Rugel, G; Tims, SG</t>
  </si>
  <si>
    <t>Wallner, A.; Feige, J.; Fifield, L. K.; Froehlich, M. B.; Golser, R.; Hotchkis, M. A. C.; Koll, D.; Leckenby, G.; Martschini, M.; Merchel, S.; Panjkov, S.; Pavetich, S.; Rugel, G.; Tims, S. G.</t>
  </si>
  <si>
    <t>60Fe deposition during the late Pleistocene and the Holocene echoes past supernova activity</t>
  </si>
  <si>
    <t>Fe-60; supernova; ISM; accelerator mass spectrometry; deep-sea sediments</t>
  </si>
  <si>
    <t>LOCAL INTERSTELLAR-MEDIUM; PHYSICAL-PROPERTIES; PRODUCTION-RATES; DUST; ORIGIN; BUBBLE; MODEL; AMS; MICROMETEORITES; RADIONUCLIDES</t>
  </si>
  <si>
    <t>Nuclides synthesized in massive stars are ejected into space via stellar winds and supernova explosions. The solar system (SS) moves through the interstellar medium and collects these nudeosynthesis products. One such product is Fe-60, a radionuclide with a half-life of 2.6 My that is predominantly produced in massive stars and ejected in supernova explosions. Extraterrestrial Fe-60 has been found on Earth, suggesting close-by supernova explosions similar to 2 to 3 and similar to 6 Ma. Here, we report on the detection of a continuous interstellar Fe-60 influx on Earth over the past similar to 33,000 y. This time period coincides with passage of our SS through such interstellar clouds, which have a significantly larger particle density compared to the local average interstellar medium embedding our SS for the past few million years. The interstellar Fe-60 was extracted from five deep-sea sediment samples and accelerator mass spectrometry was used for single-atom counting. The low number of 19 detected atoms indicates a continued but low influx of interstellar Fe-60. The measured Fe-60 time profile over the 33 ky, obtained with a time resolution of about +/- 9 ky, does not seem to reflect any large changes in the interstellar particle density during Earth's passage through local interstellar clouds, which could be expected if the local cloud represented an isolated remnant of the most recent supernova ejecta that traversed the Earth similar to 2 to 3 Ma. The identified Fe-60 influx may signal a late echo of some million-year-old supernovae with the Fe-60-bearing dust particles still permeating the interstellar medium.</t>
  </si>
  <si>
    <t>[Wallner, A.; Fifield, L. K.; Froehlich, M. B.; Koll, D.; Leckenby, G.; Martschini, M.; Panjkov, S.; Pavetich, S.; Tims, S. G.] Australian Natl Univ, Dept Nucl Phys, Res Sch Phys, Canberra, ACT 2601, Australia; [Wallner, A.; Merchel, S.; Rugel, G.] Helmholtz Zentrum Dresden Rossendorf, Inst Ion Beam Phys &amp; Mat Res, D-01328 Dresden, Germany; [Feige, J.; Golser, R.; Martschini, M.] Univ Vienna, Isotope Phys, Fac Phys, Vienna Environm Res Accelerator Lab, A-1090 Vienna, Austria; [Feige, J.] Tech Univ Berlin, Zentrum Astron &amp; Astrophys, D-10623 Berlin, Germany; [Hotchkis, M. A. C.] Australian Nucl Sci &amp; Technol Org, Ctr Accelerator Sci, Lucas Heights, NSW 2234, Australia</t>
  </si>
  <si>
    <t>Australian National University; Helmholtz Association; Helmholtz-Zentrum Dresden-Rossendorf (HZDR); University of Vienna; Technical University of Berlin; Australian Nuclear Science &amp; Technology Organisation</t>
  </si>
  <si>
    <t>Wallner, A (corresponding author), Australian Natl Univ, Dept Nucl Phys, Res Sch Phys, Canberra, ACT 2601, Australia.;Wallner, A (corresponding author), Helmholtz Zentrum Dresden Rossendorf, Inst Ion Beam Phys &amp; Mat Res, D-01328 Dresden, Germany.</t>
  </si>
  <si>
    <t>anton.wallner@anu.edu.au</t>
  </si>
  <si>
    <t>Martschini, Martin/ABC-1253-2020; Golser, Robin/D-7908-2019; Wallner, Anton/G-1480-2011; Froehlich, Michaela/AAV-2272-2021; Tims, Stephen/P-6505-2015; Koll, Dominik/A-3380-2019</t>
  </si>
  <si>
    <t>Martschini, Martin/0000-0002-6661-0624; Golser, Robin/0000-0002-4934-6278; Wallner, Anton/0000-0003-2804-3670; Froehlich, Michaela/0000-0002-1938-8119; Tims, Stephen/0000-0001-6014-0126; Pavetich, Stefan/0000-0001-8014-0545; Feige, Jenny/0000-0002-3187-7898; Merchel, Silke/0000-0002-8755-3980; Hotchkis, Michael/0000-0003-2321-0222; Fifield, Leslie/0000-0003-2866-4944; Leckenby, Guy/0000-0001-5002-763X; Koll, Dominik/0000-0002-9338-3551</t>
  </si>
  <si>
    <t>Austrian Science Fund through the European Science Foundation Collaborative Research Project CoDustMas [AI00428]; Australian Research Council [DP140100136, DP180100495, DP180100496]; German Academic Exchange Service project [56266169]; Group of Eight Australia-Germany Joint Research Cooperation Scheme; University of Vienna; European Cooperation in Science and Technology ChETEC Action [CA16117]; Australian Government for the Heavy Ion Accelerator Facility at ANU through the National Collaborative Research Infrastructure Strategy</t>
  </si>
  <si>
    <t>Austrian Science Fund through the European Science Foundation Collaborative Research Project CoDustMas; Australian Research Council(Australian Research Council); German Academic Exchange Service project; Group of Eight Australia-Germany Joint Research Cooperation Scheme; University of Vienna; European Cooperation in Science and Technology ChETEC Action; Australian Government for the Heavy Ion Accelerator Facility at ANU through the National Collaborative Research Infrastructure Strategy</t>
  </si>
  <si>
    <t>We thank the Antarctic Marine Geology Research Facility, Florida State University (C. Sjunneskog) for providing the sediment cores. This work was funded by Austrian Science Fund project AI00428, through the European Science Foundation Collaborative Research Project CoDustMas; Australian Research Council projects DP140100136, DP180100495, and DP180100496; German Academic Exchange Service project 56266169; and The Group of Eight Australia-Germany Joint Research Cooperation Scheme. J.F. acknowledges a stipend from the University of Vienna and R.G. support from the European Cooperation in Science and Technology ChETEC Action (CA16117). We also acknowledge financial support from the Australian Government for the Heavy Ion Accelerator Facility at ANU through the National Collaborative Research Infrastructure Strategy. ICP-MS measurements were performed by S. Beutner (HZDR).</t>
  </si>
  <si>
    <t>SEP 8</t>
  </si>
  <si>
    <t>10.1073/pnas.1916769117</t>
  </si>
  <si>
    <t>NT5FU</t>
  </si>
  <si>
    <t>Bronze, Green Published</t>
  </si>
  <si>
    <t>WOS:000572967300012</t>
  </si>
  <si>
    <t>Klein, ES; Watters, GM</t>
  </si>
  <si>
    <t>Klein, Emily S.; Watters, George M.</t>
  </si>
  <si>
    <t>Comparing feedback and spatial approaches to advance ecosystem-based fisheries management in a changing Antarctic</t>
  </si>
  <si>
    <t>MARINE PROTECTED AREAS; CLIMATE-CHANGE; RESERVES; KRILL; CATCH; SIZE; IMPLEMENTATION; CONSEQUENCES; CONSERVATION; OPTIONS</t>
  </si>
  <si>
    <t>To implement ecosystem-based approaches to fisheries management, decision makers need insight on the potential costs and benefits of the policy options available to them. In the Southern Ocean, two such options for addressing trade-offs between krill-dependent predators and the krill fishery include feedback management (FBM) strategies and marine protected areas (MPAs); in theory, the first adjusts to change, while the latter is robust to change. We compared two possible FBM options to a proposed MPA in the Antarctic Peninsula and Scotia Sea given a changing climate. One of our feedback options, based on the density of Antarctic krill (Euphasia superba), projected modest increases in the abundances of some populations of krill predators, whereas outcomes from our second FBM option, based on changes in the abundances of penguins, were more mixed, with some areas projecting predator population declines. The MPA resulted in greater increases in some, but not all, predator populations than either feedback strategy. We conclude that these differing outcomes relate to the ways the options separate fishing and predator foraging, either by continually shifting the spatial distribution of fishing away from potentially vulnerable populations (FBM) or by permanently closing areas to fishing (the MPA). For the krill fishery, we show that total catches could be maintained using an FBM approach or slightly increased with the MPA, but the fishery would be forced to adjust fishing locations and sometimes fish in areas of relatively low krill density-both potentially significant costs. Our work demonstrates the potential to shift, rather than avoid, ecological risks and the likely costs of fishing, indicating trade-offs for decision makers to consider.</t>
  </si>
  <si>
    <t>[Klein, Emily S.; Watters, George M.] NOAA, Antarctic Ecosyst Res Div, Southwest Fisheries Sci Ctr, Natl Marine Fisheries Serv, La Jolla, CA 92037 USA; [Klein, Emily S.] Farallon Inst, Petaluma, CA 94952 USA; [Klein, Emily S.] Boston Univ, Frederick S Pardee Ctr Study Longer Range Future, Boston, MA 02215 USA</t>
  </si>
  <si>
    <t>National Oceanic Atmospheric Admin (NOAA) - USA; Boston University</t>
  </si>
  <si>
    <t>Klein, ES (corresponding author), NOAA, Antarctic Ecosyst Res Div, Southwest Fisheries Sci Ctr, Natl Marine Fisheries Serv, La Jolla, CA 92037 USA.;Klein, ES (corresponding author), Farallon Inst, Petaluma, CA 94952 USA.;Klein, ES (corresponding author), Boston Univ, Frederick S Pardee Ctr Study Longer Range Future, Boston, MA 02215 USA.</t>
  </si>
  <si>
    <t>emily.klein04@gamil.com</t>
  </si>
  <si>
    <t>Pew Charitable Trusts [31740]</t>
  </si>
  <si>
    <t>EK was supported by funding from the Pew Charitable Trusts, contract ID #31740. This funder had no role in study design, data collection and analysis, or preparation of the manuscript. Publication under peer review was a requirement of this funding source, but the funder did not take part in deciding where this manuscript would be submitted or any part of the submission process. There was no additional external funding received for this study.</t>
  </si>
  <si>
    <t>e0231954</t>
  </si>
  <si>
    <t>10.1371/journal.pone.0231954</t>
  </si>
  <si>
    <t>NQ6EE</t>
  </si>
  <si>
    <t>WOS:000570962500030</t>
  </si>
  <si>
    <t>Câmara, PEAS; Valente, DV; Sancho, LG</t>
  </si>
  <si>
    <t>Camara, Paulo E. A. S.; Valente, Daiane V.; Sancho, Leopoldo G.</t>
  </si>
  <si>
    <t>Changes in the moss (Bryophyta) flora in the vicinity of the Spanish Juan Carlos I Station (Livingston island, Antarctica) over three decades</t>
  </si>
  <si>
    <t>Antarctic flora; Climate change; Floristic change; Long-term floristic survey</t>
  </si>
  <si>
    <t>VEGETATION; RECORDS; BAY</t>
  </si>
  <si>
    <t>There are very few long-term studies on Antarctic vegetation available, and very little is known of plant community changes over time in the Antarctic Peninsula area, an area itself subject to considerable change in recent decades. The vegetation of the South Bay area near the Spanish Station Juan Carlos I on Livingston island (South Shetland Islands) was extensively surveyed in the 1980s, and this study reports comparison of that survey with a new extensive survey carried out in the 2018/19 austral summer. A total of 38 species was found in the survey, an overall decrease in diversity, with eight previously recorded species not relocated including all representatives of the families Encalyptaceae (two species) and Hypnaceae (two species). One previously unrecorded species was found. Descriptions and discussion of each taxon recorded are provided, along with consideration of the possible causes of the changes observed.</t>
  </si>
  <si>
    <t>[Camara, Paulo E. A. S.; Valente, Daiane V.] Univ Brasilia, Depto Bot, Federal Dist, Brazil; [Sancho, Leopoldo G.] Univ Complutense, Dpto Biol Vegetal IT, Fac Farm, Madrid 28040, Spain</t>
  </si>
  <si>
    <t>Universidade de Brasilia; Complutense University of Madrid</t>
  </si>
  <si>
    <t>Câmara, PEAS (corresponding author), Univ Brasilia, Depto Bot, Federal Dist, Brazil.</t>
  </si>
  <si>
    <t>pcamara@unb.br</t>
  </si>
  <si>
    <t>Camara, Paulo/GPP-2054-2022; SANCHO, LEOPOLDO/G-9120-2015</t>
  </si>
  <si>
    <t>Camara, Paulo/0000-0002-3944-996X; SANCHO, LEOPOLDO/0000-0002-4751-7475; Valente, Daiane/0000-0002-7817-1032</t>
  </si>
  <si>
    <t>MINECO/FEDER, UE [CTM2015-64728-C2-1-R]</t>
  </si>
  <si>
    <t>MINECO/FEDER, UE(Spanish Government)</t>
  </si>
  <si>
    <t>We thank the Brazilian Antarctic Program - PROANTAR, Brazilian Navy, Ministry of Science, Technology and Innovation (MCTIC) and National Advice for Scientific and Technological Development (CNPq) and Congresswoman Jo Moraes. We also thank the Spanish Polar Committee and all the staff at Juan Carlos I station, also Joan Riba, Miguel Ojeda and Antonio Quesada. Collecting permits were issued by the Brazilian Environmental Authority (MMA). We also thank Peter Convey and William Buck for useful comments on this paper as well as an anonymous reviewer, and Dr. Eduardo Amorim for helping prepare the map. LGS research was supported by the Grant CTM2015-64728-C2-1-R (MINECO/FEDER, UE).</t>
  </si>
  <si>
    <t>10.1007/s00300-020-02740-0</t>
  </si>
  <si>
    <t>WOS:000567636200001</t>
  </si>
  <si>
    <t>Blagoveshchensky, DV; Sergeeva, MA</t>
  </si>
  <si>
    <t>Blagoveshchensky, D. V.; Sergeeva, M. A.</t>
  </si>
  <si>
    <t>Substorm Manifestations at Radio Paths of Oblique Ionospheric Sounding in the Arctic</t>
  </si>
  <si>
    <t>PURE AND APPLIED GEOPHYSICS</t>
  </si>
  <si>
    <t>Geomagnetic substorm; ionosphere; oblique sounding; radio propagation; high-latitudes</t>
  </si>
  <si>
    <t>PROPAGATION; PRECURSORS; BEHAVIOR; REGION</t>
  </si>
  <si>
    <t>The impact of geomagnetic substorms on radio propagation within the high-frequency (HF) range was analyzed using oblique ionospheric sounding data. These data were obtained from the unique system of radio paths that covers the whole region of the Russian Arctic. The study focused on the effects of two substorms with a twofold difference in intensity. Variations of four radio propagation parameters were studied: the maximum and lowest observed frequencies of the F2 ionospheric layer (F2MOF and F2LOF), and the same frequencies of the sporadic Es layer (EsMOF and EsLOF). Even the weak geomagnetic substorm (AE(max) similar to 500 nT) significantly changed the ionosphere state and, consequently, the character of radio propagation at paths. The absorption of signals was more pronounced during a more intense substorm which resulted in loss of information during the transmissions through HF channels. The variations of propagation parameters (Delta MOF and Delta LOF) depend more on the path reflection point location and on the intensity of a substorm. Two substorms with a twofold difference in intensity had similar effects on Delta MOF, except for (a) the more pronounced smoothing of the Main Effect and (b) the higher Delta EsMOF amplitude during the intense substorm. Both issues are explained by more intense particle precipitations during the more intense disturbance.</t>
  </si>
  <si>
    <t>[Blagoveshchensky, D. V.] St Petersburg State Univ Aerosp Instrumentat, 67 Bolshaya Morskaya, St Petersburg 190000, Russia; [Sergeeva, M. A.] Univ Nacl Autonoma Mexico, Unidad Michoacan, SCiESMEX, Inst Geofis,LANCE, Antigua Carretera Patzcuaro 8701, Morelia 58089, Michoacan, Mexico; [Sergeeva, M. A.] Univ Nacl Autonoma Mexico, Unidad Michoacan, CONACYT, Inst Geofis, Antigua Carretera Patzcuaro 8701, Morelia 58089, Michoacan, Mexico</t>
  </si>
  <si>
    <t>Saint Petersburg State University of Aerospace Instrumentation; Universidad Nacional Autonoma de Mexico; Universidad Nacional Autonoma de Mexico</t>
  </si>
  <si>
    <t>Sergeeva, MA (corresponding author), Univ Nacl Autonoma Mexico, Unidad Michoacan, SCiESMEX, Inst Geofis,LANCE, Antigua Carretera Patzcuaro 8701, Morelia 58089, Michoacan, Mexico.;Sergeeva, MA (corresponding author), Univ Nacl Autonoma Mexico, Unidad Michoacan, CONACYT, Inst Geofis, Antigua Carretera Patzcuaro 8701, Morelia 58089, Michoacan, Mexico.</t>
  </si>
  <si>
    <t>maria.a.sergeeva@gmail.com</t>
  </si>
  <si>
    <t>Russian Foundation for Basic Research [18-05-00343]; CONACyT [LN-299022, PN 2015-173]; CONACyT-AEM [2017-01-292684]; Department of Geophysics of Arctic and Antarctic Research Institute, Russia [2017-01-292684]</t>
  </si>
  <si>
    <t>Russian Foundation for Basic Research(Russian Foundation for Basic Research (RFBR)Spanish Government); CONACyT(Consejo Nacional de Ciencia y Tecnologia (CONACyT)); CONACyT-AEM; Department of Geophysics of Arctic and Antarctic Research Institute, Russia</t>
  </si>
  <si>
    <t>This work was supported by Grant no. 18-05-00343 from the Russian Foundation for Basic Research. LANCE acknowledges partial support from CONACyT LN-299022, CONACyT PN 2015-173 and CONACyT-AEM Grant 2017-01-292684. The authors would like to thank the services of Sodankyla Geophysical Observatory, Finland, for providing data and the opportunity of using some data via the Internet (www.sgo.fi) and the Department of Geophysics of Arctic and Antarctic Research Institute, Russia (www.geophys.aari.ru) for the provided OIS ionosonde data as well as magnetometer and riometer data. The OMNI data (geomagnetic indices) were obtained from the GSFC/SPDF OMNIWeb interface at https://omniweb.gsfc.nasa.gov.</t>
  </si>
  <si>
    <t>SPRINGER BASEL AG</t>
  </si>
  <si>
    <t>PICASSOPLATZ 4, BASEL, 4052, SWITZERLAND</t>
  </si>
  <si>
    <t>0033-4553</t>
  </si>
  <si>
    <t>1420-9136</t>
  </si>
  <si>
    <t>PURE APPL GEOPHYS</t>
  </si>
  <si>
    <t>Pure Appl. Geophys.</t>
  </si>
  <si>
    <t>10.1007/s00024-020-02539-4</t>
  </si>
  <si>
    <t>OA8KH</t>
  </si>
  <si>
    <t>WOS:000567367800001</t>
  </si>
  <si>
    <t>Collins, GE; Hogg, ID; Convey, P; Sancho, LG; Cowan, DA; Lyons, WB; Adams, BJ; Wall, DH; Green, TGA</t>
  </si>
  <si>
    <t>Collins, Gemma E.; Hogg, Ian D.; Convey, Peter; Sancho, Leopoldo G.; Cowan, Don A.; Lyons, W. Berry; Adams, Byron J.; Wall, Diana H.; Green, T. G. Allan</t>
  </si>
  <si>
    <t>Genetic diversity of soil invertebrates corroborates timing estimates for past collapses of the West Antarctic Ice Sheet</t>
  </si>
  <si>
    <t>climate change; microarthropods; molecular clock; terrestrial biodiversity; phylogeography</t>
  </si>
  <si>
    <t>SEA-LEVEL; SPRINGTAILS COLLEMBOLA; POPULATION-GENETICS; TAYLOR VALLEY; PHYLOGEOGRAPHY; DISPERSAL; PENINSULA; CLOCK; ACARI</t>
  </si>
  <si>
    <t>During austral summer field seasons between 1999 and 2018, we sampled at 91 locations throughout southern Victoria Land and along the Transantarctic Mountains for six species of endemic microarthropods (Collembola), covering a latitudinal range from 76.0 degrees S to 87.3 degrees S. We assembled individual mitochondrial cytochrome c oxidase subunit 1 (C01) sequences (n = 866) and found high levels of sequence divergence at both small (&lt;10 km) and large (&gt;600 km) spatial scales for four of the six Collembola species. We applied molecular clock estimates and assessed genetic divergences relative to the timing of past glacial cycles, including collapses of the West Antarctic Ice Sheet (WAIS). We found that genetically distinct lineages within three species have likely been isolated for at least 5.54 My to 3.52 My, while the other three species diverged more recently (&lt;2 My). We suggest that Collembola had greater dispersal opportunities under past warmer climates, via flotation along coastal margins. Similarly increased opportunities for dispersal may occur under contemporary climate warming scenarios, which could influence the genetic structure of extant populations. As Collembola are a living record of past landscape evolution within Antarctica, these findings provide biological evidence to support geological and glaciological estimates of historical WAIS dynamics over the last ca. 5 My.</t>
  </si>
  <si>
    <t>[Collins, Gemma E.; Hogg, Ian D.; Green, T. G. Allan] Univ Waikato, Sch Sci, Hamilton 3240, New Zealand; [Hogg, Ian D.] Polar Knowledge Canada, Canadian High Arctic Res Stn, Cambridge Bay, NU X0B 0C0, Canada; [Convey, Peter] British Antarctic Survey, Nat Environm Res Council, Cambridge CB3 0ET, England; [Sancho, Leopoldo G.; Green, T. G. Allan] Univ Complutense Madrid, Fac Farm, Dept Biol Vegetal 2, E-28040 Madrid, Spain; [Cowan, Don A.] Univ Pretoria, Dept Biochem Genet &amp; Microbiol, ZA-0002 Pretoria, South Africa; [Lyons, W. Berry] Ohio State Univ, Byrd Polar &amp; Climate Res Ctr, Sch Earth Sci, Columbus, OH 43210 USA; [Adams, Byron J.] Brigham Young Univ, Dept Biol, Provo, UT 84602 USA; [Adams, Byron J.] Brigham Young Univ, Evolutionary Ecol Labs, Provo, UT 84602 USA; [Adams, Byron J.] Brigham Young Univ, Monte L Bean Museum, Provo, UT 84602 USA; [Wall, Diana H.] Colorado State Univ, Dept Biol, Ft Collins, CO 80523 USA; [Wall, Diana H.] Colorado State Univ, Sch Global Environm Sustainabil, Ft Collins, CO 80523 USA</t>
  </si>
  <si>
    <t>University of Waikato; UK Research &amp; Innovation (UKRI); Natural Environment Research Council (NERC); NERC British Antarctic Survey; Complutense University of Madrid; University of Pretoria; University System of Ohio; Ohio State University; Brigham Young University; Brigham Young University; Brigham Young University; Colorado State University; Colorado State University</t>
  </si>
  <si>
    <t>Hogg, ID (corresponding author), Univ Waikato, Sch Sci, Hamilton 3240, New Zealand.;Hogg, ID (corresponding author), Polar Knowledge Canada, Canadian High Arctic Res Stn, Cambridge Bay, NU X0B 0C0, Canada.;Wall, DH (corresponding author), Colorado State Univ, Dept Biol, Ft Collins, CO 80523 USA.;Wall, DH (corresponding author), Colorado State Univ, Sch Global Environm Sustainabil, Ft Collins, CO 80523 USA.</t>
  </si>
  <si>
    <t>ian.hogg@polar.gc.ca; Diana.Wall@colostate.edu</t>
  </si>
  <si>
    <t>Wall, Diana H/F-5491-2011; Cowan, Donald A/E-3991-2012; Hogg, Ian D./HNS-7393-2023; Convey, Peter/AAV-5728-2020; SANCHO, LEOPOLDO/G-9120-2015; Adams, Byron/C-3808-2009</t>
  </si>
  <si>
    <t>Cowan, Donald A/0000-0001-8059-861X; Hogg, Ian D./0000-0002-6685-0089; Convey, Peter/0000-0001-8497-9903; SANCHO, LEOPOLDO/0000-0002-4751-7475; Collins, Gemma/0000-0002-3626-7845; Adams, Byron/0000-0002-7815-3352</t>
  </si>
  <si>
    <t>University of Waikato; Polar Knowledge Canada; NSF [OPP-0840979, 1341736, 1637708]; Genome Canada; Ontario Genomics Institute via the Canadian Centre for DNA Barcoding; New Zealand Antarctic Research Institute; Natural Environment Research Council; International Barcode of Life Project; Office of Polar Programs (OPP); Directorate For Geosciences [1341736] Funding Source: National Science Foundation; NERC [bas0100036] Funding Source: UKRI</t>
  </si>
  <si>
    <t>University of Waikato; Polar Knowledge Canada; NSF(National Science Foundation (NSF)); Genome Canada(Genome Canada); Ontario Genomics Institute via the Canadian Centre for DNA Barcoding; New Zealand Antarctic Research Institute; Natural Environment Research Council(UK Research &amp; Innovation (UKRI)Natural Environment Research Council (NERC)); International Barcode of Life Project; Office of Polar Programs (OPP); Directorate For Geosciences(National Science Foundation (NSF)NSF - Directorate for Geosciences (GEO)); NERC(UK Research &amp; Innovation (UKRI)Natural Environment Research Council (NERC))</t>
  </si>
  <si>
    <t>We are grateful for the considerable logistical support provided by Antarctica New Zealand and the United States Antarctic Program over the duration of this study and to the New Zealand Antarctic Research Institute, the University of Waikato, and Polar Knowledge Canada for funding to I.D.H. Additional funding and support was provided by NSF Grants OPP-0840979, 1341736 and 1637708, and this study contributes to the McMurdo Dry Valleys Long Term Ecological Research program. Genome Canada and the Ontario Genomics Institute via the Canadian Centre for DNA Barcoding and the International Barcode of Life Project subsidized the DNA sequencing. P.C. is supported by Natural Environment Research Council core funding to the British Antarctic Survey Biodiversity, Evolution and Adaptation Team. We thank B. Storey, J. Watson, U. Nielsen, C. Beet, M. Knox, and M. Stevens for their input and/or assistance in the field, A, Fjellberg for confirming the identification of Gomphiocephalus hodgsoni from Beardmore Glacier, and A. McGaughran for advice on statistical analyses. The satellite imagery used to generate Fig. 1 was retrieved from GloVis, courtesy of the NASA Earth Observing System Data and Information System Land Processes Distributed Active Archive Center, US Geological Survey/Earth Resources Observation and Science Center, Sioux Falls, SD (https://lpdaac.usgs.gov/tools/usgs-earthexplorer/).Small portions of the text were adapted from the PhD thesis of G.E.C. This paper contributes to the State of the Antarctic Ecosystem and the Antarctic Thresholds, Ecosystems Resilience and Adaptation programs of Scientific Committee on Antarctic Research.</t>
  </si>
  <si>
    <t>10.1073/pnas.2007925117</t>
  </si>
  <si>
    <t>NR3PT</t>
  </si>
  <si>
    <t>WOS:000571476100013</t>
  </si>
  <si>
    <t>Vianna, JA; Fernandes, FAN; Frugone, MJ; Figueiró, HV; Pertierra, LR; Nolla, D; Bi, K; Wang-Claypool, CY; Lowther, A; Parker, P; Le Bohec, C; Bonadonna, F; Wienecke, B; Pistorius, P; Steinfurth, A; Burridge, CP; Dantas, GPM; Poulin, E; Simison, WB; Henderson, J; Eizirik, E; Nery, MF; Bowie, RCK</t>
  </si>
  <si>
    <t>Vianna, Juliana A.; Fernandes, Flavia A. N.; Jose Frugone, Maria; Figueiro, Henrique V.; Pertierra, Luis R.; Nolla, Daly; Bi, Ke; Wang-Claypool, Cynthia Y.; Lowther, Andrew; Parker, Patricia; Le Bohec, Celine; Bonadonna, Francesco; Wienecke, Barbara; Pistorius, Pierre; Steinfurth, Antje; Burridge, Christopher P.; Dantas, Gisele P. M.; Poulin, Elie; Simison, W. Brian; Henderson, Jim; Eizirik, Eduardo; Nery, Mariana F.; Bowie, Rauri C. K.</t>
  </si>
  <si>
    <t>Genome-wide analyses reveal drivers of penguin diversification</t>
  </si>
  <si>
    <t>penguin; Antarctica; genome; ancestral niche; ancestral distribution</t>
  </si>
  <si>
    <t>FORAGING BEHAVIOR; EXTANT PENGUINS; HISTORY; MITOCHONDRIAL; PERFORMANCE; ANTARCTICA; PHYSIOLOGY; PATTERNS; PACKAGE; BIRDS</t>
  </si>
  <si>
    <t>Penguins are the only extant family of flightless diving birds. They currently comprise at least 18 species, distributed from polar to tropical environments in the Southern Hemisphere. The history of their diversification and adaptation to these diverse environments remains controversial. We used 22 new genomes from 18 penguin species to reconstruct the order, timing, and location of their diversification, to track changes in their thermal niches through time, and to test for associated adaptation across the genome. Our results indicate that the penguin crown-group originated during the Miocene in New Zealand and Australia, not in Antarctica as previously thought, and that Aptenodytes is the sister group to all other extant penguin species. We show that lineage diversification in penguins was largely driven by changing climatic conditions and by the opening of the Drake Passage and associated intensification of the Antarctic Circumpolar Current (ACC). Penguin species have introgressed throughout much of their evolutionary history, following the direction of the ACC, which might have promoted dispersal and admixture. Changes in thermal niches were accompanied by adaptations in genes that govern thermoregulation and oxygen metabolism. Estimates of ancestral effective population sizes (N-e) confirm that penguins are sensitive to climate shifts, as represented by three different demographic trajectories in deeper time, the most common (in 11 of 18 penguin species) being an increased N-e between 40 and 70 kya, followed by a precipitous decline during the Last Glacial Maximum. The latter effect is most likely a consequence of the overall decline in marine productivity following the last glaciation.</t>
  </si>
  <si>
    <t>[Vianna, Juliana A.; Nolla, Daly] Pontificia Univ Catolica Chile, Dept Ecosistemas &amp; Medio Ambiente, Fac Agron &amp; Ingn Forestal, Santiago 7820436, Chile; [Fernandes, Flavia A. N.; Nery, Mariana F.] Univ Estadual Campinas, Dept Genet Evolucao Microbiol &amp; Imunol, BR-13083970 Sao Paulo, Brazil; [Jose Frugone, Maria; Nolla, Daly; Poulin, Elie] Univ Chile, Inst Ecol &amp; Biodiversidad, Dept Ciencias Ecol, Fac Ciencias, Santiago 7800003, Chile; [Figueiro, Henrique V.; Eizirik, Eduardo] Pontificia Univ Catolica Rio Grande do Sul, Escola Ciencias Saude &amp; Vida, BR-90619900 Porto Alegre, RS, Brazil; [Figueiro, Henrique V.] Smithsonian Conservat Biol Inst, Ctr Species Survival, Natl Zool Pk, Front Royal, VA 22630 USA; [Pertierra, Luis R.] CSIC, Museo Nacl Ciencias Nat, Dept Ecol Evolut, Madrid 28006, Spain; [Bi, Ke; Wang-Claypool, Cynthia Y.; Bowie, Rauri C. K.] Univ Calif Berkeley, Museum Vertebrate Zool, Berkeley, CA 94720 USA; [Bi, Ke; Wang-Claypool, Cynthia Y.; Bowie, Rauri C. K.] Univ Calif Berkeley, Dept Integrat Biol, Berkeley, CA 94720 USA; [Lowther, Andrew] Norwegian Polar Res Inst, N-9297 Tromso, Norway; [Parker, Patricia] Univ Missouri, St Louis, MO 63121 USA; [Parker, Patricia] St Louis Zoo, St Louis, MO 63121 USA; [Le Bohec, Celine] Univ Strasbourg, CNRS, Inst Pluridisciplinaire Hubert, CURIEN,UMR 7178, F-67000 Strasbourg, France; [Le Bohec, Celine] Ctr Sci Monaco, Dept Biol Polaire, MC-98000 Monaco, Monaco; [Bonadonna, Francesco] Univ Paul Valery Montpellier, Ecole Prat Hautes Etud, Ctr Ecol Fonct &amp; Evolut, UMR 5175,CNRS,Univ Montpellier, F-34293 Montpellier 5, France; [Wienecke, Barbara] Australian Antarctic Div, Kingston, Tas 7050, Australia; [Pistorius, Pierre] Nelson Mandela Univ, Dept Sci &amp; Technol, Natl Res Fdn Ctr Excellence, Percy FitzPatrick Inst African Ornithol,Dept Zool, ZA-6031 Port Elizabeth, South Africa; [Steinfurth, Antje] Royal Soc Protect Birds, RSPB Ctr Conservat Sci, Cambridge CB2 3QZ, England; [Burridge, Christopher P.] Univ Tasmania, Discipline Biol Sci, Hobart, Tas 7001, Australia; [Dantas, Gisele P. M.] Pontificia Univ Catolica Minas Gerais, Grad Program Vertebrate Zool, BR-30535610 Belo Horizonte, MG, Brazil; [Simison, W. Brian; Henderson, Jim] Calif Acad Sci, Ctr Comparat Genom, San Francisco, CA 94118 USA</t>
  </si>
  <si>
    <t>Pontificia Universidad Catolica de Chile; Universidade Estadual de Campinas; Universidad de Chile; Pontificia Universidade Catolica Do Rio Grande Do Sul; Smithsonian Institution; Smithsonian National Zoological Park &amp; Conservation Biology Institute; Consejo Superior de Investigaciones Cientificas (CSIC); CSIC - Museo Nacional de Ciencias Naturales (MNCN); University of California System; University of California Berkeley; University of California System; University of California Berkeley; Norwegian Polar Institute; University of Missouri System; University of Missouri Saint Louis; Universites de Strasbourg Etablissements Associes; Universite de Strasbourg; Centre National de la Recherche Scientifique (CNRS); CNRS - National Institute of Nuclear and Particle Physics (IN2P3); Universite PSL; Ecole Pratique des Hautes Etudes (EPHE); Institut Agro; Montpellier SupAgro; CIRAD; Centre National de la Recherche Scientifique (CNRS); Institut de Recherche pour le Developpement (IRD); Universite Paul-Valery; Universite de Montpellier; Australian Antarctic Division; Nelson Mandela University; National Research Foundation - South Africa; Royal Society for Protection of Birds; University of Tasmania; Pontificia Universidade Catolica de Minas Gerais; California Academy of Sciences</t>
  </si>
  <si>
    <t>Vianna, JA (corresponding author), Pontificia Univ Catolica Chile, Dept Ecosistemas &amp; Medio Ambiente, Fac Agron &amp; Ingn Forestal, Santiago 7820436, Chile.;Bowie, RCK (corresponding author), Univ Calif Berkeley, Museum Vertebrate Zool, Berkeley, CA 94720 USA.;Bowie, RCK (corresponding author), Univ Calif Berkeley, Dept Integrat Biol, Berkeley, CA 94720 USA.</t>
  </si>
  <si>
    <t>jvianna@uc.cl; bowie@berkeley.edu</t>
  </si>
  <si>
    <t>Burridge, Chris/L-4392-2019; LE BOHEC, CELINE/AAD-3589-2022; Bowie, Rauri/H-9165-2019; Dantas, Gisele PM/T-6782-2019; Eizirik, Eduardo/K-8034-2012; Pertierra, Luis R./K-3727-2017; Frugone, María José/AAH-2930-2019; bi, ke/KBB-4145-2024; Poulin, Elie/C-2654-2012; Vianna, Juliana/E-9847-2015; Burridge, Christopher/J-2653-2012</t>
  </si>
  <si>
    <t>Bowie, Rauri/0000-0001-8328-6021; Dantas, Gisele PM/0000-0001-5282-7577; Eizirik, Eduardo/0000-0002-9658-0999; Pertierra, Luis R./0000-0002-2232-428X; Frugone, María José/0000-0002-8302-0386; Poulin, Elie/0000-0001-7736-0969; Lowther, Andrew/0000-0003-4294-3157; Noll, Daly/0000-0003-3733-8817; Vianna, Juliana/0000-0003-2330-7825; Nitta Fernandes, Flavia Akemi/0000-0001-7897-6976; Burridge, Christopher/0000-0002-8185-6091; Vieira Figueiro, Henrique/0000-0002-8368-7156; LE BOHEC, Celine/0000-0003-0149-6477; Nery, Mariana/0000-0001-6501-0486</t>
  </si>
  <si>
    <t>Instituto Antartico Chileno [INACH RT_12-14]; Fondecyt Project [1150517]; Genomics Antarctic Biodiversity/Programa de Investigacion Asociativa/Comision Nacional de Investigacion Cientifica y Tecnologica (GAB PIA CONICYT) [ACT172065]; NSF [DEB-1441652]; French Polar Institute Paul-Emile Victor (IPEV) [137, 354]; California Academy of Sciences; Conselho Nacional de Desenvolvimento Cientifico e Tecnologico (CNPq) Brazil; Instituto Nacional de Ciencia e Tecnologia Ecologia, Evolucao e Conservacao da Biodiversidade (INCT-EECBio) Brazil</t>
  </si>
  <si>
    <t>Instituto Antartico Chileno; Fondecyt Project(Comision Nacional de Investigacion Cientifica y Tecnologica (CONICYT)CONICYT FONDECYT); Genomics Antarctic Biodiversity/Programa de Investigacion Asociativa/Comision Nacional de Investigacion Cientifica y Tecnologica (GAB PIA CONICYT); NSF(National Science Foundation (NSF)); French Polar Institute Paul-Emile Victor (IPEV); California Academy of Sciences; Conselho Nacional de Desenvolvimento Cientifico e Tecnologico (CNPq) Brazil(Conselho Nacional de Desenvolvimento Cientifico e Tecnologico (CNPQ)); Instituto Nacional de Ciencia e Tecnologia Ecologia, Evolucao e Conservacao da Biodiversidade (INCT-EECBio) Brazil</t>
  </si>
  <si>
    <t>We thank Andrea Polanowski, Claudia Godoy, and Klemens Putz for assistance with sample acquisition; Claudio Gonzalez-Weber, Luiz Rocha, and Barbara Ustanko for suggestions; and Juan Pablo Bravo for help with illustration design. Financial support for this work was provided by Instituto Antartico Chileno (INACH RT_12-14), Fondecyt Project 1150517, Genomics Antarctic Biodiversity/Programa de Investigacion Asociativa/Comision Nacional de Investigacion Cientifica y Tecnologica (GAB PIA CONICYT ACT172065), NSF DEB-1441652, French Polar Institute Paul-Emile Victor (IPEV; Progs. 137 and 354), a Lakeside grant from the California Academy of Sciences, and Conselho Nacional de Desenvolvimento Cientifico e Tecnologico (CNPq) Brazil and Instituto Nacional de Ciencia e Tecnologia Ecologia, Evolucao e Conservacao da Biodiversidade (INCT-EECBio) Brazil.</t>
  </si>
  <si>
    <t>10.1073/pnas.2006659117</t>
  </si>
  <si>
    <t>NT5GH</t>
  </si>
  <si>
    <t>WOS:000572968600001</t>
  </si>
  <si>
    <t>McEnnulty, FR; Davies, CH; Armstrong, AO; Atkins, N; Coman, F; Clementson, L; Edgar, S; Eriksen, RS; Everett, JD; Koslow, JA; Lonborg, C; McKinnon, AD; Miller, M; O'Brien, TD; Pausina, SA; Uribe-Palomino, J; Rochester, W; Rothlisberg, PC; Slotwinski, A; Strzelecki, J; Suthers, IM; Swadling, KM; Tonks, ML; van Ruth, PD; Young, JW; Richardson, AJ</t>
  </si>
  <si>
    <t>McEnnulty, Felicity R.; Davies, Claire H.; Armstrong, Asia O.; Atkins, Natalia; Coman, Frank; Clementson, Lesley; Edgar, Steven; Eriksen, Ruth S.; Everett, Jason D.; Anthony Koslow, J.; Lonborg, Christian; McKinnon, A. David; Miller, Margaret; O'Brien, Todd D.; Pausina, Sarah A.; Uribe-Palomino, Julian; Rochester, Wayne; Rothlisberg, Peter C.; Slotwinski, Anita; Strzelecki, Joanna; Suthers, Iain M.; Swadling, Kerrie M.; Tonks, Mark L.; van Ruth, Paul D.; Young, Jock W.; Richardson, Anthony J.</t>
  </si>
  <si>
    <t>A database of zooplankton biomass in Australian marine waters</t>
  </si>
  <si>
    <t>SCIENTIFIC DATA</t>
  </si>
  <si>
    <t>OPTICAL PLANKTON COUNTER; GREAT-BARRIER-REEF; DRY-WEIGHT; DISPLACEMENT VOLUME; COMMUNITY STRUCTURE; WET WEIGHT; ABUNDANCE; NET; CARPENTARIA; DYNAMICS</t>
  </si>
  <si>
    <t>Zooplankton biomass data have been collected in Australian waters since the 1930s, yet most datasets have been unavailable to the research community. We have searched archives, scanned the primary and grey literature, and contacted researchers, to collate 49187 records of marine zooplankton biomass from waters around Australia (0-60 degrees S, 110-160 degrees E). Many of these datasets are relatively small, but when combined, they provide &gt;85 years of zooplankton biomass data for Australian waters from 1932 to the present. Data have been standardised and all available metadata included. We have lodged this dataset with the Australian Ocean Data Network, allowing full public access. The Australian Zooplankton Biomass Database will be valuable for global change studies, research assessing trophic linkages, and for initialising and assessing biogeochemical and ecosystem models of lower trophic levels.</t>
  </si>
  <si>
    <t>[McEnnulty, Felicity R.; Davies, Claire H.; Clementson, Lesley; Eriksen, Ruth S.; Young, Jock W.] CSIRO Oceans &amp; Atmosphere, GPO Box 1538, Hobart, Tas 7001, Australia; [Coman, Frank; Edgar, Steven; Everett, Jason D.; Miller, Margaret; Pausina, Sarah A.; Uribe-Palomino, Julian; Rochester, Wayne; Rothlisberg, Peter C.; Slotwinski, Anita; Tonks, Mark L.; Richardson, Anthony J.] CSIRO Oceans &amp; Atmosphere, Queensland Biosci Precinct, St Lucia, Qld 4067, Australia; [Strzelecki, Joanna] CSIRO Oceans &amp; Atmosphere, Indian Ocean Marine Res Ctr UWA, M097 35 Stirling Highway, Crawley, WA 6009, Australia; [Pausina, Sarah A.] Univ Queensland, Sch Biol Sci, St Lucia, Qld 4072, Australia; [Swadling, Kerrie M.] Univ Tasmania, Inst Marine &amp; Antarctic Studies, Private Bag 129, Hobart, Tas 7001, Australia; [Lonborg, Christian; McKinnon, A. David] Australian Inst Marine Sci, Townsville, Qld 4810, Australia; [Everett, Jason D.; Richardson, Anthony J.] Univ Queensland, Sch Math &amp; Phys, Ctr Applicat Nat Resource Math, St Lucia, Qld 4072, Australia; [Everett, Jason D.; Suthers, Iain M.] Univ NSW, Sch Biol Earth &amp; Environm Sci, Sydney, NSW 2052, Australia; [Suthers, Iain M.] Sydney Inst Marine Sci, 19 Chowder Bay Rd, Mosman, NSW 2088, Australia; [van Ruth, Paul D.] South Australian Res &amp; Dev Inst Aquat Sci, West Beach, SA 5024, Australia; [O'Brien, Todd D.] NOAA Fisheries, COPEPOD, Silver Spring, MD USA; [Atkins, Natalia] Univ Tasmania, Australian Ocean Data Network, Integrated Marine Observing Syst, Private Bag 110, Hobart, Tas 7001, Australia; [Armstrong, Asia O.] Univ Queensland, Sch Biomed Sci, Project Manta, St Lucia, Qld 4072, Australia; [Lonborg, Christian] Univ Calif San Diego, Scripps Inst Oceanog, La Jolla, CA 92093 USA; [Lonborg, Christian] Aahus Univ, Dept Biosci, Sect Appl Marine Ecol &amp; Modelling, DK-4000 Roskilde, Denmark</t>
  </si>
  <si>
    <t>Commonwealth Scientific &amp; Industrial Research Organisation (CSIRO); Commonwealth Scientific &amp; Industrial Research Organisation (CSIRO); Commonwealth Scientific &amp; Industrial Research Organisation (CSIRO); University of Western Australia; University of Queensland; University of Tasmania; Australian Institute of Marine Science; University of Queensland; University of New South Wales Sydney; Sydney Institute of Marine Science; National Oceanic Atmospheric Admin (NOAA) - USA; University of Tasmania; University of Queensland; University of California System; University of California San Diego; Scripps Institution of Oceanography</t>
  </si>
  <si>
    <t>McEnnulty, FR (corresponding author), CSIRO Oceans &amp; Atmosphere, GPO Box 1538, Hobart, Tas 7001, Australia.</t>
  </si>
  <si>
    <t>felicity.mcennulty@csiro.au</t>
  </si>
  <si>
    <t>Lønborg, Christian/M-4456-2013; Miller, Margaret J/D-2201-2011; Richardson, Anthony J/B-3649-2010; Davies, Claire H/G-6888-2013; Pausina, Sarah/E-5522-2018; Eriksen, Ruth/J-7760-2014; Rothlisberg, Peter/A-1491-2012; Everett, Jason/C-4557-2008; Suthers, Iain/C-4559-2008; Rochester, Wayne/K-1569-2018</t>
  </si>
  <si>
    <t>Lønborg, Christian/0000-0001-8380-0238; Miller, Margaret J/0000-0001-7798-7868; Richardson, Anthony J/0000-0002-9289-7366; Davies, Claire H/0000-0002-0424-1835; Uribe-Palomino, Julian/0000-0002-6867-2108; Eriksen, Ruth/0000-0002-5184-2465; Coman, Frank/0000-0001-6743-5154; McEnnulty, Felicity/0000-0002-3819-044X; Swadling, Kerrie/0000-0002-7620-841X; Clementson, Lesley/0000-0003-4415-993X; Armstrong, Asia/0000-0002-9307-0598; Rothlisberg, Peter/0000-0001-5632-5996; van Ruth, Paul/0000-0002-8436-579X; Everett, Jason/0000-0002-6681-8054; Suthers, Iain/0000-0002-9340-7461; Edgar, Steven/0000-0002-0277-7265; Atkins, Natalia/0000-0002-3468-5525; Rochester, Wayne/0000-0002-7315-9341</t>
  </si>
  <si>
    <t>Australian Government [591, LPO883663]</t>
  </si>
  <si>
    <t>We acknowledge the contributions from all collaborators and their institutions. We are also grateful to the retired researchers who lodged comprehensive data sets with their research institution data repositories, which enabled inclusion in this database: David Tranter (CSIRO) and Miles Furnas (AIMS). If data from multiple projects are used, please acknowledge this publication, but if data from individual projects are used, please acknowledge use of data as per the custodian information. The relevant acknowledgement data is available from the metadata files attached to the data. We would also encourage the data user to enter into collaboration with the researchers involved in the data they use -understanding the history of a project will add value to your research. If using data from P_599 the IMOS National Reference Stations or P_597 the Australian Continuous Plankton Recorder, please use the following acknowledgement: Data sourced from the Integrated Marine Observing System (IMOS) -IMOS is a national collaborative research infrastructure, supported by the Australian Government. Similarly, for Project 591 Data for this project was collected with support from Healthy Waterways, Queensland ARC LPO883663. For P_1109, please acknowledge COPEPOD: the global plankton database (2018) available at http://www.st.nmfs.noaa.gov/copepod/.</t>
  </si>
  <si>
    <t>2052-4463</t>
  </si>
  <si>
    <t>SCI DATA</t>
  </si>
  <si>
    <t>Sci. Data</t>
  </si>
  <si>
    <t>10.1038/s41597-020-00625-9</t>
  </si>
  <si>
    <t>NR8LW</t>
  </si>
  <si>
    <t>WOS:000571812600010</t>
  </si>
  <si>
    <t>Zhang, ZH; Qu, CF; Zhang, KJ; He, YY; Zhao, X; Yang, LX; Zheng, Z; Ma, XY; Wang, XX; Wang, WY; Wang, K; Li, D; Zhang, LP; Zhang, X; Su, DY; Chang, X; Zhou, MY; Gao, D; Jiang, WK; Leliaert, F; Bhattacharya, D; De Clerck, O; Zhong, BJ; Miao, JL</t>
  </si>
  <si>
    <t>Zhang, Zhenhua; Qu, Changfeng; Zhang, Kaijian; He, Yingying; Zhao, Xing; Yang, Lingxiao; Zheng, Zhou; Ma, Xiaoya; Wang, Xixi; Wang, Wenyu; Wang, Kai; Li, Dan; Zhang, Liping; Zhang, Xin; Su, Danyan; Chang, Xin; Zhou, Mengyan; Gao, Dan; Jiang, Wenkai; Leliaert, Frederik; Bhattacharya, Debashish; De Clerck, Olivier; Zhong, Bojian; Miao, Jinlai</t>
  </si>
  <si>
    <t>Adaptation to Extreme Antarctic Environments Revealed by the Genome of a Sea Ice Green Alga</t>
  </si>
  <si>
    <t>CURRENT BIOLOGY</t>
  </si>
  <si>
    <t>MULTIPLE SEQUENCE ALIGNMENT; TRANSPOSABLE ELEMENTS; BINDING PROTEINS; EXPRESSED GENES; READ ALIGNMENT; EVOLUTION; PREDICTION; TOOL; CLASSIFICATION; ANNOTATION</t>
  </si>
  <si>
    <t>The unicellular green alga Chlamydomonas sp. ICE-L thrives in polar sea ice, where it tolerates extreme low temperatures, high salinity, and broad seasonal fluctuations in light conditions. Despite the high interest in biotechnological uses of this species, little is known about the adaptations that allow it to thrive in this harsh and complex environment. Here, we assembled a high-quality genome sequence of similar to 542 Mb and found that retrotransposon proliferation contributed to the relatively large genome size of ICE-L when compared to other chlorophytes. Genomic features that may support the extremophilic lifestyle of this sea ice alga include massively expanded gene families involved in unsaturated fatty acid biosynthesis, DNA repair, photoprotection, ionic homeostasis, osmotic homeostasis, and reactive oxygen species detoxification. The acquisition of multiple ice binding proteins through putative horizontal gene transfer likely contributed to the origin of the psychrophilic lifestyle in ICE-L. Additional innovations include the significant upregulation under abiotic stress of several expanded ICE-L gene families, likely reflecting adaptive changes among diverse metabolic processes. Our analyses of the genome, transcriptome, and functional assays advance general understanding of the Antarctic green algae and offer potential explanations for how green plants adapt to extreme environments.</t>
  </si>
  <si>
    <t>[Zhang, Zhenhua; Yang, Lingxiao; Ma, Xiaoya; Su, Danyan; Chang, Xin; Zhong, Bojian] Nanjing Normal Univ, Coll Life Sci, Nanjing 210023, Peoples R China; [Qu, Changfeng; He, Yingying; Zheng, Zhou; Wang, Xixi; Wang, Wenyu; Wang, Kai; Li, Dan; Zhang, Liping; Zhang, Xin; Miao, Jinlai] Minist Nat Resources, Inst Oceanog 1, Qingdao 266061, Peoples R China; [Qu, Changfeng; Zheng, Zhou; Miao, Jinlai] Qingdao Natl Lab Marine Sci &amp; Technol, Lab Marine Drugs &amp; Bioprod, Qingdao 266237, Peoples R China; [Zhang, Kaijian; Zhao, Xing; Zhou, Mengyan; Gao, Dan; Jiang, Wenkai] Novogene Bioinformat Inst, Beijing 100083, Peoples R China; [Leliaert, Frederik; De Clerck, Olivier] Univ Ghent, Biol Dept, B-9000 Ghent, Belgium; [Leliaert, Frederik] Meise Bot Garden, Nieuwelaan 38, B-1860 Meise, Belgium; [Bhattacharya, Debashish] Rutgers State Univ, Dept Biochem &amp; Microbiol, New Brunswick, NJ 08901 USA</t>
  </si>
  <si>
    <t>Nanjing Normal University; Ministry of Natural Resources of the People's Republic of China; First Institute of Oceanography, Ministry of Natural Resources; Laoshan Laboratory; Ghent University; Rutgers University System; Rutgers University New Brunswick</t>
  </si>
  <si>
    <t>Zhong, BJ (corresponding author), Nanjing Normal Univ, Coll Life Sci, Nanjing 210023, Peoples R China.;Miao, JL (corresponding author), Minist Nat Resources, Inst Oceanog 1, Qingdao 266061, Peoples R China.;Miao, JL (corresponding author), Qingdao Natl Lab Marine Sci &amp; Technol, Lab Marine Drugs &amp; Bioprod, Qingdao 266237, Peoples R China.</t>
  </si>
  <si>
    <t>bjzhong@gmail.com; miaojinlai@fio.org.cn</t>
  </si>
  <si>
    <t>Zhong, Bojian/AAH-1236-2020; jiang, wenkai/JDC-9128-2023; He, Ying Ying/HZL-0137-2023; De Clerck, Olivier/AAU-4295-2020; Leliaert, Frederik/A-9162-2009; Zhang, Zhenhua/ITT-3269-2023; Zheng, Zhou/JJD-0602-2023</t>
  </si>
  <si>
    <t>Zhong, Bojian/0000-0002-6496-7646; He, Ying Ying/0000-0002-8759-3157; Leliaert, Frederik/0000-0002-4627-7318; Zhang, Zhenhua/0000-0001-8650-8881; Zhang, Kaijian/0000-0002-6363-8728</t>
  </si>
  <si>
    <t>National Key Research and Development Program of China [2018YFD0900705, 2018YFD0901103]; National Natural Science Foundation of China [31970229, 31570219, 41576187]; Six Talent Peaks Project of Jiangsu Province [2016-XNY-035]; China Ocean Mineral Resources RD Association [DY135-B2-14]; Jiangsu Province Key Project for Scientific Research [16KJA180002]; Young Elite Scientists Sponsorship Program of Jiangsu Province; Basic Scientific Fund for National Public Research Institutes of China [2020Q02]; Natural Science Foundation of Shandong [ZR2019BD023]; Priority Academic Program Development of Jiangsu Higher Education Institutions (PAPD); National Aeronautics and Space Administration (NASA) [80NSSC19K0462]; NIFA-USDA Hatch grant [NJ01170]</t>
  </si>
  <si>
    <t>National Key Research and Development Program of China; National Natural Science Foundation of China(National Natural Science Foundation of China (NSFC)); Six Talent Peaks Project of Jiangsu Province; China Ocean Mineral Resources RD Association; Jiangsu Province Key Project for Scientific Research; Young Elite Scientists Sponsorship Program of Jiangsu Province; Basic Scientific Fund for National Public Research Institutes of China; Natural Science Foundation of Shandong(Natural Science Foundation of Shandong Province); Priority Academic Program Development of Jiangsu Higher Education Institutions (PAPD); National Aeronautics and Space Administration (NASA)(National Aeronautics &amp; Space Administration (NASA)); NIFA-USDA Hatch grant</t>
  </si>
  <si>
    <t>This study is supported by the National Key Research and Development Program of China (no. 2018YFD0900705), the National Natural Science Foundation of China (nos. 31970229, 31570219, and 41576187), Six Talent Peaks Project of Jiangsu Province (2016-XNY-035), the National Key Research and Development Program of China (no. 2018YFD0901103), the China Ocean Mineral Resources R&amp;D Association (no. DY135-B2-14), the Jiangsu Province Key Project for Scientific Research (no. 16KJA180002), the Young Elite Scientists Sponsorship Program of Jiangsu Province, the Basic Scientific Fund for National Public Research Institutes of China (no. 2020Q02), the Natural Science Foundation of Shandong (no. ZR2019BD023), the Priority Academic Program Development of Jiangsu Higher Education Institutions (PAPD), the National Aeronautics and Space Administration (NASA) (no. 80NSSC19K0462), and a NIFA-USDA Hatch grant (no. NJ01170).</t>
  </si>
  <si>
    <t>0960-9822</t>
  </si>
  <si>
    <t>1879-0445</t>
  </si>
  <si>
    <t>CURR BIOL</t>
  </si>
  <si>
    <t>Curr. Biol.</t>
  </si>
  <si>
    <t>SEP 7</t>
  </si>
  <si>
    <t>10.1016/j.cub.2020.06.029</t>
  </si>
  <si>
    <t>Biochemistry &amp; Molecular Biology; Biology; Cell Biology</t>
  </si>
  <si>
    <t>Biochemistry &amp; Molecular Biology; Life Sciences &amp; Biomedicine - Other Topics; Cell Biology</t>
  </si>
  <si>
    <t>OA7AA</t>
  </si>
  <si>
    <t>WOS:000577931900005</t>
  </si>
  <si>
    <t>Huang, HZ; Ding, LL; Lu, J; Wang, NF; Cai, MH</t>
  </si>
  <si>
    <t>Huang, Hezhou; Ding, Lulu; Lu, Jian; Wang, Nengfei; Cai, Menghao</t>
  </si>
  <si>
    <t>Combinatorial strategies for production improvement of red pigments from Antarctic fungusGeomycessp.</t>
  </si>
  <si>
    <t>Antarctic fungus; ARTP; fermentation optimization; Geomycessp; medium development; natural red pigments</t>
  </si>
  <si>
    <t>TEMPERATURE PLASMA ARTP; MONASCUS PIGMENTS; BIOSYNTHESIS; PH; OPTIMIZATION; CITRININ; KINASE; ACID</t>
  </si>
  <si>
    <t>Natural red pigments have been widely used as food and cosmetics additives. However, due to toxic byproducts or allergen issues, it is still necessary to look for some other red pigment products. This study proposed combinatorial strategies to improve production of a new kind of red pigments from the fungusGeomycesWNF-15A, isolated from Antarctica. A high-production medium was developed by statistical experimental design, which was further simplified for industrial use by single-factor experiments. Strain breeding by atmospheric room temperature plasma mutagenesis generated a mutant,Geomycessp. WNF-15A-M210, which increased production of red pigments by 24.4% and shortened culture phase by 33.3% comparing with the wild-type. The production of red pigments by this mutant favored a weak alkaline condition but required only mild dissolved oxygen tension. Control of initial pH 8.5 (process pH around 7.5) increased red pigments production by 19% comparing with natural condition. Precursor and inhibitor addition experiments indicated that the red pigments were synthesized by polyketide pathway, and feeding 6 mmol/L precursor of sodium acetate by three aliquots at days 3 to 5 improved biosynthesis of red pigments by 27%. Finally, the developed culture process was verified in a 5-L stirred tank bioreactor. The red pigments production of the pH regulation group reached 1.11-fold of the control and 1.95-fold of the precursor regulation group, respectively. This study provides high-production strain, optimized medium, and bioprocess for the possible industrial production of AntarcticGeomycesred pigments in future. Practical Application AntarcticGeomycesred pigments showed high color value, nontoxic characteristic, and good water solubility. It holds potential for industrial use and is under development for food additive in China currently. This study provides an optional manufacturing process for this new kind of red pigments.</t>
  </si>
  <si>
    <t>[Huang, Hezhou; Ding, Lulu; Lu, Jian; Cai, Menghao] East China Univ Sci &amp; Technol, State Key Lab Bioreactor Engn, Shanghai, Peoples R China; [Wang, Nengfei] Minist Nat Resources, Inst Oceanog 1, Qingdao, Peoples R China; [Cai, Menghao] Shanghai Collaborat Innovat Ctr Biomfg, Shanghai, Peoples R China</t>
  </si>
  <si>
    <t>East China University of Science &amp; Technology; Ministry of Natural Resources of the People's Republic of China; First Institute of Oceanography, Ministry of Natural Resources</t>
  </si>
  <si>
    <t>Cai, MH (corresponding author), East China Univ Sci &amp; Technol, State Key Lab Bioreactor Engn, Shanghai, Peoples R China.</t>
  </si>
  <si>
    <t>cmh022199@ecust.edu.cn</t>
  </si>
  <si>
    <t>National Key R&amp;D Program of China [2018YFC1406706, 2018YFC1406700]; Fundamental Research Funds for the Central Universities, China [JKF012016019, 22221818014]; 111 Project of China [B18022]</t>
  </si>
  <si>
    <t>National Key R&amp;D Program of China; Fundamental Research Funds for the Central Universities, China(Fundamental Research Funds for the Central Universities); 111 Project of China(Ministry of Education, China - 111 Project)</t>
  </si>
  <si>
    <t>This work was supported by the National Key R&amp;D Program of China (grant number 2018YFC1406706, 2018YFC1406700), Fundamental Research Funds for the Central Universities, China (grant number JKF012016019, 22221818014), and the 111 Project of China (grant number B18022). We thank Prof. Li Zhao, Department of Sanitary Microbiology, School of Public Health, Shandong University, for her contribution on HPLC analysis of citrinin content.</t>
  </si>
  <si>
    <t>10.1111/1750-3841.15443</t>
  </si>
  <si>
    <t>OC4JV</t>
  </si>
  <si>
    <t>WOS:000566714600001</t>
  </si>
  <si>
    <t>Lim, Y; Kang, I; Cho, JC</t>
  </si>
  <si>
    <t>Lim, Yeonjung; Kang, Ilnam; Cho, Jang-Cheon</t>
  </si>
  <si>
    <t>Genome characteristics of Kordia antarctica IMCC3317T and comparative genome analysis of the genus Kordia</t>
  </si>
  <si>
    <t>NITROUS-OXIDE N2O; SP NOV.; EMENDED DESCRIPTION; SURFACE; OCEAN; FLAVOBACTERIA; DIVERSITY; BACTERIAL; SEAWEED; ECOLOGY</t>
  </si>
  <si>
    <t>The genus Kordia is one of many genera affiliated with the family Flavobacteriaceae of the phylum Bacteroidetes, well known for its degradation of high molecular weight organic matters. The genus Kordia currently comprises eight species, type strains of which have been isolated from a diverse range of marine environments. As of this report, four genome sequences have been submitted for cultured strains of Kordia, but none are complete nor have they been analyzed comprehensively. In this study, we report the complete genome of Kordia antarctica IMCC3317(T), isolated from coastal seawater off the Antarctic Peninsula. The complete genome of IMCC3317(T) consists of a single circular chromosome with 5.5 Mbp and a 33.2 mol% of G+C DNA content. The IMCC3317(T) genome showed features typical of chemoheterotrophic marine bacteria and similar to other Kordia genomes, such as complete gene sets for the Embden-Meyerhof-Parnas glycolysis pathway, tricarboxylic acid cycle and oxidative phosphorylation. The genome also encoded many carbohydrate-active enzymes, some of which were clustered into approximately seven polysaccharide utilization loci, thereby demonstrating the potential for polysaccharide utilization. Finally, a nosZ gene encoding nitrous oxide reductase, an enzyme that catalyzes the reduction of N2O to N-2 gas, was also unique to the IMCC3317(T) genome.</t>
  </si>
  <si>
    <t>[Lim, Yeonjung; Cho, Jang-Cheon] Inha Univ, Dept Biol Sci, Incheon 22212, South Korea; [Kang, Ilnam] Inha Univ, Ctr Mol &amp; Cell Biol, Incheon 22212, South Korea</t>
  </si>
  <si>
    <t>Inha University; Inha University</t>
  </si>
  <si>
    <t>Cho, JC (corresponding author), Inha Univ, Dept Biol Sci, Incheon 22212, South Korea.;Kang, I (corresponding author), Inha Univ, Ctr Mol &amp; Cell Biol, Incheon 22212, South Korea.</t>
  </si>
  <si>
    <t>ikang@inha.ac.kr; chojc@inha.ac.kr</t>
  </si>
  <si>
    <t>Cho, Jang-Cheon/B-4676-2013</t>
  </si>
  <si>
    <t>Kang, Ilnam/0000-0003-2815-1735</t>
  </si>
  <si>
    <t>Collaborative Genome Program of the Korea Institute of Marine Science and Technology Promotion (KIMST) - Ministry of Oceans and Fisheries [20180430]; National Research Foundation of Korea (NRF) [NRF-2016R1A6A3A11934789, NRF-2019R1I1A1A01063401, NRF-2018R1A5A1025077, NRF-2019-R1A2B5B02070538]</t>
  </si>
  <si>
    <t>Collaborative Genome Program of the Korea Institute of Marine Science and Technology Promotion (KIMST) - Ministry of Oceans and Fisheries; National Research Foundation of Korea (NRF)(National Research Foundation of Korea)</t>
  </si>
  <si>
    <t>This research was supported by the Collaborative Genome Program of the Korea Institute of Marine Science and Technology Promotion (KIMST) funded by the Ministry of Oceans and Fisheries (No. 20180430), and also by grants from the National Research Foundation of Korea (NRF). (NRF-2016R1A6A3A11934789 and NRF-2019R1I1A1A01063401 to IK and NRF-2018R1A5A1025077 and NRF-2019-R1A2B5B02070538 to JCC).</t>
  </si>
  <si>
    <t>10.1038/s41598-020-71328-9</t>
  </si>
  <si>
    <t>NQ6HC</t>
  </si>
  <si>
    <t>WOS:000570970200010</t>
  </si>
  <si>
    <t>Han, I; Oh, W; La, HS; Choi, SG; Kang, S; Yoon, E; Lee, K</t>
  </si>
  <si>
    <t>Han, Inwoo; Oh, Wooseok; La, Hyoung Sul; Choi, Seok-Gwan; Kang, Sukyung; Yoon, Euna; Lee, Kyounghoon</t>
  </si>
  <si>
    <t>Verification of the Backscattering Strength Based on the Swimming Behavior of Antarctic Krill</t>
  </si>
  <si>
    <t>OCEAN SCIENCE JOURNAL</t>
  </si>
  <si>
    <t>Antarctic krill; SDWBA model; swimming orientation; target strength</t>
  </si>
  <si>
    <t>TARGET-STRENGTH; ACOUSTIC SCATTERING; EUPHAUSIA-SUPERBA; MODEL; ORIENTATION; ABUNDANCE; SDWBA</t>
  </si>
  <si>
    <t>This study provides an estimate of the SDWBA-modelled mean target strength for given sets of krill length and swimming orientation. The range of the dB identification window for krill length was between 28 mm and 67 mm and the distribution of swimming orientation N[11.0 degrees, 4.0 degrees] was estimated to be between 0.06-10.97 dB, while the range estimated using N[53.1 degrees, 21.4 degrees], i.e., the distribution of orientation obtained under the brightest illuminance level, was 5.21-9.82 dB. The range of the dB window calculated using N[45.2 degrees, 23.0 degrees], obtained under the second brightest illuminance level, was 3.83-11.76 dB, and the range calculated with N[48.1 degrees, 23.0 degrees], obtained under the third illuminance level, was 3.83-11.76 dB. The range of the dB window calculated by N[45.9 degrees, 23.0 degrees] was 3.41-11.75 dB, and the range of the dB window for krill length ranging from 28 mm to 67 mm was 4.05-11.34 dB. In all the swimming orientations, the smaller the krill size was the lower the averaged target strength value was; likewise, the larger the krill size was the higher the averaged target strength value was. The result indicated that swimming orientation impacted greatly on the range of frequency differences of Antarctic krill.</t>
  </si>
  <si>
    <t>[Han, Inwoo] Natl Inst Fisheries Sci, Climate Change Res Div, Busan 46083, South Korea; [Oh, Wooseok; Lee, Kyounghoon] Chonnam Natl Univ, Div Fisheries Sci, Yeosu 59626, South Korea; [La, Hyoung Sul] Korea Polar Res Inst, Div Polar Ocean Environm, Incheon 21990, South Korea; [Choi, Seok-Gwan] Natl Inst Fisheries Sci, Distant Water Fisheries Resources Res Div, Busan 46083, South Korea; [Kang, Sukyung] Natl Inst Fisheries Sci, Fisheries Resources Management Div, Busan 46083, South Korea; [Yoon, Euna] Natl Inst Fisheries Sci, Fisheries Resources Res Ctr, Tongyoung 53064, South Korea</t>
  </si>
  <si>
    <t>National Institute of Fisheries Science; Chonnam National University; Korea Polar Research Institute (KOPRI); National Institute of Fisheries Science; National Institute of Fisheries Science; National Institute of Fisheries Science</t>
  </si>
  <si>
    <t>Lee, K (corresponding author), Chonnam Natl Univ, Div Fisheries Sci, Yeosu 59626, South Korea.</t>
  </si>
  <si>
    <t>khlee71@jnu.ac.kr</t>
  </si>
  <si>
    <t>LEE, Kyounghoon/IWM-4396-2023</t>
  </si>
  <si>
    <t>La, Hyoung Sul/0000-0003-1285-580X</t>
  </si>
  <si>
    <t>'Ecosystem Structure and Function of Marine Protected Area (MPA) in Antarctica' project - Ministry of Oceans and Fisheries, Korea [PM19060, 20170336]; National Institute of Fisheries Science, Korea [R2020031]</t>
  </si>
  <si>
    <t>'Ecosystem Structure and Function of Marine Protected Area (MPA) in Antarctica' project - Ministry of Oceans and Fisheries, Korea; National Institute of Fisheries Science, Korea</t>
  </si>
  <si>
    <t>This research was supported by the 'Ecosystem Structure and Function of Marine Protected Area (MPA) in Antarctica' project (PM19060),funded by the Ministry of Oceans and Fisheries (20170336), Korea and was partially supported by the National Institute of Fisheries Science (R2020031), Korea. We are grateful to an editor and anonymous reviewers for their insightful comments that greatly helped to clarify and refine the paper, and we wish to thank Mr Geunchang Park for analysis support.</t>
  </si>
  <si>
    <t>KOREA INST OCEAN SCIENCE &amp; TECHNOLOGY-KIOST</t>
  </si>
  <si>
    <t>BUSAN</t>
  </si>
  <si>
    <t>HAEYANG-RO 385, YEONGDO-GU, BUSAN, SOUTH KOREA</t>
  </si>
  <si>
    <t>1738-5261</t>
  </si>
  <si>
    <t>2005-7172</t>
  </si>
  <si>
    <t>OCEAN SCI J</t>
  </si>
  <si>
    <t>Ocean Sci. J.</t>
  </si>
  <si>
    <t>SEP</t>
  </si>
  <si>
    <t>10.1007/s12601-020-0031-9</t>
  </si>
  <si>
    <t>NV3WV</t>
  </si>
  <si>
    <t>WOS:000566310300004</t>
  </si>
  <si>
    <t>Conti, MLG; Bates, MR; Preece, RC; Penkman, KEH; Keely, BJ</t>
  </si>
  <si>
    <t>Conti, Martina L. G.; Bates, Martin R.; Preece, Richard C.; Penkman, Kirsty E. H.; Keely, Brendan J.</t>
  </si>
  <si>
    <t>Molecular fossils as a tool for tracking Holocene sea-level change in the Loch of Stenness, Orkney</t>
  </si>
  <si>
    <t>chlorophylls; Holocene; lipids; molecular fossils; sea level</t>
  </si>
  <si>
    <t>ORGANIC-MATTER; N-ALKANE; ENVIRONMENTAL CONTROLS; VEGETATION HISTORY; BRANCHED GDGTS; MARINE; LIPIDS; TEMPERATURE; PROXY; GEOCHEMISTRY</t>
  </si>
  <si>
    <t>Sediments deposited in the Loch of Stenness (Orkney Islands, Scotland) during the Holocene transgression, previously dated to between similar to 5939-5612 bp, were analysed for molecular fossils - lipids and chlorophyll pigments from primary producers - that complement conventional microfossil and lithological approaches for studying past sea-level change. While microfossil and lithological studies identified a transgression between 102 and 81 cm core depth, key molecular fossils fluctuate in occurrence and concentration between 118 and 85 cm, suggesting an earlier start to the transgression. Terrestrial lipid concentrations decreased and algal-derived, short-chain,n-alkanoic acid concentrations increased at 118 cm, indicating a disruption of the freshwater lake conditions associated with the early stages of the marine transgression. The lipid and pigment analyses provided information that complements and extends that from microfossil analysis, presenting a more complete record of Holocene sea-level changes and local vegetation changes in the Loch of Stenness. The isostatic stability of Stenness during the Holocene points towards other factors to explain the transgression, such as regional factors and/or melting of the Antarctic ice sheet (which occurred up to 3 ka). (c) 2020 The Authors. Journal of Quaternary Science Published by John Wiley &amp; Sons Ltd.</t>
  </si>
  <si>
    <t>[Conti, Martina L. G.; Penkman, Kirsty E. H.; Keely, Brendan J.] Univ York, Dept Chem, York, N Yorkshire, England; [Bates, Martin R.] Univ Wales Trinity St David, Fac Humanities &amp; Performing Arts, Lampeter, Ceredigion, Wales; [Preece, Richard C.] Univ Cambridge, Dept Zool, Downing St, Cambridge, England</t>
  </si>
  <si>
    <t>University of York - UK; University of Wales Trinity St David; University of Cambridge</t>
  </si>
  <si>
    <t>Conti, MLG; Keely, BJ (corresponding author), Univ York, Dept Chem, York, N Yorkshire, England.</t>
  </si>
  <si>
    <t>martina.conti@alumni.york.ac.uk; brendan.keely@york.ac.uk</t>
  </si>
  <si>
    <t>Penkman, Kirsty/D-1952-2012</t>
  </si>
  <si>
    <t>Penkman, Kirsty/0000-0002-6226-9799; Conti, Martina L. G./0000-0003-1343-1291</t>
  </si>
  <si>
    <t>Department of Chemistry</t>
  </si>
  <si>
    <t>We thank the Centre of Excellence in Mass Spectrometry for the use of the APCI-MS and GC-MS and the Chemistry Department Teaching Laboratories for the use of the GC-FID (University of York, York). M.L.G.C. was funded by a Department of Chemistry teaching studentship.</t>
  </si>
  <si>
    <t>10.1002/jqs.3238</t>
  </si>
  <si>
    <t>PB8AP</t>
  </si>
  <si>
    <t>WOS:000565970300001</t>
  </si>
  <si>
    <t>Fu, J; Fu, KH; Gao, K; Li, HJ; Xue, Q; Chen, Y; Wang, LG; Shi, JB; Fu, JJ; Zhang, QH; Zhang, AQ; Jiang, GB</t>
  </si>
  <si>
    <t>Fu, Jie; Fu, Kehan; Gao, Ke; Li, Huijuan; Xue, Qiao; Chen, Yu; Wang, Liguo; Shi, Jianbo; Fu, Jianjie; Zhang, Qinghua; Zhang, Aiqian; Jiang, Guibin</t>
  </si>
  <si>
    <t>Occurrence and Trophic Magnification of Organophosphate Esters in an Antarctic Ecosystem: Insights into the Shift from Legacy to Emerging Pollutants</t>
  </si>
  <si>
    <t>JOURNAL OF HAZARDOUS MATERIALS</t>
  </si>
  <si>
    <t>Organophosphate esters (OPEs); emerging pollutants; food chain; trophic magnification; the Antarctic ecosystem</t>
  </si>
  <si>
    <t>PERSISTENT ORGANIC POLLUTANTS; POLYBROMINATED DIPHENYL ETHERS; PHOSPHORUS FLAME RETARDANTS; KING GEORGE ISLAND; MARINE FOOD WEBS; GREAT-LAKES; CHEMICAL-PROPERTIES; FILDES PENINSULA; PLASTICIZERS; BIOACCUMULATION</t>
  </si>
  <si>
    <t>[Fu, Jie; Fu, Kehan; Gao, Ke; Li, Huijuan; Xue, Qiao; Chen, Yu; Wang, Liguo; Shi, Jianbo; Fu, Jianjie; Zhang, Qinghua; Zhang, Aiqian; Jiang, Guibin] Chinese Acad Sci, Res Ctr Ecoenvironm Sci, State Key Lab Environm Chem &amp; Ecotoxicol, Beijing, Peoples R China; [Fu, Jie; Fu, Jianjie; Zhang, Aiqian; Jiang, Guibin] Univ Chinese Acad Sci, Coll Resources &amp; Environm, Beijing, Peoples R China; [Fu, Jianjie; Jiang, Guibin] Univ Chinese Acad Sci, Hangzhou Inst Adv Study, Sch Environm, Hangzhou, Peoples R China</t>
  </si>
  <si>
    <t>Chinese Academy of Sciences; Research Center for Eco-Environmental Sciences (RCEES); Chinese Academy of Sciences; University of Chinese Academy of Sciences, CAS; Chinese Academy of Sciences; University of Chinese Academy of Sciences, CAS</t>
  </si>
  <si>
    <t>Fu, JJ (corresponding author), Chinese Acad Sci, Res Ctr Ecoenvironm Sci, State Key Lab Environm Chem &amp; Ecotoxicol, Beijing, Peoples R China.</t>
  </si>
  <si>
    <t>jjfu@rcees.ac.cn</t>
  </si>
  <si>
    <t>Shi, Jianbo/B-1785-2012; Fu, Jianjie/ABI-2640-2020; zhang, qinghua/HMP-3611-2023; Zhang, Qinghua/G-3980-2019</t>
  </si>
  <si>
    <t>Shi, Jianbo/0000-0003-2637-1929; zhang, qinghua/0000-0002-9707-4051; Fu, Jianjie/0000-0002-6373-0719</t>
  </si>
  <si>
    <t>National Natural Science Foundation [91743204, 21677168]; Youth Innovation Promotion Association of CAS [2018052]</t>
  </si>
  <si>
    <t>National Natural Science Foundation(National Natural Science Foundation of China (NSFC)); Youth Innovation Promotion Association of CAS</t>
  </si>
  <si>
    <t>This study was jointly supported by the National Natural Science Foundation (91743204, 21677168) and the Youth Innovation Promotion Association of CAS (2018052). The authors are very grateful to the Chinese Arctic and Antarctic Ministration for the arrangement of the Chinese Antarctic Scientific Expedition.</t>
  </si>
  <si>
    <t>0304-3894</t>
  </si>
  <si>
    <t>1873-3336</t>
  </si>
  <si>
    <t>J HAZARD MATER</t>
  </si>
  <si>
    <t>J. Hazard. Mater.</t>
  </si>
  <si>
    <t>SEP 5</t>
  </si>
  <si>
    <t>10.1016/j.jhazmat.2020.122742</t>
  </si>
  <si>
    <t>MA4ZT</t>
  </si>
  <si>
    <t>WOS:000541924000074</t>
  </si>
  <si>
    <t>Rondon, R; González-Aravena, M; Font, A; Osorio, M; Cardenas, CA</t>
  </si>
  <si>
    <t>Rondon, Rodolfo; Gonzalez-Aravena, Marcelo; Font, Alejandro; Osorio, Magdalena; Cardenas, Cesar A.</t>
  </si>
  <si>
    <t>Effects of Climate Change Stressors on the Prokaryotic Communities of the Antarctic SpongeIsodictya kerguelenensis</t>
  </si>
  <si>
    <t>microbiome; Porifera; benthic communities; tissue injury; heat-stress; ice scour disturbance; sponge health</t>
  </si>
  <si>
    <t>SPONGE; TEMPERATURE; PENINSULA; SCALES; IMPACT; ICE</t>
  </si>
  <si>
    <t>Microbial symbionts of marine sponges play important roles for the hosts and also for their ecosystems. The unique tolerance of marine sponges to a wide diversity of microbial symbionts allows them to acquire a wide variety of evolutionary solutions to environmental challenges. Ice scour is one of the main forces structuring Antarctic benthic communities, and its effect is expected to increase as further warming is projected for the Western Antarctic Peninsula (WAP). The interaction of these physical drivers may have a significant impact, shaping the microbiome of Antarctic sponges under current and future scenarios of climate change. The aim of this research was to assess how stressors, such as warming and injuries produced by ice scour, affect the microbiome of the marine Antarctic spongeIsodictya kerguelenensisunder current and predicted scenarios. Individuals ofI. kerguelenensiswere sampled in shallow waters (10 m) off the coast of Doumer Island, Palmer Archipelago, WAP. In order to mimic the effect of tissue damage produced by ice scour, tissue samples were taken at days 0 (T0d) and 15 (T15d) from individuals placed in a control (0.5 degrees C) and two temperature treatments (3 and 6 degrees C). Our analysis of 16S libraries from the V4-V5 region revealed two phyla of archaea and 22 of bacteria. Proteobacteria and Bacteroidetes were the most representative in terms of both number of operational taxonomic units (OTUs) and sequence abundances. The analysis at the OTU level shows a significant interactive effect of injury and temperature. Principal coordinate analysis (PCoA) shows a clear group of uninjured sponges and three other groups of injured sponges according to temperature. Our results also show a group of OTUs that were only present in injured sponges and are potential markers of sponge damage. Our study suggests that the disturbance produced by icebergs may have a direct impact on the sponge microbiome. Future climate change scenarios with warming and increases in iceberg impacts may lead to prokaryotic symbiont disruption on sponge species, potentially having cascading effects for the host and the functional roles they play in the Antarctic ecosystem; however, the potential effects of this disruption are to be further studied.</t>
  </si>
  <si>
    <t>[Rondon, Rodolfo; Gonzalez-Aravena, Marcelo; Font, Alejandro; Osorio, Magdalena; Cardenas, Cesar A.] Inst Antartico Chileno, Dept Cient, Punta Arenas, Chile</t>
  </si>
  <si>
    <t>Rondon, R; Cardenas, CA (corresponding author), Inst Antartico Chileno, Dept Cient, Punta Arenas, Chile.</t>
  </si>
  <si>
    <t>rrondon@inach.cl; ccardenas@inach.cl</t>
  </si>
  <si>
    <t>Rondon, Rodolfo/ABF-1403-2020; González, Marcelo/ABF-1450-2020; Cardenas, Cesar/ABF-1664-2020</t>
  </si>
  <si>
    <t>Cardenas, Cesar/0000-0001-6662-6899; Rondon, Rodolfo/0000-0002-0292-7438</t>
  </si>
  <si>
    <t>CONICYT/FONDECYT/INACH/INICIACION [11150129]; INACH Program Marine Protected Areas</t>
  </si>
  <si>
    <t>CONICYT/FONDECYT/INACH/INICIACION; INACH Program Marine Protected Areas</t>
  </si>
  <si>
    <t>This research was funded by CONICYT/FONDECYT/INACH/INICIACION/#11150129 and the INACH Program Marine Protected Areas. This research contributes to the SCAR AnT-ERA and Ant-Eco programs.</t>
  </si>
  <si>
    <t>SEP 4</t>
  </si>
  <si>
    <t>10.3389/fevo.2020.00262</t>
  </si>
  <si>
    <t>NU7GG</t>
  </si>
  <si>
    <t>WOS:000573808000001</t>
  </si>
  <si>
    <t>Wei, MD; Polojärvi, A; Cole, DM; Prasanna, M</t>
  </si>
  <si>
    <t>Wei, Mingdong; Polojarvi, Arttu; Cole, David M.; Prasanna, Malith</t>
  </si>
  <si>
    <t>Strain response and energy dissipation of floating saline ice under cyclic compressive stress</t>
  </si>
  <si>
    <t>ANTARCTIC SEA-ICE; CHANNELS FRACTURING MECHANISM; JOINTED ROCK MODELS; WAVE-PROPAGATION; PART II; FATIGUE; MANAGEMENT; LOADS; ATTENUATION; FAILURE</t>
  </si>
  <si>
    <t>Understanding the mechanical behavior of sea ice is the basis of applications of ice mechanics. Laboratory-scale work on saline ice has often involved dry, isothermal ice specimens due to the relative ease of testing. This approach does not address the fact that the natural sea ice is practically always floating in seawater and typically has a significant temperature gradient. To address this important issue, we have developed equipment and methods for conducting compressive loading experiments on floating laboratory-prepared saline ice specimens. The present effort describes these developments and presents the results of stress-controlled sinusoidal cyclic compression experiments. We conducted the experiments on dry, isothermal (-10 degrees C) ice specimens and on floating-ice specimens with a naturally occurring temperature gradient. The experiments involved ice salinities of 5 and 7 ppt, cyclic stress levels ranging from 0.04-0.12 to 0.08-0.25MPa and cyclic loading frequencies of 0.001 to 1 Hz. The constitutive response and energy dissipation under cyclic loading were successfully analyzed using an existing physically based constitutive model for sea ice. The results highlight the importance of testing warm and floatingice specimens and demonstrate that the experimental method proposed in this study provides a convenient and practical approach to perform laboratory experiments on floating ice.</t>
  </si>
  <si>
    <t>[Wei, Mingdong; Polojarvi, Arttu; Prasanna, Malith] Aalto Univ, Sch Engn, Dept Mech Engn, POB 14100, Aalto 00076, Finland; [Cole, David M.] ERDC CRREL, 72 Lyme Rd, Hanover, NH 03768 USA</t>
  </si>
  <si>
    <t>Aalto University; United States Department of Defense; United States Army; U.S. Army Corps of Engineers; U.S. Army Engineer Research &amp; Development Center (ERDC); Cold Regions Research &amp; Engineering Laboratory (CRREL)</t>
  </si>
  <si>
    <t>Polojärvi, A (corresponding author), Aalto Univ, Sch Engn, Dept Mech Engn, POB 14100, Aalto 00076, Finland.</t>
  </si>
  <si>
    <t>arttu.polojarvi@aalto.fi</t>
  </si>
  <si>
    <t>Wei, Mingdong/AAX-7547-2021; Polojarvi, Arttu/I-2936-2012</t>
  </si>
  <si>
    <t>Wei, Mingdong/0000-0001-8526-4600; Prasanna, Malith/0000-0002-2085-5060; Polojarvi, Arttu/0000-0003-4410-5448</t>
  </si>
  <si>
    <t>Academy of Finland (Ice Block Breakage: Experiments and Simulations, ICEBES) [309830]; Academy of Finland (AKA) [309830] Funding Source: Academy of Finland (AKA)</t>
  </si>
  <si>
    <t>Academy of Finland (Ice Block Breakage: Experiments and Simulations, ICEBES); Academy of Finland (AKA)(Research Council of Finland)</t>
  </si>
  <si>
    <t>This research has been supported by the Academy of Finland (Ice Block Breakage: Experiments and Simulations, ICEBES; grant no. 309830).</t>
  </si>
  <si>
    <t>10.5194/tc-14-2849-2020</t>
  </si>
  <si>
    <t>NO3GY</t>
  </si>
  <si>
    <t>WOS:000569374500001</t>
  </si>
  <si>
    <t>Ostrowski, D; Bryson, K</t>
  </si>
  <si>
    <t>Ostrowski, D.; Bryson, K.</t>
  </si>
  <si>
    <t>Laboratory examination of the physical properties of ordinary chondrites</t>
  </si>
  <si>
    <t>ATMOSPHERIC ENTRY; METEORITE; MODEL; POROSITY; SHOCK; AIRBURST; VELOCITY; DENSITY; ORIGIN</t>
  </si>
  <si>
    <t>Meteorites provide vast amounts of information on the makeup and history of the solar system. The physical properties help to understand meteor behavior in the atmosphere, model characteristics of parent bodies, and determine methods to deflect potentially hazardous objects. Density and porosity are two of the most important physical properties. All the examined ordinary chondrite falls have bulk densities and porosities near their respected class averages. Most of the studied Antarctic ordinary chondrites have porosities around 12% or higher caused by weathering, placing them near the top of the range of values for chondritic falls. A trend is observed in acoustic velocity, where any meteorite with porosity over 10% has a longitudinal velocity near half the value of the class average. Low porosity meteorites such as Tenham, Chelyabinsk impact melt, and MIL07036 have velocities well above their class averages. Emissivities across all meteorites follow the trend of decreasing emissivity with increasing temperature.</t>
  </si>
  <si>
    <t>[Ostrowski, D.; Bryson, K.] NASA, Ames Res Ctr, Mountain View, CA 94035 USA; [Ostrowski, D.; Bryson, K.] NASA, Bay Area Environm Res Inst, Ames Res Ctr, Mountain View, CA 94035 USA</t>
  </si>
  <si>
    <t>National Aeronautics &amp; Space Administration (NASA); NASA Ames Research Center; National Aeronautics &amp; Space Administration (NASA); NASA Ames Research Center</t>
  </si>
  <si>
    <t>Ostrowski, D (corresponding author), NASA, Ames Res Ctr, Mountain View, CA 94035 USA.;Ostrowski, D (corresponding author), NASA, Bay Area Environm Res Inst, Ames Res Ctr, Mountain View, CA 94035 USA.</t>
  </si>
  <si>
    <t>daniel.r.ostrowski@nasa.gov</t>
  </si>
  <si>
    <t>NASA's Planetary Defense Coordination Office (PDCO); NSF; NASA</t>
  </si>
  <si>
    <t>NASA's Planetary Defense Coordination Office (PDCO); NSF(National Science Foundation (NSF)); NASA(National Aeronautics &amp; Space Administration (NASA))</t>
  </si>
  <si>
    <t>This work was funded by NASA's Planetary Defense Coordination Office (PDCO). US Antarctic meteorite samples are recovered by the Antarctic Search for Meteorites (ANSMET) program which has been funded by NSF and NASA, and characterized and curated by the Department of Mineral Sciences of the Smithsonian Institution and Astromaterials Acquisition and Curation Office at NASA Johnson Space Center.</t>
  </si>
  <si>
    <t>10.1111/maps.13562</t>
  </si>
  <si>
    <t>NY9HB</t>
  </si>
  <si>
    <t>WOS:000565686300001</t>
  </si>
  <si>
    <t>Güller, M; Puccinelli, E; Zelaya, DG</t>
  </si>
  <si>
    <t>Guller, Marina; Puccinelli, Eleonora; Zelaya, Diego G.</t>
  </si>
  <si>
    <t>The Antarctic Circumpolar Current as a dispersive agent in the Southern Ocean: evidence from bivalves</t>
  </si>
  <si>
    <t>LONG-DISTANCE DISPERSAL; WEST-WIND-DRIFT; MACROCYSTIS-PYRIFERA; MARINE BIOGEOGRAPHY; SPECIES RICHNESS; DRAKE PASSAGE; KELP RAFTS; TRANSPORT; PATTERNS; ISLANDS</t>
  </si>
  <si>
    <t>Over the past decades, several studies have revealed that the traditional view of the Antarctic Circumpolar Current (ACC) as an agent for species dispersal in the Southern Ocean is not applicable to all taxa. Some species are actually circum-Antarctically or circum-sub-Antarctically distributed, but some other species actually comprise species' complexes, with cryptic taxa occurring at different areas. However, to date, few of the invertebrate species formerly reported as widespread in the Southern Ocean have been re-analyzed using genetic techniques. This study examined whether two geographically distant areas of the sub-Antarctic region under the influence of the ACC, the Southern tip of South America (SSA) and the Prince Edward Islands (PEI), share some marine invertebrate species. For that, members of two genera of bivalves, Gaimardia and Hiatella, were selected. As part of this study, we found extremely low genetic differentiation between specimens from SSA and PEI. In addition, shared haplotypes were found between these two areas. Our results confirm that Gaimardia trapesina and one same species of Hiatella (Hiatella O) are present in both areas. Given that these two species are found on macroalgae, natural rafts appear as the most plausible means of dispersal of juveniles and adults, although in the case of Hiatella O, additional larval dispersion cannot be discarded. In any of these cases, dispersion should be facilitated (or even determined) by the ACC. Thus, this study provides new evidence in favour of considering the ACC as an effective dispersive agent in the Southern Ocean.</t>
  </si>
  <si>
    <t>[Guller, Marina; Zelaya, Diego G.] Univ Buenos Aires, Fac Ciencias Exactas &amp; Nat, Dept Biodiversidad &amp; Biol Expt, Buenos Aires, DF, Argentina; [Guller, Marina; Zelaya, Diego G.] Consejo Nacl Invest Cient &amp; Tecn, Buenos Aires, DF, Argentina; [Puccinelli, Eleonora] Univ Cape Town, Marine Res Inst, Dept Oceanog, ZA-7701 Cape Town, South Africa; [Puccinelli, Eleonora] Technopole Brest Iroise, Lab Sci Environm Marin LEMAR, UMR UBO 6539, Inst Univ Europeen Mer,CNRS,IRD,IFREMER, Rue Dumont Urville, F-29280 Plouzane, France</t>
  </si>
  <si>
    <t>University of Buenos Aires; Consejo Nacional de Investigaciones Cientificas y Tecnicas (CONICET); University of Cape Town; Universite de Bretagne Occidentale; Institut Universitaire Europeen de la Mer (IUEM); Centre National de la Recherche Scientifique (CNRS); Ifremer; Institut de Recherche pour le Developpement (IRD)</t>
  </si>
  <si>
    <t>Zelaya, DG (corresponding author), Univ Buenos Aires, Fac Ciencias Exactas &amp; Nat, Dept Biodiversidad &amp; Biol Expt, Buenos Aires, DF, Argentina.;Zelaya, DG (corresponding author), Consejo Nacl Invest Cient &amp; Tecn, Buenos Aires, DF, Argentina.</t>
  </si>
  <si>
    <t>dzelaya@bg.fcen.uba.ar</t>
  </si>
  <si>
    <t>Puccinelli, Eleonora/M-3562-2018</t>
  </si>
  <si>
    <t>Puccinelli, Eleonora/0000-0002-6144-6650</t>
  </si>
  <si>
    <t>South African National Antarctic Program (SANAP); South African Department of Environmental Affairs and Tourism [105539, 110735, 110719]; Agencia Nacional de Promocion Cientifica y Tecnologica [PICT 2016-2983]; Universidad de Buenos Aires [UBACYT 20020150100195BA]; Argentine National</t>
  </si>
  <si>
    <t>South African National Antarctic Program (SANAP); South African Department of Environmental Affairs and Tourism; Agencia Nacional de Promocion Cientifica y Tecnologica(ANPCyTSpanish Government); Universidad de Buenos Aires(University of Buenos Aires); Argentine National</t>
  </si>
  <si>
    <t>This study was funded by the South African National Antarctic Program (SANAP) and the South African Department of Environmental Affairs and Tourism (grants 105539 and 110735 to Dr. Sarah Fawcett; grant 110719 to Prof. Isabelle Ansorge); and by Agencia Nacional de Promocion Cientifica y Tecnologica (PICT 2016-2983) and Universidad de Buenos Aires (UBACYT 20020150100195BA) to DZ. Part of the samples were obtained through funds of the Argentine National Law No 26875. Special thanks go to Captain Bengu and his officers and crew of the SA Agulhas II for their assistance at sea; and to the crews of the BO Puerto Deseado and GC-189 Prefecto Garcia. Cristian Ituarte, Matias Urcola, Maria del Mar Eivers and the staff of Huinay Scientific Field Station kindly provided some of the specimens for this study. The authors are grateful to Alex Gottlieb, who provided advice on molecular studies. We thank B. M. and an anonymous reviewer who greatly improved the final version of the manuscript. MG and DZ are members of the Consejo Nacional de Investigaciones Cientificas y Tecnicas (CONICET). This work is the contribution No 39 of the MPA Namuncura/Burdwood Bank.</t>
  </si>
  <si>
    <t>10.1007/s00227-020-03746-2</t>
  </si>
  <si>
    <t>NO8ZA</t>
  </si>
  <si>
    <t>WOS:000569774900003</t>
  </si>
  <si>
    <t>Swingedouw, D; Speranza, CI; Bartsch, A; Durand, G; Jamet, C; Beaugrand, G; Conversi, A</t>
  </si>
  <si>
    <t>Swingedouw, Didier; Speranza, Chinwe Ifejika; Bartsch, Annett; Durand, Gael; Jamet, Cedric; Beaugrand, Gregory; Conversi, Alessandra</t>
  </si>
  <si>
    <t>Early Warning from Space for a Few Key Tipping Points in Physical, Biological, and Social-Ecological Systems</t>
  </si>
  <si>
    <t>SURVEYS IN GEOPHYSICS</t>
  </si>
  <si>
    <t>Tipping point; Tipping element; Remote sensing; Earth observation; Atlantic; AMOC; SPG; Marine biology; Permafrost; Antarctic and Greenland ice sheets; Land use; Terrestrial resource use; Early warning; Bifurcation; Climate dynamics</t>
  </si>
  <si>
    <t>MERIDIONAL OVERTURNING CIRCULATION; ANTHROPOGENIC CLIMATE-CHANGE; NITROGEN USE EFFICIENCY; ORGANIC-CARBON STORAGE; ATLANTIC DEEP-WATER; REGIME SHIFTS; FRESH-WATER; ICE SHEETS; LAND-USE; OCEAN CIRCULATION</t>
  </si>
  <si>
    <t>In this review paper, we explore latest results concerning a few key tipping elements of the Earth system in the ocean, cryosphere, and land realms, namely the Atlantic overturning circulation and the subpolar gyre system, the marine ecosystems, the permafrost, the Greenland and Antarctic ice sheets, and in terrestrial resource use systems. All these different tipping elements share common characteristics related to their nonlinear nature. They can also interact with each other leading to synergies that can lead to cascading tipping points. Even if the probability of each tipping event is low, they can happen relatively rapidly, involve multiple variables, and have large societal impacts. Therefore, adaptation measures and management in general should extend their focus beyond slow and continuous changes, into abrupt, nonlinear, possibly cascading, high impact phenomena. Remote sensing observations are found to be decisive in the understanding and determination of early warning signals of many tipping elements. Nevertheless, considerable research still remains to properly incorporate these data in the current generation of coupled Earth system models. This is a key prerequisite to correctly develop robust decadal prediction systems that may help to assess the risk of crossing thresholds potentially crucial for society. The prediction of tipping points remains difficult, notably due to stochastic resonance, i.e. the interaction between natural variability and anthropogenic forcing, asking for large ensembles of predictions to correctly assess the risks. Furthermore, evaluating the proximity to crucial thresholds using process-based understanding of each system remains a key aspect to be developed for an improved assessment of such risks. This paper finally proposes a few research avenues concerning the use of remote sensing data and the need for combining different sources of data, and having long and precise-enough time series of the key variables needed to monitor Earth system tipping elements.</t>
  </si>
  <si>
    <t>[Swingedouw, Didier] Univ Bordeaux, EPOC OASU, UMR CNRS 5805, Environm &amp; Paleoenvironm Ocean &amp; Continentaux EPO, Allee Geoffroy St Hilaire, F-33615 Pessac, France; [Speranza, Chinwe Ifejika] Univ Bern, Inst Geog, Hallerstr 12, CH-3012 Bern, Switzerland; [Bartsch, Annett] Bgeos GmbH, Ind Str 1, A-2100 Korneuburg, Austria; [Bartsch, Annett] Univ Vienna, Austrian Polar Res Inst, Zimmer B0410,Univ Str 7, A-1010 Vienna, Austria; [Durand, Gael] Univ Grenoble Alpes, IGE, Grenoble INP, CNRS,IRD, F-38000 Grenoble, France; [Jamet, Cedric; Beaugrand, Gregory] Univ Littoral Cote dOpale, Univ Lille, UMR 8187, Lab Oceanol &amp; Geosci,CNRS, F-62930 Wimereux, France; [Conversi, Alessandra] Natl Res Council Italy, CNR ISMAR Lerici, I-19032 Lerici, SP, Italy</t>
  </si>
  <si>
    <t>Universite de Bordeaux; Centre National de la Recherche Scientifique (CNRS); CNRS - National Institute for Earth Sciences &amp; Astronomy (INSU); University of Bern; University of Vienna; Communaute Universite Grenoble Alpes; Universite Grenoble Alpes (UGA); Centre National de la Recherche Scientifique (CNRS); Institut National Polytechnique de Grenoble; Institut de Recherche pour le Developpement (IRD); Universite du Littoral-Cote-d'Opale; Centre National de la Recherche Scientifique (CNRS); CNRS - National Institute for Earth Sciences &amp; Astronomy (INSU); Universite de Lille; Consiglio Nazionale delle Ricerche (CNR)</t>
  </si>
  <si>
    <t>Swingedouw, D (corresponding author), Univ Bordeaux, EPOC OASU, UMR CNRS 5805, Environm &amp; Paleoenvironm Ocean &amp; Continentaux EPO, Allee Geoffroy St Hilaire, F-33615 Pessac, France.</t>
  </si>
  <si>
    <t>didier.swingedouw@u-bordeaux.fr</t>
  </si>
  <si>
    <t>Jamet, Cedric/ABG-5750-2021; Bartsch, Annett/N-1347-2019; Ifejika Speranza, Chinwe/B-2408-2012; Swingedouw, Didier/D-1408-2010; Conversi, Alessandra/G-3899-2011</t>
  </si>
  <si>
    <t>Jamet, Cedric/0000-0001-6988-6506; Ifejika Speranza, Chinwe/0000-0003-1927-7635; Swingedouw, Didier/0000-0002-0583-0850; Conversi, Alessandra/0000-0002-8566-8282</t>
  </si>
  <si>
    <t>Blue-Action (European Union's Horizon 2020 research and innovation program) [727852]; EUCP (European Union's Horizon 2020 research and innovation programme) [776613]; Nunataryuk project (H2020 Research and Innovation Programme) [773421]; ESA Climate Change Initiative project on Permafrost [4000123681/18/I-NB]; TiPACCs project (European Union's Horizon 2020 research and innovation programme) [820575]; H2020 Societal Challenges Programme [773421, 776613, 820575] Funding Source: H2020 Societal Challenges Programme</t>
  </si>
  <si>
    <t>Blue-Action (European Union's Horizon 2020 research and innovation program); EUCP (European Union's Horizon 2020 research and innovation programme); Nunataryuk project (H2020 Research and Innovation Programme); ESA Climate Change Initiative project on Permafrost; TiPACCs project (European Union's Horizon 2020 research and innovation programme); H2020 Societal Challenges Programme(Horizon 2020European Union (EU)H2020 Societal Challenges Programme)</t>
  </si>
  <si>
    <t>We thank Teodolina Lopez and Anny Cazenave from ISSI who organized the Workshop leading to this review paper. We acknowledge very constructive and inspiring comments from one anonymous reviewer that clearly helped to improve the manuscript clarity. DS is supported by Blue-Action (European Union's Horizon 2020 research and innovation program, Grant Number: 727852) and EUCP (European Union's Horizon 2020 research and innovation programme under Grant Agreement No. 776613) projects. CIS' inputs contribute to the Programme on Ecosystem Change and Society (www.pecs-scien ce.org) and the Global Land Programme (www.glp.earth).AB benefited from Nunataryuk project (H2020 Research and Innovation Programme under Grant Agreement No. 773421) as well as ESA Climate Change Initiative project on Permafrost (4000123681/18/I-NB). GD was supported by the TiPACCs project (European Union's Horizon 2020 research and innovation programme, Grant Number: 820575).</t>
  </si>
  <si>
    <t>0169-3298</t>
  </si>
  <si>
    <t>1573-0956</t>
  </si>
  <si>
    <t>SURV GEOPHYS</t>
  </si>
  <si>
    <t>Surv. Geophys.</t>
  </si>
  <si>
    <t>10.1007/s10712-020-09604-6</t>
  </si>
  <si>
    <t>OB6SK</t>
  </si>
  <si>
    <t>WOS:000565834600001</t>
  </si>
  <si>
    <t>Seto, K; Galland, GR; McDonald, A; Abolhassani, A; Azmi, K; Sinan, H; Timmiss, T; Bailey, M; Hanich, Q</t>
  </si>
  <si>
    <t>Seto, Katherine; Galland, Grantly R.; McDonald, Alice; Abolhassani, Angela; Azmi, Kamal; Sinan, Hussain; Timmiss, Trent; Bailey, Megan; Hanich, Quentin</t>
  </si>
  <si>
    <t>Resource allocation in transboundary tuna fisheries: A global analysis</t>
  </si>
  <si>
    <t>Common pool resource; Equity; Regional fisheries management organization; RFMO</t>
  </si>
  <si>
    <t>RIGHTS-BASED MANAGEMENT; SUSTAINABLE GOVERNANCE; PROPERTY-RIGHTS; WESTERN; INSTITUTIONS; BURDEN; SYSTEM; OCEAN; GOODS; WATER</t>
  </si>
  <si>
    <t>Resource allocation is a fundamental and challenging component of common pool resource governance, particularly transboundary fisheries. We highlight the growing importance of allocation in fisheries governance, comparing approaches of the five tuna Regional Fisheries Management Organizations (tRFMOs). We find all tRFMOs except one have defined resources for allocation and outlined principles to guide allocation based on equity, citizenship, and legitimacy. However, all fall short of applying these principles in assigning fish resources. Most tRFMOs rely on historical catch or effort, while equity principles rarely determine dedicated rights. Further, the current system of annual negotiations reduces certainty, trust, and transparency, counteracting many benefits asserted by rights-based management proponents. We suggest one means of gaining traction may be to shift conversations from allocative rights toward weighting of principles already identified by most tRFMOs. Incorporating principles into resource allocation remains a major opportunity, with important implications for current and future access to fish.</t>
  </si>
  <si>
    <t>[Seto, Katherine; Azmi, Kamal; Hanich, Quentin] Univ Wollongong, Australia Natl Ctr Ocean Resources &amp; Secur ANCORS, Bldg 233,Innovat Campus, Wollongong, NSW 2522, Australia; [Seto, Katherine; Hanich, Quentin] Nippon Fdn Nereus Program, Vancouver, BC, Canada; [Seto, Katherine] Univ Calif Santa Cruz, Environm Studies Dept, Interdisciplinary Sci Bldg, Santa Cruz, CA 95064 USA; [Galland, Grantly R.] Galland Consulting, 1714 Summit Pl NW 303, Washington, DC 20009 USA; [McDonald, Alice] NRE People, 2 Clara Lane, Casuarina, NSW, Australia; [Abolhassani, Angela] Univ Tasmania, Fac Law, Ctr Marine Socioecol CMS, Inst Marine &amp; Antarctic Studies IMAS, Sandy Bay Campus, Hobart, Tas 7005, Australia; [Sinan, Hussain; Bailey, Megan] Dalhousie Univ, Marine Affairs Program, 1355 St, Oxford, NS B3H 4R2, Canada; [Timmiss, Trent] Australian Fisheries Management Author, GPO Box 7051, Canberra, ACT 2601, Australia</t>
  </si>
  <si>
    <t>University of Wollongong; University of California System; University of California Santa Cruz; University of Tasmania; Dalhousie University</t>
  </si>
  <si>
    <t>Seto, K (corresponding author), Univ Wollongong, Australia Natl Ctr Ocean Resources &amp; Secur ANCORS, Bldg 233,Innovat Campus, Wollongong, NSW 2522, Australia.;Seto, K (corresponding author), Nippon Fdn Nereus Program, Vancouver, BC, Canada.;Seto, K (corresponding author), Univ Calif Santa Cruz, Environm Studies Dept, Interdisciplinary Sci Bldg, Santa Cruz, CA 95064 USA.</t>
  </si>
  <si>
    <t>klseto@ucsc.edu; ggalland@gmail.com; alice@nrepeople.com.au; angela.abolhassani@utas.edu.au; kamalyazmi@gmail.com; Hussain.Sinan@dal.ca; trent.timmiss@afma.gov.au; megan.bailey@dal.ca; hanich@uow.edu.au</t>
  </si>
  <si>
    <t>Hanich, Quentin/IUN-2548-2023; Azmi, Kamal/JXL-2914-2024</t>
  </si>
  <si>
    <t>Hanich, Quentin/0000-0001-9402-6233; Azmi, Kamal/0000-0003-0789-4492; Bailey, Megan/0000-0002-8645-3638; Sinan, Hussain/0000-0002-7441-1684; Abolhassani, Angela/0000-0002-4963-9724</t>
  </si>
  <si>
    <t>Nippon Foundation-Nereus Program; Nippon Foundation Ocean Nexus Center; University of Wollongong's Global Challenge Program; Australian Government Research Training Program Scholarship</t>
  </si>
  <si>
    <t>Nippon Foundation-Nereus Program; Nippon Foundation Ocean Nexus Center; University of Wollongong's Global Challenge Program; Australian Government Research Training Program Scholarship(Australian GovernmentDepartment of Industry, Innovation and Science)</t>
  </si>
  <si>
    <t>We would like to specifically thank Jason Barker, Nate Miller, Jamie Gibbon, Neil Hughes, Mat Kertesz, Jenny Baldwin, and Candice Visser who shared their knowledge, skills, and expertise for this study. We are also grateful for financial support from the Nippon Foundation-Nereus Program, Nippon Foundation Ocean Nexus Center, and University of Wollongong's Global Challenge Program (K. Seto and Q. Hanich); and the Australian Government Research Training Program Scholarship (K. Azmi).</t>
  </si>
  <si>
    <t>10.1007/s13280-020-01371-3</t>
  </si>
  <si>
    <t>PE5PJ</t>
  </si>
  <si>
    <t>WOS:000565814900002</t>
  </si>
  <si>
    <t>Cong, BL; Yin, XF; Deng, AF; Shen, JH; Tian, YQ; Wang, SY; Yang, HH</t>
  </si>
  <si>
    <t>Cong, Bailin; Yin, Xiaofei; Deng, Aifang; Shen, Jihong; Tian, Yongqi; Wang, Shaoyun; Yang, Huanghao</t>
  </si>
  <si>
    <t>Diversity of Cultivable Microbes From Soil of the Fildes Peninsula, Antarctica, and Their Potential Application</t>
  </si>
  <si>
    <t>Antarctica; cultivable microbes; novel species; enzymes; antifungal natural product</t>
  </si>
  <si>
    <t>PROTEASE; FUNGUS; COMMUNITIES; METABOLITES</t>
  </si>
  <si>
    <t>To explore the diversity and application potential of Antarctic microorganisms, 1208 strains bacteria and fungi were isolated from 5 samples collected from the Fildes Peninsula during China's 27th and 31st Antarctic expeditions. By using 16S and ITS sequence similarity alignment, 83 strains bacteria belonging to 20 genera and 30 strains fungi belonging to 7 genera were identified. Among them, 1 strains bacteria and 6 strains fungi showed low sequence similarity to the database, suggesting that they might be novel species. Physiological-biochemical characteristics showed that the identified bacteria could utilize many kinds of carbohydrates and that the identified fungi could produce several kinds of extracellular enzymes. The fungal strain MS-19, identified asAspergillus sydowii, possesses the potential to produce antifungal activity agents based on an activity-guided approach. Further isolation yielded four polyketones: versicone A (1), versicone B (2), 4-methyl-5,6-dihydro-2H-pyran-2-one (3), and (R)-(+)-sydowic acid (4). It should be noted that1displayed strong activity againstCandida albicans, with an MIC value of 3.91 mu g/mL.</t>
  </si>
  <si>
    <t>[Cong, Bailin; Yin, Xiaofei; Deng, Aifang; Shen, Jihong] Minist Nat Resources, Inst Oceanog 1, Qingdao, Peoples R China; [Tian, Yongqi; Wang, Shaoyun; Yang, Huanghao] Fuzhou Univ, Coll Biol Sci &amp; Engn, Fuzhou, Peoples R China</t>
  </si>
  <si>
    <t>First Institute of Oceanography, Ministry of Natural Resources; Ministry of Natural Resources of the People's Republic of China; Fuzhou University</t>
  </si>
  <si>
    <t>Shen, JH (corresponding author), Minist Nat Resources, Inst Oceanog 1, Qingdao, Peoples R China.;Tian, YQ; Wang, SY (corresponding author), Fuzhou Univ, Coll Biol Sci &amp; Engn, Fuzhou, Peoples R China.</t>
  </si>
  <si>
    <t>shenjihong@fio.org.cn; tianyongqi@fzu.edu.cn; shywang@fzu.edu.cn</t>
  </si>
  <si>
    <t>Yang, Huang-Hao/L-9905-2019; Wang, Shouchuang/HLW-0824-2023</t>
  </si>
  <si>
    <t>Wang, Shouchuang/0000-0002-5568-816X</t>
  </si>
  <si>
    <t>National Key R&amp;D Program of China [2018YFC1406701]; Basic Scientific Fund for National Public Research Institutes of China [2018Q03]; Chinese National Natural Science Foundation [41006102]; Natural Science Foundation of Fujian Province of China [2019J05032]</t>
  </si>
  <si>
    <t>National Key R&amp;D Program of China; Basic Scientific Fund for National Public Research Institutes of China; Chinese National Natural Science Foundation(National Natural Science Foundation of China (NSFC)); Natural Science Foundation of Fujian Province of China(Natural Science Foundation of Fujian Province)</t>
  </si>
  <si>
    <t>This work was supported by the National Key R&amp;D Program of China (Grant No: 2018YFC1406701), Basic Scientific Fund for National Public Research Institutes of China (Grant No. 2018Q03), Chinese National Natural Science Foundation (Grant No. 41006102), and Natural Science Foundation of Fujian Province of China (Grant No. 2019J05032).</t>
  </si>
  <si>
    <t>10.3389/fmicb.2020.570836</t>
  </si>
  <si>
    <t>NS8MD</t>
  </si>
  <si>
    <t>WOS:000572509000001</t>
  </si>
  <si>
    <t>Papale, M; Rizzo, C; Fani, R; Bertolino, M; Costa, G; Paytuví-Gallart, A; Schiaparelli, S; Michaud, L; Azzaro, M; Lo Giudice, A</t>
  </si>
  <si>
    <t>Papale, Maria; Rizzo, Carmen; Fani, Renato; Bertolino, Marco; Costa, Gabriele; Paytuvi-Gallart, Andreu; Schiaparelli, Stefano; Michaud, Luigi; Azzaro, Maurizio; Lo Giudice, Angelina</t>
  </si>
  <si>
    <t>Exploring the Diversity and Metabolic Profiles of Bacterial Communities Associated With Antarctic Sponges (Terra Nova Bay, Ross Sea)</t>
  </si>
  <si>
    <t>bacterial diversity; NGS; predictive metabolic profiling; sponge-bacteria association; Antarctica</t>
  </si>
  <si>
    <t>SIGNAL PRODUCTION; KIRKPATRICK; SYMBIOSIS; PORIFERA</t>
  </si>
  <si>
    <t>Complex cell-to-cell interactions (including the production of antibiotics and the quorum sensing phenomenon) occur between benthic marine organisms and bacteria, leading to the establishment of synergistic interactions, especially in extreme and harsh environments, such as Antarctica. Despite this, current data concerning the composition, host- and site-relatedness, and biotechnological values of the bacterial community associated with Antarctic sponges are limited to few works, resulting in a still fragmented and incomplete knowledge. In this context, a total of 11 sponge species (belonging to Demospongiae and Hexactinellida) from the Terra Nova Bay area (Ross Sea) were explored for the associated bacterial diversity by the ION Torrent sequencing. An additional predictive functional analysis on 16S rRNA gene data was performed to unravel metabolic and biotechnological potentials of the associated bacterial communities. Data obtained highlighted the predominance of Proteobacteria, mainly affiliated to Alpha- and Gammaproteobacteria. Retrieved phyla were similarly distributed across samples, with dissimilarities encountered for the spongeHaliclona(Rhizoniera)dancoi(Topsent, 1901). Functional prediction results suggested that the associated bacterial community may be involved in the biosynthesis of antibiotics, quorum sensing, and degradation of aromatic compounds.</t>
  </si>
  <si>
    <t>[Papale, Maria; Azzaro, Maurizio; Lo Giudice, Angelina] Natl Res Council CNR ISP, Inst Polar Sci, Messina, Italy; [Rizzo, Carmen] Natl Inst Biol, Dept BIOTECH, Stn Zool Anton Dohrn, Villa Pace, Messina, Italy; [Fani, Renato] Univ Florence, Dept Biol, Florence, Italy; [Bertolino, Marco; Costa, Gabriele; Schiaparelli, Stefano] Univ Genoa, Dept Earth Environm &amp; Life Sci DISTAV, Genoa, Italy; [Paytuvi-Gallart, Andreu] Sequentia Biotech SL, Barcelona, Spain; [Schiaparelli, Stefano] Univ Genoa, Italian Natl Antarct Museum MNA, Sect Genoa, Genoa, Italy; [Michaud, Luigi] Univ Messina, Dept Chem Biol Pharmaceut &amp; Environm Sci, Messina, Italy</t>
  </si>
  <si>
    <t>Consiglio Nazionale delle Ricerche (CNR); Istituto di Scienze Polari (ISP-CNR); Stazione Zoologica Anton Dohrn di Napoli; University of Florence; University of Genoa; University of Genoa; University of Messina</t>
  </si>
  <si>
    <t>Lo Giudice, A (corresponding author), Natl Res Council CNR ISP, Inst Polar Sci, Messina, Italy.</t>
  </si>
  <si>
    <t>angelina.logiudice@cnr.it</t>
  </si>
  <si>
    <t>azzaro, Maurizio/AAE-6784-2019; Bertolino, Marco/AAI-7707-2020; Rizzo, Carmen/AAA-3075-2022; Rizzo, Carmen/S-6285-2019; Costa, Gabriele/ABF-9784-2020; Papale, Maria/IVV-7230-2023</t>
  </si>
  <si>
    <t>azzaro, Maurizio/0000-0001-7885-2340; Costa, Gabriele/0000-0003-1766-5247;</t>
  </si>
  <si>
    <t>PNRA (Programma Nazionale di Ricerche in Antartide); Italian Ministry of Education and Research [PNRA 2013/AZ1.04, PNRA16_00020]</t>
  </si>
  <si>
    <t>PNRA (Programma Nazionale di Ricerche in Antartide); Italian Ministry of Education and Research(Ministry of Education, Universities and Research (MIUR))</t>
  </si>
  <si>
    <t>This research was supported by grants from the PNRA (Programma Nazionale di Ricerche in Antartide) and Italian Ministry of Education and Research (Research Projects PNRA 2013/AZ1.04 and PNRA16_00020).</t>
  </si>
  <si>
    <t>10.3389/fevo.2020.00268</t>
  </si>
  <si>
    <t>NP8XK</t>
  </si>
  <si>
    <t>WOS:000570454400001</t>
  </si>
  <si>
    <t>Zhang, LS; Chu, MY; Zong, MH; Yang, JG; Lou, WY</t>
  </si>
  <si>
    <t>Zhang, Lin-Shang; Chu, Mei-Yun; Zong, Min-Hua; Yang, Ji-Guo; Lou, Wen-Yong</t>
  </si>
  <si>
    <t>Facile and Green Production of Human Milk Fat Substitute through Rhodococcus opacus Fermentation</t>
  </si>
  <si>
    <t>fermentation; human milk fat substitute; Rhodococcus opacus; triacylglycerols</t>
  </si>
  <si>
    <t>MATURE BREAST-MILK; ACID-COMPOSITION; TRIACYLGLYCEROL; OIL; RICH; NMR; DHA</t>
  </si>
  <si>
    <t>Human milk fat substitute (HMFS) is a class of structured lipids widely used in infant formulas. Herein, HMFS was prepared by Rhodococcus opacus fermentation. The substrate oils suitable for HMFS production were coconut oil (66.1-57.5%), soybean oil (17.5-26.5%), high oleic acid sunflower oil (5.4-4.5%), Antarctic krill oil (9-9.5%), and fungal oil (2%). Six HMFSs were prepared, among which HMFS V and VI were similar to human milk fat from Chinese in terms of fatty acid composition and triacylglycerol species. The sn-2 position of HMFS was occupied by palmitic acid (49.31 and 43.48% in HMFS V and VI, respectively). The major triacylglycerols were OPL, OPO, and LPL, accounting for 15.90, 9.49, and 6.84 and 17.52, 8.44, and 8.55% in HMFS V and VI, respectively. This study is the first to prepare structured lipids intended for infant formula through fermentation, providing a novel strategy for the edible oil industry.</t>
  </si>
  <si>
    <t>[Zhang, Lin-Shang; Chu, Mei-Yun; Zong, Min-Hua; Lou, Wen-Yong] South China Univ Technol, Sch Food Sci &amp; Engn, Guangzhou 510641, Peoples R China; [Yang, Ji-Guo] South China Inst Collaborat Innovat, Dongguan 523808, Peoples R China</t>
  </si>
  <si>
    <t>South China University of Technology</t>
  </si>
  <si>
    <t>Lou, WY (corresponding author), South China Univ Technol, Sch Food Sci &amp; Engn, Guangzhou 510641, Peoples R China.</t>
  </si>
  <si>
    <t>wylou@scut.edu.cn</t>
  </si>
  <si>
    <t>Lou, Wenyong/0000-0003-3474-3446</t>
  </si>
  <si>
    <t>National Natural Science Foundation of China [21676104, 21878105]; National Key Research and Development Program of China [2017YFC1601003, 2018YFC1603400, 2018YFC1602100]; Science and Technology Program of Guangzhou [201904010360]; Key Research and Development Program of Guangdong Province [2019B020213001]; Fundamental Research Funds for the Central Universities [2019PY15]</t>
  </si>
  <si>
    <t>National Natural Science Foundation of China(National Natural Science Foundation of China (NSFC)); National Key Research and Development Program of China; Science and Technology Program of Guangzhou; Key Research and Development Program of Guangdong Province; Fundamental Research Funds for the Central Universities(Fundamental Research Funds for the Central Universities)</t>
  </si>
  <si>
    <t>The authors are grateful to the National Natural Science Foundation of China (21676104 and 21878105), National Key Research and Development Program of China (2017YFC1601003, 2018YFC1603400, and 2018YFC1602100), Science and Technology Program of Guangzhou (201904010360), Key Research and Development Program of Guangdong Province (2019B020213001), and Fundamental Research Funds for the Central Universities (2019PY15) for partially funding this work. The authors thank Prof. Yuanda Song (Shandong University of Technology, China) for kindly providing R. opacus.</t>
  </si>
  <si>
    <t>10.1021/acs.jafc.0c03185</t>
  </si>
  <si>
    <t>NO1ZE</t>
  </si>
  <si>
    <t>WOS:000569284100009</t>
  </si>
  <si>
    <t>Lee, JE; Brook, EJ; Bertler, NAN; Buizert, C; Baisden, T; Blunier, T; Ciobanu, VG; Conway, H; Dahl-Jensen, D; Fudge, TJ; Hindmarsh, R; Keller, ED; Parrenin, F; Severinghaus, JP; Vallelonga, P; Waddington, ED; Winstrup, M</t>
  </si>
  <si>
    <t>Lee, James E.; Brook, Edward J.; Bertler, Nancy A. N.; Buizert, Christo; Baisden, Troy; Blunier, Thomas; Ciobanu, V. Gabriela; Conway, Howard; Dahl-Jensen, Dorthe; Fudge, Tyler J.; Hindmarsh, Richard; Keller, Elizabeth D.; Parrenin, Frederic; Severinghaus, Jeffrey P.; Vallelonga, Paul; Waddington, Edwin D.; Winstrup, Mai</t>
  </si>
  <si>
    <t>An 83 000-year-old ice core from Roosevelt Island, Ross Sea, Antarctica</t>
  </si>
  <si>
    <t>CONTINUOUS-FLOW ANALYSIS; HIGH-RESOLUTION RECORD; ABRUPT CLIMATE-CHANGE; ISOTOPIC COMPOSITION; WEST ANTARCTICA; AIR-CONTENT; SIPLE-DOME; WD2014 CHRONOLOGY; SHEET ELEVATIONS; GAS RECORDS</t>
  </si>
  <si>
    <t>In 2013 an ice core was recovered from Roosevelt Island, an ice dome between two submarine troughs carved by paleo-ice-streams in the Ross Sea, Antarctica. The ice core is part of the Roosevelt Island Climate Evolution (RICE) project and provides new information about the past configuration of the West Antarctic Ice Sheet (WAIS) and its retreat during the last deglaciation. In this work we present the RICE17 chronology, which establishes the depth-age relationship for the top 754m of the 763m core. RICE17 is a composite chronology combining annual layer interpretations for 0-343m (Winstrup et al., 2019) with new estimates for gas and ice ages based on synchronization of CH4 and delta O-18(atm) records to corresponding records from the WAIS Divide ice core and by modeling of the gas age-ice age difference. Novel aspects of this work include the following: (1) an automated algorithm for multiproxy stratigraphic synchronization of high-resolution gas records; (2) synchronization using centennial-scale variations in methane for preanthropogenic time periods (60-720 m, 1971 CE to 30 ka), a strategy applicable for future ice cores; and (3) the observation of a continuous climate record back to similar to 65 ka providing evidence that the Roosevelt Island Ice Dome was a constant feature throughout the last glacial period.</t>
  </si>
  <si>
    <t>[Lee, James E.; Brook, Edward J.; Buizert, Christo] Oregon State Univ, Coll Earth Ocean &amp; Atmospher Sci, Corvallis, OR 97331 USA; [Bertler, Nancy A. N.] Victoria Univ Wellington, Antarctic Res Ctr, Wellington, New Zealand; [Bertler, Nancy A. N.; Baisden, Troy; Keller, Elizabeth D.] GNS Sci, Lower Hutt 5010, New Zealand; [Blunier, Thomas; Ciobanu, V. Gabriela; Dahl-Jensen, Dorthe; Vallelonga, Paul; Winstrup, Mai] Univ Copenhagen, Ctr Ice &amp; Climate, Niels Bohr Inst, Copenhagen, Denmark; [Conway, Howard; Fudge, Tyler J.; Waddington, Edwin D.] Univ Washington, Dept Earth &amp; Space Sci, Seattle, WA 98195 USA; [Hindmarsh, Richard] British Antarctic Survey, Cambridge CB3 0ET, England; [Parrenin, Frederic] Univ Grenoble Alpes, CNRS, Inst Rech Dev, Inst Geosci Environm, F-38000 Grenoble, France; [Severinghaus, Jeffrey P.] Univ Calif San Diego, Scripps Inst Oceanog, La Jolla, CA 92093 USA; [Baisden, Troy] Univ Waikato, Fac Sci &amp; Engn, Hamilton, New Zealand</t>
  </si>
  <si>
    <t>Oregon State University; Victoria University Wellington; GNS Science - New Zealand; University of Copenhagen; Niels Bohr Institute; University of Washington; University of Washington Seattle; UK Research &amp; Innovation (UKRI); Natural Environment Research Council (NERC); NERC British Antarctic Survey; Communaute Universite Grenoble Alpes; Universite Grenoble Alpes (UGA); Institut de Recherche pour le Developpement (IRD); Centre National de la Recherche Scientifique (CNRS); University of California System; University of California San Diego; Scripps Institution of Oceanography; University of Waikato</t>
  </si>
  <si>
    <t>Lee, JE (corresponding author), Oregon State Univ, Coll Earth Ocean &amp; Atmospher Sci, Corvallis, OR 97331 USA.</t>
  </si>
  <si>
    <t>jlee@coas.oregonstate.edu</t>
  </si>
  <si>
    <t>Hindmarsh, Richard C A/C-1405-2012; Keller, Elizabeth D/O-1520-2013; Keller, Elizabeth Diane/GLN-5354-2022; Brook, Edward/AAB-7807-2021; Dahl-Jensen, Dorthe/AAO-6951-2020; Vallelonga, Paul/I-9650-2016; Ciobanu, Viorela Gabriela/AAQ-5556-2021; Winstrup, Mai/M-5844-2014; Blunier, Thomas/M-4609-2014; Parrenin, Frederic/H-3054-2014; Baisden, W. Troy/B-9831-2008</t>
  </si>
  <si>
    <t>Dahl-Jensen, Dorthe/0000-0002-1474-1948; Ciobanu, Viorela Gabriela/0000-0001-8508-9486; Winstrup, Mai/0000-0002-4794-4004; Bertler, Nancy/0000-0001-6028-4891; Blunier, Thomas/0000-0002-6065-7747; Parrenin, Frederic/0000-0002-9489-3991; Baisden, W. Troy/0000-0003-1814-1306; Lee, James/0000-0002-9137-1530; Conway, Howard/0000-0003-4634-3474</t>
  </si>
  <si>
    <t>US National Science Foundation [0944021, 0837883, 0944307, 1042883, 1643394]; New Zealand Ministry of Business, Innovation, and Employment [RDF-VUW1103, 15-VUW-131, 540GCT32, 540GCT12, K049]; Carlsberg Foundation; European Research Council (ICE2ICE) [610055]; NERC [NE/J008087/1, bas010011] Funding Source: UKRI; European Research Council (ERC) [610055] Funding Source: European Research Council (ERC)</t>
  </si>
  <si>
    <t>US National Science Foundation(National Science Foundation (NSF)); New Zealand Ministry of Business, Innovation, and Employment(New Zealand Ministry of Business, Innovation and Employment (MBIE)); Carlsberg Foundation(Carlsberg Foundation); European Research Council (ICE2ICE); NERC(UK Research &amp; Innovation (UKRI)Natural Environment Research Council (NERC)); European Research Council (ERC)(European Research Council (ERC)Spanish Government)</t>
  </si>
  <si>
    <t>This research has been supported by the US National Science Foundation (grant nos. 0944021, 0837883, 0944307, 1042883, and 1643394), the New Zealand Ministry of Business, Innovation, and Employment (grant nos. RDF-VUW1103, 15-VUW-131, 540GCT32, 540GCT12, and K049), the Carlsberg Foundation, and the European Research Council (ICE2ICE (grant no. 610055)).</t>
  </si>
  <si>
    <t>10.5194/cp-16-1691-2020</t>
  </si>
  <si>
    <t>NO0AR</t>
  </si>
  <si>
    <t>WOS:000569150600001</t>
  </si>
  <si>
    <t>Miller, JZ; Long, DG; Jezek, KC; Johnson, JT; Brodzik, MJ; Shuman, CA; Koenig, LS; Scambos, TA</t>
  </si>
  <si>
    <t>Miller, Julie Z.; Long, David G.; Jezek, Kenneth C.; Johnson, Joel T.; Brodzik, Mary J.; Shuman, Christopher A.; Koenig, Lora S.; Scambos, Ted A.</t>
  </si>
  <si>
    <t>Brief communication: Mapping Greenland's perennial firn aquifers using enhanced-resolution L-band brightness temperature image time series</t>
  </si>
  <si>
    <t>MELTWATER STORAGE</t>
  </si>
  <si>
    <t>Enhanced-resolution L-band brightness temperature (T-B) image time series generated from observations collected over the Greenland Ice Sheet by NASA's Soil Moisture Active Passive (SMAP) satellite are used to map Greenland's perennial firn aquifers from space. Exponentially decreasing L-band T-B signatures are correlated with perennial firm aquifer areas identified via the Center for Remote Sensing of Ice Sheets (CReSIS) Multi-Channel Coherent Radar Depth Sounder (MCoRDS) that was flown by NASA's Operation IceBridge (OIB) campaign. An empirical algorithm to map extent is developed by fitting these signatures to a set of sigmoidal curves. During the spring of 2016, perennial firm aquifer areas are found to extend over similar to 66 000 km(2).</t>
  </si>
  <si>
    <t>[Miller, Julie Z.; Brodzik, Mary J.; Koenig, Lora S.; Scambos, Ted A.] Univ Colorado, Cooperat Inst Res Environm Sci, Boulder, CO 80309 USA; [Miller, Julie Z.; Scambos, Ted A.] Univ Colorado, Earth Sci &amp; Observat Ctr, Boulder, CO 80309 USA; [Long, David G.] Brigham Young Univ, Dept Elect &amp; Comp Engn, Provo, UT 84602 USA; [Jezek, Kenneth C.] Ohio State Univ, Byrd Polar &amp; Climate Res Ctr, Columbus, OH 43210 USA; [Johnson, Joel T.] Ohio State Univ, Dept Elect &amp; Comp Engn, Columbus, OH 43210 USA; [Brodzik, Mary J.; Koenig, Lora S.] Univ Colorado, Natl Snow &amp; Ice Data Ctr, Boulder, CO 80309 USA; [Shuman, Christopher A.] Univ Maryland Baltimore Cty, Joint Ctr Earth Syst Technol Code 615, Cryospher Sci Lab, NASA Goddard Space Flight Ctr, Greenbelt, MD USA</t>
  </si>
  <si>
    <t>University of Colorado System; University of Colorado Boulder; University of Colorado System; University of Colorado Boulder; Brigham Young University; University System of Ohio; Ohio State University; University System of Ohio; Ohio State University; University of Colorado System; University of Colorado Boulder; National Aeronautics &amp; Space Administration (NASA); NASA Goddard Space Flight Center; University System of Maryland; University of Maryland Baltimore County</t>
  </si>
  <si>
    <t>Miller, JZ (corresponding author), Univ Colorado, Cooperat Inst Res Environm Sci, Boulder, CO 80309 USA.;Miller, JZ (corresponding author), Univ Colorado, Earth Sci &amp; Observat Ctr, Boulder, CO 80309 USA.</t>
  </si>
  <si>
    <t>jzmiller.research@gmail.com</t>
  </si>
  <si>
    <t>Brodzik, Mary J/E-3191-2016</t>
  </si>
  <si>
    <t>KOENIG, LORA/0000-0002-6057-8483; SCAMBOS, Ted A./0000-0003-4268-6322; Miller, J. Z./0000-0003-1452-1627</t>
  </si>
  <si>
    <t>NASA Instrument Incubator Program [NNX14AE68G]; NASA Cryospheric Science Program [80NSSC18K1055, 80NSSC18K0550]; NSF Antarctic Glaciology Program [PLR-1745116]; NASA Headquarters Cryospheric Science Program; NASA ROSES Program Element Science Utilization of Soil Moisture Active Passive Mission [NNX16AN01G]; University of Colorado at Boulder [NNX16AN02G]; NASA [684163, NNX14AE68G] Funding Source: Federal RePORTER</t>
  </si>
  <si>
    <t>NASA Instrument Incubator Program; NASA Cryospheric Science Program; NSF Antarctic Glaciology Program(National Science Foundation (NSF)NSF - Directorate for Geosciences (GEO)); NASA Headquarters Cryospheric Science Program; NASA ROSES Program Element Science Utilization of Soil Moisture Active Passive Mission; University of Colorado at Boulder; NASA(National Aeronautics &amp; Space Administration (NASA))</t>
  </si>
  <si>
    <t>This research has been supported by the NASA Instrument Incubator Program (no. NNX14AE68G) and the NASA Cryospheric Science Program (no. 80NSSC18K0550) under grants to The Ohio State University and by the NASA Cryospheric Science Program (no. 80NSSC18K1055) and the NSF Antarctic Glaciology Program (no. PLR-1745116) under grants to the University of Colorado. Additional support was provided by NASA Headquarters Cryospheric Science Program. Development and production of the enhanced-resolution SMAP data used for this research was supported by NASA ROSES Program Element Science Utilization of Soil Moisture Active Passive Mission under grants to Brigham Young University (no. NNX16AN01G) and the University of Colorado at Boulder (no. NNX16AN02G).</t>
  </si>
  <si>
    <t>10.5194/tc-14-2809-2020</t>
  </si>
  <si>
    <t>NM0QT</t>
  </si>
  <si>
    <t>WOS:000567810500001</t>
  </si>
  <si>
    <t>RETRACTION: Structured Decision-Making Identifies Effective Strategies and Potential Barriers for Ecosystem-Based Management of a Range-Extending Species in a Global Marine Hotspot (Retraction of Vol 22, Pg 1573, 2019)</t>
  </si>
  <si>
    <t>Retraction</t>
  </si>
  <si>
    <t>The authors are retracting this article [1] because of confidentiality reasons. The article has been removed to protect the privacy of an individual. All authors agree to this retraction.</t>
  </si>
  <si>
    <t>[Robinson, Lucy M.; Marzloff, Martin P.; Tracey, Sean; Hartmann, Klaas] Inst Marine &amp; Antarctic Studies, Hobart, Tas 7001, Australia; [Robinson, Lucy M.] Univ Western Australia, Oceans Inst, Perth, WA 6009, Australia; [Robinson, Lucy M.] Univ Western Australia, Oceans Grad Sch, Perth, WA 6009, Australia; [van Putten, Ingrid; Pecl, Gretta; Hobday, Alistair J.] CSIRO Oceans &amp; Atmosphere, Hobart, Tas 7000, Australia; [van Putten, Ingrid; Pecl, Gretta; Jennings, Sarah; Hobday, Alistair J.; Tracey, Sean; Haward, Marcus; Frusher, Stewart] Univ Tasmania, Ctr Marine Socioecol, Hobart, Tas 7000, Australia; [Nicol, Sam] CSIRO Land &amp; Water, Dutton Pk, Qld 4102, Australia; [Marzloff, Martin P.] IFREMER Ctr Bretagne, DYNECO Benth Ecol Lab LEBCO, CS 10070, F-29280 Plouzane, France; [Robinson, Lucy M.] CSIRO Oceans &amp; Atmosphere, Crawley, WA 6009, Australia; [Jennings, Sarah] Univ Tasmania, Tasmanian Sch Business &amp; Econ, Hobart, Tas 7000, Australia</t>
  </si>
  <si>
    <t>Hartmann, Klaas/B-3991-2008; Haward, Marcus/G-3369-2014; Jennings, Sarah M/J-7888-2014; van putten, ingrid/AAV-1301-2021; Pecl, Gretta/D-7267-2011; Hobday, Alistair/A-1460-2012; Tracey, Sean/J-7446-2014</t>
  </si>
  <si>
    <t>van putten, ingrid/0000-0001-8397-9768; Pecl, Gretta/0000-0003-0192-4339; Tracey, Sean/0000-0002-6735-5899</t>
  </si>
  <si>
    <t>10.1007/s10021-020-00549-w</t>
  </si>
  <si>
    <t>WOS:000565485700001</t>
  </si>
  <si>
    <t>Russell, AL; Gillanders, BM; Barnes, TC; Johnson, DD; Taylor, MD</t>
  </si>
  <si>
    <t>Russell, Angela L.; Gillanders, Bronwyn M.; Barnes, Thomas C.; Johnson, Daniel D.; Taylor, Matthew D.</t>
  </si>
  <si>
    <t>Inter-estuarine Variation in Otolith Chemistry in a Large Coastal Predator: a Viable Tool for Identifying Coastal Nurseries?</t>
  </si>
  <si>
    <t>ESTUARIES AND COASTS</t>
  </si>
  <si>
    <t>Otolith chemistry; Mulloway; Juvenile nurseries; Connectivity; Strontium; Barium</t>
  </si>
  <si>
    <t>MULLOWAY ARGYROSOMUS-JAPONICUS; LIFE-HISTORY PATTERNS; FRESH-WATER; POPULATION-STRUCTURE; ELEMENTAL FINGERPRINTS; AUSTRALIAN ESTUARIES; SPATIAL VARIABILITY; INTRINSIC-FACTORS; MARINE NURSERIES; HAWKESBURY RIVER</t>
  </si>
  <si>
    <t>Coastal estuaries provide essential juvenile habitat for many commercially and recreationally important fish, which may move between estuarine and coastal environments throughout their life. Identifying the most important estuarine nurseries that contribute to the broader stock can support targeted management of juvenile and spawning populations. The objective of this study was to (1) compare chemical fingerprints within sagittal otoliths of juvenile Mulloway (Argyrosomus japonicus) sampled from putative south-eastern Australian nurseries, (2) assess their potential as natural tags to distinguish nursery grounds for the broader coastal Mulloway stock and (3) assess the viability of otolith chemistry as a fisheries management tool when limited to opportunistic, fisheries-dependant, otolith sample collection from by-catch. Otoliths from juvenile Mulloway (0 to 3 years, 4 to 44.8 cm total length) were obtained from 8 major estuaries and 2 inshore ocean locations along coastal south-eastern New South Wales, Australia, from April 2015 to July 2018. Concentrations of Sr, Ba, Mg, Mn and Li in the otolith region corresponding to the juvenile nursery stage were determined using laser ablation-inductively coupled plasma-mass spectrometry (LA-ICP-MS). The element to Ca ratios of fish from coastal estuaries differed significantly among collection areas, based upon multivariate elemental fingerprints, with some exceptions. When the otoliths of fish were analysed in a multinomial logistic regression (MLR) classifier, there was an overall mean allocation success of 59% to the estuary of capture. This study highlights the use of otolith 'fingerprints' as natural tags in Mulloway, and contributes to progressive research in environmental reconstruction applications of otolith chemistry.</t>
  </si>
  <si>
    <t>[Russell, Angela L.; Barnes, Thomas C.; Johnson, Daniel D.; Taylor, Matthew D.] Port Stephens Fisheries Inst, New South Wales Dept Primary Ind, Locked Bag 1, Nelson Bay, NSW 2315, Australia; [Russell, Angela L.; Gillanders, Bronwyn M.] Univ Adelaide, Sch Biol Sci, Southern Seas Ecol Labs, Adelaide, SA 5005, Australia; [Barnes, Thomas C.] Univ Tasmania, Inst Marine &amp; Antarctic Studies, Hobart, Tas, Australia</t>
  </si>
  <si>
    <t>NSW Department of Primary Industries; University of Adelaide; University of Tasmania</t>
  </si>
  <si>
    <t>Russell, AL (corresponding author), Port Stephens Fisheries Inst, New South Wales Dept Primary Ind, Locked Bag 1, Nelson Bay, NSW 2315, Australia.;Russell, AL (corresponding author), Univ Adelaide, Sch Biol Sci, Southern Seas Ecol Labs, Adelaide, SA 5005, Australia.</t>
  </si>
  <si>
    <t>angela.russell@dpi.nsw.gov.au</t>
  </si>
  <si>
    <t>Taylor, Matthew David/IRZ-9539-2023; Taylor, Matthew/HMP-1929-2023; Johnson, Daniel D/N-9305-2016</t>
  </si>
  <si>
    <t>Taylor, Matthew David/0000-0002-1519-9521; Barnes, Thomas C./0000-0003-1493-1407; Russell, Angela/0000-0002-8628-5961</t>
  </si>
  <si>
    <t>Fisheries Research and Development Corporation on behalf of the Australian Government [2016/020]; Australian Government Research Training Program Scholarship at the University of Adelaide</t>
  </si>
  <si>
    <t>Fisheries Research and Development Corporation on behalf of the Australian Government(Fisheries R&amp;D Corp); Australian Government Research Training Program Scholarship at the University of Adelaide</t>
  </si>
  <si>
    <t>The authors wish to thank the NSW Fishermen's Co-operatives and NSW commercial fishers who contributed to the project. We thank Adelaide Microscopy (AM) and Microscopy Australia, with special thanks to S. Gilbert and B. Wade at the LA-ICP-MS unit (AM) for technical assistance. Many thanks go to the NSW Recreational Anglers Program, and A. Gould, J. Hughes, C. Stanley and A. Pidd. Animal handling was permitted under the University of Adelaide's Animal Ethics Approval (S-2018-014) and Animal Research Authority NSW DPI 07/03. This project was supported by the Fisheries Research and Development Corporation on behalf of the Australian Government (project 2016/020), and financial support was provided to A.L.R. through an Australian Government Research Training Program Scholarship at the University of Adelaide.</t>
  </si>
  <si>
    <t>1559-2723</t>
  </si>
  <si>
    <t>1559-2731</t>
  </si>
  <si>
    <t>ESTUAR COAST</t>
  </si>
  <si>
    <t>Estuaries Coasts</t>
  </si>
  <si>
    <t>10.1007/s12237-020-00825-x</t>
  </si>
  <si>
    <t>RQ4VF</t>
  </si>
  <si>
    <t>WOS:000565481100002</t>
  </si>
  <si>
    <t>Morozov, E. G.; Frey, D., I; Tarakanov, R. Yu</t>
  </si>
  <si>
    <t>Antarctic Bottom Water Flow through the Eastern Part of the Philip Passage in the Weddell Sea</t>
  </si>
  <si>
    <t>Antarctic Bottom Water; Weddell Sea; Philip Passage; Scotia Sea; currents</t>
  </si>
  <si>
    <t>Measurements of currents and Antarctic Bottom Water properties overflowing the sill from the Weddell to the Scotia Sea are described. The bottom water overflows the sill of one of the passages through the South Scotia Ridge (eastern part of the Philip Passage approximately at 48 degrees W). A weak flow of Weddell Sea Deep Water to the north was found. The northward flow was recorded only in the western part of the passage, which is 14 km wide. The velocity of the flow is 4 cm/s; the bottom water transport is 0.1-0.2 Sv.</t>
  </si>
  <si>
    <t>[Morozov, E. G.; Frey, D., I; Tarakanov, R. Yu] Russian Acad Sci, Shirshov Inst Oceanol, Moscow, Russia</t>
  </si>
  <si>
    <t>Morozov, EG (corresponding author), Russian Acad Sci, Shirshov Inst Oceanol, Moscow, Russia.</t>
  </si>
  <si>
    <t>Morozov, Eugene G/L-3023-2018; Tarakanov, Roman/R-3325-2016</t>
  </si>
  <si>
    <t>Tarakanov, Roman/0000-0002-8711-1859</t>
  </si>
  <si>
    <t>Russian Science Foundation [16-17-10149]; Russian Foundation for Basic Research [20-08-00246]; [0128-2019-0008]</t>
  </si>
  <si>
    <t>Russian Science Foundation(Russian Science Foundation (RSF)); Russian Foundation for Basic Research(Russian Foundation for Basic Research (RFBR)Spanish Government);</t>
  </si>
  <si>
    <t>The study was carried out under state task no. 0128-2019-0008. Analysis of CTD data was supported by the Russian Science Foundation (grant no. 16-17-10149), and in situ oceanographic measurements were supported by the Russian Foundation for Basic Research (project no. 20-08-00246).</t>
  </si>
  <si>
    <t>10.1134/S000143702005015X</t>
  </si>
  <si>
    <t>QQ5HY</t>
  </si>
  <si>
    <t>WOS:000624555400002</t>
  </si>
  <si>
    <t>Novigatsky, AN; Lisitzin, AP; Klyuvitkin, AA</t>
  </si>
  <si>
    <t>Novigatsky, A. N.; Lisitzin, A. P.; Klyuvitkin, A. A.</t>
  </si>
  <si>
    <t>Dispersed Sedimentary Matter in the Marine Cryosystem: Snow-Drifting Ice-Icewater of the Arctic and Antarctic</t>
  </si>
  <si>
    <t>dispersed sedimentary matter; sea ice; Arctic; Antarctica</t>
  </si>
  <si>
    <t>A comparative description of sedimentary matter in the snow-ice cover of the Circumpolar Arctic and fast ice of the Antarctic is given. The main distribution patterns of dispersed sedimentary matter in the marine cryosystem of snow-sea ice-ice water of the Arctic and Antarctica are obtained. Sedimentary matter fluxes from the bottom of sea ice to the ocean bottom are calculated.</t>
  </si>
  <si>
    <t>[Novigatsky, A. N.; Lisitzin, A. P.; Klyuvitkin, A. A.] Russian Acad Sci, Shirshov Inst Oceanol, Moscow, Russia</t>
  </si>
  <si>
    <t>Novigatsky, AN (corresponding author), Russian Acad Sci, Shirshov Inst Oceanol, Moscow, Russia.</t>
  </si>
  <si>
    <t>novigatsky@ocean.ru</t>
  </si>
  <si>
    <t>Klyuvitkin, Alexey/B-3788-2017; Novigatsky, A.N./D-5591-2017</t>
  </si>
  <si>
    <t>Klyuvitkin, Alexey/0000-0002-8739-6321; Novigatsky, A.N./0000-0003-2814-878X</t>
  </si>
  <si>
    <t>Russian Science Foundation [20-17-00157, 19-17-00234]; Russian Foundation for Basic Research [19-05-00022]; state task of IO RAS for 2019-2020 [0149-2019-0007]; Russian Science Foundation [20-17-00157] Funding Source: Russian Science Foundation</t>
  </si>
  <si>
    <t>Russian Science Foundation(Russian Science Foundation (RSF)); Russian Foundation for Basic Research(Russian Foundation for Basic Research (RFBR)Spanish Government); state task of IO RAS for 2019-2020; Russian Science Foundation(Russian Science Foundation (RSF))</t>
  </si>
  <si>
    <t>The material was processed with the financial support of the Russian Science Foundation (grant no. 20-17-00157; C/N-analysis for grant no. 19-17-00234); determination of organic carbon was funded by the Russian Foundation for Basic Research (project no. 19-05-00022), and data were interpreted as part of the state task of IO RAS for 2019-2020 (topic no. 0149-2019-0007).</t>
  </si>
  <si>
    <t>10.1134/S0001437020050185</t>
  </si>
  <si>
    <t>WOS:000624555400008</t>
  </si>
  <si>
    <t>Morozov, EG; Spiridonov, VA; Molodtsova, TN; Frey, DI; Demidova, TA; Flint, MV</t>
  </si>
  <si>
    <t>Morozov, E. G.; Spiridonov, V. A.; Molodtsova, T. N.; Frey, D., I; Demidova, T. A.; Flint, M., V</t>
  </si>
  <si>
    <t>Investigations of the Ecosystem in the Atlantic Sector of Antarctica (Cruise 79 of the R/V Akademik Mstislav Keldysh)</t>
  </si>
  <si>
    <t>Antarctica; Drake Passage; Bransfield Strait; Weddell Sea; Powell Basin; Antarctic Circumpolar Current; ecosystem; biological productivity</t>
  </si>
  <si>
    <t>Field works on cruise 79 of the R/V Akademik Mstislav Keldysh aimed at investigating the ecosystems in the Atlantic sector of Antarctica were conducted from January 16 to March 1, 2020. Hydrophysical and biological studies were carried out in the Drake Passage and the Bransfield and Antarctic Sound straits. The regions of Russian fishery interest were covered. Data were collected that characterize the environmental state; plankton communities, including krill, ichthyoplankton, macronecton; bottom fauna; and spatiotemporal variations in the most important ecosystem components.</t>
  </si>
  <si>
    <t>[Morozov, E. G.; Spiridonov, V. A.; Molodtsova, T. N.; Frey, D., I; Demidova, T. A.; Flint, M., V] Russian Acad Sci, Shirshov Inst Oceanol, Moscow 117997, Russia</t>
  </si>
  <si>
    <t>Morozov, EG (corresponding author), Russian Acad Sci, Shirshov Inst Oceanol, Moscow 117997, Russia.</t>
  </si>
  <si>
    <t>Flint, Mikhail/ABA-4039-2021; Morozov, Eugene G/L-3023-2018; Molodtsova, Tina N/E-1838-2015</t>
  </si>
  <si>
    <t>Flint, Mikhail/0000-0003-4185-9412;</t>
  </si>
  <si>
    <t>[0128-2019-0008]</t>
  </si>
  <si>
    <t>The expedition was financed under state task no. 0128-2019-0008.</t>
  </si>
  <si>
    <t>10.1134/S0001437020050161</t>
  </si>
  <si>
    <t>WOS:000624555400015</t>
  </si>
  <si>
    <t>Palmer, MD; Gregory, JM; Bagge, M; Calvert, D; Hagedoorn, JM; Howard, T; Klemann, V; Lowe, JA; Roberts, CD; Slangen, ABA; Spada, G</t>
  </si>
  <si>
    <t>Palmer, M. D.; Gregory, J. M.; Bagge, M.; Calvert, D.; Hagedoorn, J. M.; Howard, T.; Klemann, V.; Lowe, J. A.; Roberts, C. D.; Slangen, A. B. A.; Spada, G.</t>
  </si>
  <si>
    <t>Exploring the Drivers of Global and Local Sea-Level Change Over the 21st Century and Beyond</t>
  </si>
  <si>
    <t>EARTHS FUTURE</t>
  </si>
  <si>
    <t>climate change; CMIP5 models; RCP scenarios; sea-level projections; tide gauge observations</t>
  </si>
  <si>
    <t>CLIMATE-CHANGE; RISE; MODEL; PROJECTIONS; CMIP5; BALANCE; EARTH; ANTARCTICA; EQUATION; SURFACE</t>
  </si>
  <si>
    <t>We present a new set of global and local sea-level projections at example tide gauge locations under the RCP2.6, RCP4.5, and RCP8.5 emissions scenarios. Compared to the CMIP5-based sea-level projections presented in IPCC AR5, we introduce a number of methodological innovations, including (i) more comprehensive treatment of uncertainties, (ii) direct traceability between global and local projections, and (iii) exploratory extended projections to 2300 based on emulation of individual CMIP5 models. Combining the projections with observed tide gauge records, we explore the contribution to total variance that arises from sea-level variability, different emissions scenarios, and model uncertainty. For the period out to 2300 we further breakdown the model uncertainty by sea-level component and consider the dependence on geographic location, time horizon, and emissions scenario. Our analysis highlights the importance of local variability for sea-level change in the coming decades and the potential value of annual-to-decadal predictions of local sea-level change. Projections to 2300 show a substantial degree of committed sea-level rise under all emissions scenarios considered and highlight the reduced future risk associated with RCP2.6 and RCP4.5 compared to RCP8.5. Tide gauge locations can show large (&gt;50%) departures from the global average, in some cases even reversing the sign of the change. While uncertainty in projections of the future Antarctic ice dynamic response tends to dominate post-2100, we see substantial differences in the breakdown of model variance as a function of location, time scale, and emissions scenario. Key Points We have developed a new set of global and local sea-level projections for the 21st century and extended to 2300 that are rooted in CMIP5 climate model simulations, including more comprehensive treatment of uncertainty than previously reported in IPCC AR5 Analysis of local sea-level projections and tide gauge data suggests that local variability will dominate the total variance in sea-level change for the coming decades at all locations considered The extended sea-level projections highlight the substantial multicentury sea-level rise commitment under all RCP scenarios and the dependence of modeling uncertainty on geographic location, time horizon, and climate scenario</t>
  </si>
  <si>
    <t>[Palmer, M. D.; Gregory, J. M.; Calvert, D.; Howard, T.; Lowe, J. A.; Roberts, C. D.] Met Off Hadley Ctr, Exeter, Devon, England; [Gregory, J. M.] Univ Reading, Reading, Berks, England; [Bagge, M.; Klemann, V.] GFZ German Res Ctr Geosci, Helmholtz Ctr Potsdam, Potsdam, Germany; [Hagedoorn, J. M.] Univ Potsdam, Potsdam, Germany; [Roberts, C. D.] ECMWF, Reading, Berks, England; [Slangen, A. B. A.] Royal Netherlands Inst Sea Res, Texel, Netherlands; [Spada, G.] Univ Urbino Carlo Bo, Urbino, Italy</t>
  </si>
  <si>
    <t>Met Office - UK; Hadley Centre; University of Reading; Helmholtz Association; Helmholtz-Center Potsdam GFZ German Research Center for Geosciences; University of Potsdam; European Centre for Medium-Range Weather Forecasts (ECMWF); Utrecht University; Royal Netherlands Institute for Sea Research (NIOZ); University of Urbino</t>
  </si>
  <si>
    <t>Palmer, MD (corresponding author), Met Off Hadley Ctr, Exeter, Devon, England.</t>
  </si>
  <si>
    <t>matthew.palmer@metoffice.gov.uk</t>
  </si>
  <si>
    <t>Gregory, Jonathan/J-2939-2016; Roberts, Christopher D/GRR-4034-2022; Roberts, Christopher David/AAA-6692-2020; Roberts, Christopher D/F-6197-2011; Lowe, Jason/GQI-4036-2022; Klemann, Volker/H-3660-2013; Slangen, Aimee/H-5839-2015</t>
  </si>
  <si>
    <t>Gregory, Jonathan/0000-0003-1296-8644; Roberts, Christopher D/0000-0002-2958-6637; Roberts, Christopher David/0000-0002-2958-6637; Roberts, Christopher D/0000-0002-2958-6637; Bagge, Meike/0000-0002-2011-5644; Klemann, Volker/0000-0002-8342-8947; Slangen, Aimee/0000-0001-6268-6683; Palmer, Matthew/0000-0001-7422-198X; Howard, Tom/0000-0001-5951-9307; Hagedoorn, Jan M/0000-0002-6500-0285</t>
  </si>
  <si>
    <t>Met Office Hadley Centre Climate Programme - BEIS; Defra; German climate modeling project PalMod - German Federal Ministry of Education and Research (BMBF) [FKZ: 01LP1502E]; FFABR (Finanziamento delle Attivita Base di Ricerca) grant of the MIUR (Ministero dell'Istruzione, dell'Universita e della Ricerca); DiSPeA (Dipartimento di Scienze Pure e Applicate of the Urbino University); NERC [ncas10014] Funding Source: UKRI</t>
  </si>
  <si>
    <t>Met Office Hadley Centre Climate Programme - BEIS; Defra(Department for Environment, Food &amp; Rural Affairs (DEFRA)); German climate modeling project PalMod - German Federal Ministry of Education and Research (BMBF)(Federal Ministry of Education &amp; Research (BMBF)); FFABR (Finanziamento delle Attivita Base di Ricerca) grant of the MIUR (Ministero dell'Istruzione, dell'Universita e della Ricerca); DiSPeA (Dipartimento di Scienze Pure e Applicate of the Urbino University); NERC(UK Research &amp; Innovation (UKRI)Natural Environment Research Council (NERC))</t>
  </si>
  <si>
    <t>M. P., J. G., D. C., T. H., J. L., and C. R. were supported by the Met Office Hadley Centre Climate Programme funded by the BEIS and Defra. M. B. was funded by the German climate modeling project PalMod (FKZ: 01LP1502E) supported by the German Federal Ministry of Education and Research (BMBF) as a Research for Sustainability initiative (FONA). V. K. and PalMod (FKZ:01LP1502E and FKZ:01LP1503A) as well as to the Helmholtz project, Advanced Earth System Modelling Capacity (ESM). G. S. was funded by an FFABR (Finanziamento delle Attivita Base di Ricerca) grant of the MIUR (Ministero dell'Istruzione, dell'Universita e della Ricerca) and by a DiSPeA (Dipartimento di Scienze Pure e Applicate of the Urbino University) research grant. We acknowledge the World Climate Research Programme's Working Group on Coupled Modelling, which is responsible for CMIP, and we thank the climate modeling groups (listed in Table S2)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We would like to thank two anonymous reviewers for providing constructive comments on an earlier version of this paper.</t>
  </si>
  <si>
    <t>2328-4277</t>
  </si>
  <si>
    <t>Earth Future</t>
  </si>
  <si>
    <t>e2019EF001413</t>
  </si>
  <si>
    <t>10.1029/2019EF001413</t>
  </si>
  <si>
    <t>NY5BW</t>
  </si>
  <si>
    <t>WOS:000576405800004</t>
  </si>
  <si>
    <t>Yu, CC; Yan, JP; Zhang, HH; Lin, Q; Zheng, HG; Zhong, XL; Zhao, SL; Zhang, MM; Zhao, SH; Li, XJ</t>
  </si>
  <si>
    <t>Yu, Congcong; Yan, Jinpei; Zhang, Honghai; Lin, Qi; Zheng, Hongguo; Zhong, Xinlin; Zhao, Suli; Zhang, Miming; Zhao, Shuhui; Li, Xiaojun</t>
  </si>
  <si>
    <t>Characteristics of Aerosol WSI With High-Time-Resolution Observation Over Arctic Ocean</t>
  </si>
  <si>
    <t>WATER-SOLUBLE IONS; METHANESULFONIC-ACID; ATMOSPHERIC DEPOSITION; CHEMICAL-COMPOSITION; NITROGEN DEPOSITION; SEASONAL-VARIATIONS; SIZE DISTRIBUTION; DIMETHYL SULFIDE; SMOKE EVENT; YELLOW SEA</t>
  </si>
  <si>
    <t>In the current study, the characteristics of aerosol water-soluble ions (WSI) were investigated via high-time-resolution observations as part of the nineth Chinese National Arctic Research Expedition (CHINARE) in 2018. WSI, including Cl-, SO42-, NO3-, NO2-, F-, Br-, Na+, NH4+, K+, Ca2+, Mg2+, and Methanesulfonic acid (MSA(-)), were measured using an online ion chromatography system deployed on theXuelongresearch vessel. Moreover, aerosol particle sources were analyzed in order to clarify the impacts of marine emissions and anthropogenic sources on atmospheric aerosols in the Arctic Ocean. Sea salt ions (Na(+)and Cl-) were observed to be the most dominant compounds, accounting for 53.5% of the total WSI, followed by the secondary ions (SO42-, NH4+, and NO3-), which accounted for 36.0%. Furthermore, similar spatial distributions of MSA(-)and SO42- were observed during the measurement period. High levels of Na(+)were observed in the areas close to the land and Central Arctic Ocean, attributed to wind speed. In the open ocean, NH(4)(+)and NO(3)(-)concentrations were extremely low, however, high levels of NH4+ and NO3- were observed in the coastal area close to Alaska and Russia. This indicates that these aerosol particles were influenced by the anthropogenic sources in these regions. In addition, mean fluxes of NO(3)(-)and NH(4)(+)were determined as 42 +/- 41 and 347 +/- 166 mu g m(-2) day(-1)in the Arctic Ocean, respectively.</t>
  </si>
  <si>
    <t>[Yu, Congcong; Zhang, Honghai; Li, Xiaojun] Ocean Univ China, Minist Educ, Frontiers Sci Ctr Deep Ocean Multispheres &amp; Earth, Qingdao, Peoples R China; [Yu, Congcong; Zhang, Honghai; Li, Xiaojun] Ocean Univ China, Minist Educ, Key Lab Marine Chem Theory &amp; Technol, Qingdao, Peoples R China; [Yu, Congcong; Zhang, Honghai; Li, Xiaojun] MNR, Inst Oceanog 3, Minist Nat Resources, Key Lab Global Change &amp; Marine Atmospher Chem, Xiamen, Peoples R China; [Yan, Jinpei; Lin, Qi; Zhang, Miming; Zhao, Shuhui] Qingdao Natl Lab Marine Sci &amp; Technol, Lab Marine Ecol &amp; Environm Sci, Qingdao, Peoples R China; [Zhang, Honghai] Ocean Univ China, Minist Educ, Key Lab Marine Chem Theory &amp; Technol, Qingdao, Peoples R China; [Zheng, Hongguo; Zhong, Xinlin; Zhao, Suli] Thermo Fisher Sci Co Ltd, Chengdu, Peoples R China</t>
  </si>
  <si>
    <t>Ocean University of China; Ocean University of China; Ministry of Natural Resources of the People's Republic of China; Third Institute of Oceanography, Ministry of Natural Resources; Laoshan Laboratory; Ocean University of China; Thermo Fisher Scientific</t>
  </si>
  <si>
    <t>Zhang, HH (corresponding author), Ocean Univ China, Minist Educ, Frontiers Sci Ctr Deep Ocean Multispheres &amp; Earth, Qingdao, Peoples R China.;Zhang, HH (corresponding author), Ocean Univ China, Minist Educ, Key Lab Marine Chem Theory &amp; Technol, Qingdao, Peoples R China.;Zhang, HH (corresponding author), MNR, Inst Oceanog 3, Minist Nat Resources, Key Lab Global Change &amp; Marine Atmospher Chem, Xiamen, Peoples R China.;Yan, JP (corresponding author), Qingdao Natl Lab Marine Sci &amp; Technol, Lab Marine Ecol &amp; Environm Sci, Qingdao, Peoples R China.;Zhang, HH (corresponding author), Ocean Univ China, Minist Educ, Key Lab Marine Chem Theory &amp; Technol, Qingdao, Peoples R China.</t>
  </si>
  <si>
    <t>jpyan@tio.org.cn; honghaizhang@ouc.edu.cn</t>
  </si>
  <si>
    <t>Zhang, Miming/0000-0001-5848-3672; Yan, Jin Pei/0000-0002-1273-9422; Zhang, Hong-Hai/0000-0001-9576-4035</t>
  </si>
  <si>
    <t>National Natural Science Foundation of China [41941014, 41305133]; Scientific Research Foundation of Third Institute of Oceanography, MNR [2019024]; Qingdao National Laboratory for Marine Science and Technology [QNLM2016ORP0109]; Chinese Projects for Investigations and Assessments of the Arctic and Antarctic [CHINARE2017-2020]</t>
  </si>
  <si>
    <t>National Natural Science Foundation of China(National Natural Science Foundation of China (NSFC)); Scientific Research Foundation of Third Institute of Oceanography, MNR; Qingdao National Laboratory for Marine Science and Technology; Chinese Projects for Investigations and Assessments of the Arctic and Antarctic</t>
  </si>
  <si>
    <t>This study is financially supported by the National Natural Science Foundation of China (No. 41941014, 41305133), Scientific Research Foundation of Third Institute of Oceanography, MNR. (No. 2019024), Qingdao National Laboratory for Marine Science and Technology (No. QNLM2016ORP0109), the Chinese Projects for Investigations and Assessments of the Arctic and Antarctic (CHINARE2017-2020).</t>
  </si>
  <si>
    <t>e2020EA001227</t>
  </si>
  <si>
    <t>10.1029/2020EA001227</t>
  </si>
  <si>
    <t>NY8QH</t>
  </si>
  <si>
    <t>WOS:000576647500018</t>
  </si>
  <si>
    <t>Kwon, H; Choi, H; Kim, BM; Kim, SW; Kim, SJ</t>
  </si>
  <si>
    <t>Kwon, Hataek; Choi, Hyesun; Kim, Baek-Min; Kim, Sang-Woo; Kim, Seong-Joong</t>
  </si>
  <si>
    <t>Recent weakening of the southern stratospheric polar vortex and its impact on the surface climate over Antarctica</t>
  </si>
  <si>
    <t>southern stratospheric polar vortex; polar cap height(PCH); Antarctic surface air temperature</t>
  </si>
  <si>
    <t>HEMISPHERE STRATOSPHERE; INTERANNUAL VARIABILITY; PART I; CIRCULATION</t>
  </si>
  <si>
    <t>The variability in the southern stratospheric polar vortex (SSPV) and its downward coupling with the troposphere are known to play a crucial role in driving climate variability over Antarctica. In this study, SSPV weakening events and their impacts on the surface climate of Antarctica are examined usingin-situobservation and reanalysis data. Combining criteria from several previous studies, we introduce a new detection method for SSPV weakening events. Based on the new criteria, the occurrence frequency of SSPV weakening events has exhibited a systematic increasing trend since the 2000 s. However, the weakened anomalies of individual SSPV events are not statistically different (95% confidence level) between the earlier (1979-1999) and later (2000-2017) periods examined in this study. The recent increase in the occurrence of SSPV weakening events is largely controlled by tropospheric mechanisms, i.e. the poleward heat flux carried by southern hemispheric planetary waves and associated vertical wave propagation. Among the various scales of planetary waves, the wavenumber 1 contributes most of the poleward eddy heat flux. We show that SSPV weakening events induce statistically significant cooling over the Antarctic Peninsula (AP) region and warming over the rest of Antarctica. Typically, surface air temperature anomalies with large negative values smaller than - 0.6 degrees C and positive values larger than + 0.8 degrees C are observed over the east coast of the tip of the AP and King Edward VII Land, respectively. The influence of an SSPV weakening event on the surface lasts for approximately three months with higher height anomalies off western Antarctica, providing favorable conditions for the atmosphere to transport cold air from the interior of Antarctica to the AP via the Weddell Sea. Distinct positive surface air temperature anomalies over the rest of Antarctica are associated with the northerly circulation anomaly from the eastern Weddell Sea to east Antarctica.</t>
  </si>
  <si>
    <t>[Kwon, Hataek; Kim, Sang-Woo] Seoul Natl Univ, Sch Earth &amp; Environm Sci, Seoul, South Korea; [Choi, Hyesun; Kim, Seong-Joong] Korea Polar Res Inst, Div Polar Climate Sci, Incheon, South Korea; [Kim, Baek-Min] Pukyong Natl Univ, Dept Environm Atmospher Sci, Busan, South Korea</t>
  </si>
  <si>
    <t>Seoul National University (SNU); Korea Polar Research Institute (KOPRI); Pukyong National University</t>
  </si>
  <si>
    <t>Kim, SJ (corresponding author), Korea Polar Res Inst, Div Polar Climate Sci, Incheon, South Korea.</t>
  </si>
  <si>
    <t>seongjkim@kopri.re.kr</t>
  </si>
  <si>
    <t>project of 'Assessment of the extreme weather and climate change in Antarctica and its global influence' of Korea Polar Research Institute [PE20070]; National Research Foundation of Korea (NRF) - Korea government (MSIT) [2020R1A2C1014679]; Korea Meteorological Administration Research and Development Program [KMI2020-01116]; National Research Foundation of Korea [21A20151713014] Funding Source: Korea Institute of Science &amp; Technology Information (KISTI), National Science &amp; Technology Information Service (NTIS)</t>
  </si>
  <si>
    <t>project of 'Assessment of the extreme weather and climate change in Antarctica and its global influence' of Korea Polar Research Institute(Korea Polar Research Institute of Marine Research Placement (KOPRI)); National Research Foundation of Korea (NRF) - Korea government (MSIT)(National Research Foundation of KoreaMinistry of Science, ICT &amp; Future Planning, Republic of KoreaMinistry of Science &amp; ICT (MSIT), Republic of Korea); Korea Meteorological Administration Research and Development Program(Korea Meteorological Administration (KMA)); National Research Foundation of Korea(National Research Foundation of Korea)</t>
  </si>
  <si>
    <t>The study was supported by the project of 'Assessment of the extreme weather and climate change in Antarctica and its global influence' (PE20070) of Korea Polar Research Institute. This work was also partly supported by the National Research Foundation of Korea (NRF) grant funded by the Korea government (MSIT) (No. 2020R1A2C1014679) and Korea Meteorological Administration Research and Development Program (grant No. KMI2020-01116).</t>
  </si>
  <si>
    <t>10.1088/1748-9326/ab9d3d</t>
  </si>
  <si>
    <t>NJ6UZ</t>
  </si>
  <si>
    <t>WOS:000566180800001</t>
  </si>
  <si>
    <t>Tan, SW; Pratt, LJ; Yuan, DL; Li, X; Wang, Z; Li, Y; Corvianawatie, C; Surinati, D; Budiman, AS; Bayhaqi, A</t>
  </si>
  <si>
    <t>Tan, Shuwen; Pratt, Larry J.; Yuan, Dongliang; Li, Xiang; Wang, Zheng; Li, Yao; Corvianawatie, Corry; Surinati, Dewi; Budiman, Asep S.; Bayhaqi, Ahmad</t>
  </si>
  <si>
    <t>Hydraulics and Mixing of the Deep Overflow in the Lifamatola Passage of the Indonesian Seas</t>
  </si>
  <si>
    <t>ANTARCTIC BOTTOM WATER; HALMAHERA SEA; THROUGHFLOW; STABILITY; WAVES; TRANSFORMATION; SIMULATIONS; ENTRAINMENT; TOPOGRAPHY; EFFICIENCY</t>
  </si>
  <si>
    <t>Hydrographic measurements recently acquired along the thalweg of the Lifamatola Passage combined with historical moored velocity measurements immediately downstream of the sill are used to study the hydraulics, transport, mixing, and entrainment in the dense overflow. The observations suggest that the mean overflow is nearly critical at the mooring site, suggesting that a weir formula may be appropriate for estimating the overflow transport. Our assessment suggests that the weir formulas corresponding to a rectangular, triangular, or parabolic cross section all result in transports very close to the observation, suggesting their potential usage in long-term monitoring of the overflow transport or parameterizing the transport in numerical models. Analyses also suggest that deep signals within the overflow layer are blocked by the shear flow from propagating upstream, whereas the shallow wave modes of the full-depth continuously stratified flow are able to propagate upstream from the Banda Sea into the Maluku Sea. Strong mixing is found immediately downstream of the sill crest, with Thorpe-scale-based estimates of the mean dissipation rate within the overflow up to 1.1 x 10(-7) W kg(-1) and the region-averaged diapycnal diffusivity within the downstream overflow in the range of 2.3 x 10(-3) to 10.1 x 10(-3) m(2) s(-1). Mixing in the Lifamatola Passage results in 0.6-1.2-Sv (1 Sv = 10(6) m(3) s(-1)) entrainment transport added to the overflow, enhancing the deep-water renewal in the Banda Sea. A bulk diffusivity coefficient estimated in the deep Banda Sea yields 1.6 x 10(-3) +/- 5 x 10(-4) m(2) s(-1), with an associated downward turbulent heat flux of 9 W m(-2).</t>
  </si>
  <si>
    <t>[Tan, Shuwen; Yuan, Dongliang; Li, Xiang; Wang, Zheng; Li, Yao; Corvianawatie, Corry] Chinese Acad Sci, Inst Oceanol, Key Lab Ocean Circulat &amp; Waves, Qingdao, Peoples R China; [Tan, Shuwen; Yuan, Dongliang; Li, Xiang; Wang, Zheng; Li, Yao; Corvianawatie, Corry] Qingdao Natl Lab Marine Sci &amp; Technol, Qingdao, Peoples R China; [Tan, Shuwen; Yuan, Dongliang; Li, Xiang; Wang, Zheng; Li, Yao; Corvianawatie, Corry] Chinese Acad Sci, Ctr Ocean Megasci, Qingdao, Peoples R China; [Tan, Shuwen; Yuan, Dongliang; Corvianawatie, Corry] Univ Chinese Acad Sci, Beijing, Peoples R China; [Pratt, Larry J.] Woods Hole Oceanog Inst, Dept Phys Oceanog, Woods Hole, MA USA; [Corvianawatie, Corry; Surinati, Dewi; Budiman, Asep S.; Bayhaqi, Ahmad] Indonesian Inst Sci, Res Ctr Oceanog, Jakarta, Indonesia</t>
  </si>
  <si>
    <t>Chinese Academy of Sciences; Institute of Oceanology, CAS; Laoshan Laboratory; Chinese Academy of Sciences; Chinese Academy of Sciences; University of Chinese Academy of Sciences, CAS; Woods Hole Oceanographic Institution; National Research &amp; Innovation Agency of Indonesia (BRIN); Indonesian Institute of Sciences (LIPI)</t>
  </si>
  <si>
    <t>Yuan, DL (corresponding author), Chinese Acad Sci, Inst Oceanol, Key Lab Ocean Circulat &amp; Waves, Qingdao, Peoples R China.;Yuan, DL (corresponding author), Qingdao Natl Lab Marine Sci &amp; Technol, Qingdao, Peoples R China.;Yuan, DL (corresponding author), Chinese Acad Sci, Ctr Ocean Megasci, Qingdao, Peoples R China.;Yuan, DL (corresponding author), Univ Chinese Acad Sci, Beijing, Peoples R China.</t>
  </si>
  <si>
    <t>dyuan@qdio.ac.cn</t>
  </si>
  <si>
    <t>Surinati, Dewi/ABE-2388-2021</t>
  </si>
  <si>
    <t>Surinati, Dewi/0000-0001-7093-8270; Tan, Shuwen/0000-0002-4598-3472; Bayhaqi, Ahmad/0000-0001-6389-322X</t>
  </si>
  <si>
    <t>NSFC [91858204, 41720104008, 41421005, 41876025]; CAS Strategic Priority Research Program [XDB42000000]; QMSNL [2018SDKJ0104-02]; Shandong Provincial projects [U1606402]; U.S. NSF [OCE-1657870]; Chinese Scholarship Council</t>
  </si>
  <si>
    <t>NSFC(National Natural Science Foundation of China (NSFC)); CAS Strategic Priority Research Program; QMSNL; Shandong Provincial projects; U.S. NSF(National Science Foundation (NSF)); Chinese Scholarship Council(China Scholarship Council)</t>
  </si>
  <si>
    <t>This study is supported by NSFC (91858204), the CAS Strategic Priority Research Program (XDB42000000), NSFC(41720104008, 41421005, 41876025), QMSNL (2018SDKJ0104-02), and the Shandong Provincial projects (U1606402). L. Pratt was supported by the U.S. NSF Grant OCE-1657870. The authors thank the crews of R/V BJ8 and the technicians from RCO-LIPI for the successful cruises. We thank the INSTANT and WOCE programs for making datasets publicly available and William D. Smyth for sharing the MATLAB toolbox for solving the Taylor-Goldstein equation. We also thank the insightful comments from Matthew H. Alford and Gunnar Voet. S. Tan was supported by Chinese Scholarship Council. The authors thank two anonymous reviewers for their comments.</t>
  </si>
  <si>
    <t>10.1175/JPO-D-19-0326.1</t>
  </si>
  <si>
    <t>PS9QK</t>
  </si>
  <si>
    <t>WOS:000608257600001</t>
  </si>
  <si>
    <t>Miyoshi, Y; Yamazaki, Y</t>
  </si>
  <si>
    <t>Miyoshi, Yasunobu; Yamazaki, Yosuke</t>
  </si>
  <si>
    <t>Excitation Mechanism of Ionospheric 6-Day Oscillation During the 2019 September Sudden Stratospheric Warming Event</t>
  </si>
  <si>
    <t>Planetary wave; thermosphere-ionosphere coupling; sudden stratospheric warming; Equatorial Electrojet; vertical coupling</t>
  </si>
  <si>
    <t>5-DAY WAVE; MESOSPHERE; MODES</t>
  </si>
  <si>
    <t>A sudden stratospheric warming (SSW) event in the Antarctic region occurred in September 2019. During the SSW event, the quasi 6-day wave (Q6DW) was enhanced in the mesosphere, and strong 6-day oscillations are observed in ionospheric parameters, such as the equatorial electrojet (EEJ) and electron density. The 6-day variation in the EEJ has a westward moving structure with the zonal wave number 1, indicating the influence of the Q6DW. In this study, we investigate the excitation mechanism of the 6-day variations in the EEJ and electron density using numerical simulations. The main results are as follows. The 6-day variations in the ionosphere are not generated by the Q6DW but generated by the waves with periods from 10 to 14 hr. The amplitude of the 10-14 hr waves is modulated with a period of 6 days, due to the nonlinear interaction between the Q6DW and migrating semidiurnal tide. This leads to the 6-day variations in the EEJ and electron density through the E region dynamo process. At a fixed local time, the secondary waves generated by the Q6DW-tidal interaction produce westward moving ionospheric 6-day variations with zonal wave number 1, which cannot be distinguished from the ionospheric variations by the Q6DW itself. The interference of secondary waves leads to a longitudinal asymmetry in the magnitude of the ionospheric 6-day oscillation.</t>
  </si>
  <si>
    <t>[Miyoshi, Yasunobu] Kyushu Univ, Dept Earth &amp; Planetary Sci, Fukuoka, Japan; [Yamazaki, Yosuke] GFZ German Res Ctr Geosci, Potsdam, Germany</t>
  </si>
  <si>
    <t>Kyushu University; Helmholtz Association; Helmholtz-Center Potsdam GFZ German Research Center for Geosciences</t>
  </si>
  <si>
    <t>Miyoshi, Y (corresponding author), Kyushu Univ, Dept Earth &amp; Planetary Sci, Fukuoka, Japan.</t>
  </si>
  <si>
    <t>y.miyoshi.527@m.kyushu-u.ac.jp</t>
  </si>
  <si>
    <t>Yamazaki, Yosuke/J-9484-2015</t>
  </si>
  <si>
    <t>Yamazaki, Yosuke/0000-0002-7624-4752</t>
  </si>
  <si>
    <t>JSPS; DFG; ESA [4000126709/19/NL/IS]</t>
  </si>
  <si>
    <t>JSPS(Ministry of Education, Culture, Sports, Science and Technology, Japan (MEXT)Japan Society for the Promotion of Science); DFG(German Research Foundation (DFG)); ESA(European Space Agency)</t>
  </si>
  <si>
    <t>The numerical simulation was mainly performed using the computer systems at Research Institute for Information Technology of Kyushu University and at National Institute of Information and Communications Technology, Japan. This project was supported by JSPS and DFG under the Joint Research Projects-LEAD with DFG (JRPs-LEAD with DFG). This work was also supported in part by ESA through contract 4000126709/19/NL/IS VERA. The GFD/DENNOU library was used to produce the figures. The JRA-55 meteorological reanalysis data sets are provided by the Japan Meteorological Agency (JMA).</t>
  </si>
  <si>
    <t>e2020JA028283</t>
  </si>
  <si>
    <t>10.1029/2020JA028283</t>
  </si>
  <si>
    <t>PI3IV</t>
  </si>
  <si>
    <t>WOS:000600989000038</t>
  </si>
  <si>
    <t>Soares, G; Yamazaki, Y; Cnossen, I; Matzka, J; Pinheiro, KJ; Morschhauser, A; Alken, P; Stolle, C</t>
  </si>
  <si>
    <t>Soares, G.; Yamazaki, Y.; Cnossen, I.; Matzka, J.; Pinheiro, K. J.; Morschhauser, A.; Alken, P.; Stolle, C.</t>
  </si>
  <si>
    <t>Evolution of the Geomagnetic Daily Variation at Tatuoca, Brazil, From 1957 to 2019: A Transition From Sq to EEJ</t>
  </si>
  <si>
    <t>EQUATORIAL COUNTER-ELECTROJET; LATENT-HEAT RELEASE; TO-DAY VARIABILITY; MAGNETIC-FIELD; LONGITUDINAL VARIABILITY; DRIFT VELOCITY; MAIN FIELD; SOLAR; SWARM; TIDES</t>
  </si>
  <si>
    <t>The magnetic equator in the Brazilian region has moved over 1,100 km northward since 1957, passing the geomagnetic observatory Tatuoca (TTB), in northern Brazil, around 2013. We recovered and processed TTB hourly mean values of the geomagnetic field horizontal (H) component from 1957 until 2019, allowing the investigation of long-term changes in the daily variation due to the influence of secular variation, solar activity, season, and lunar phase. The H day-to-day variability and the occurrence of the counter electrojet at TTB were also investigated. Until the 1990s, ionospheric solar quiet currents dominated the quiet-time daily variation at TTB. After 2000, the magnitude of the daily variation became appreciably greater due to the equatorial electrojet (EEJ) contribution. The H seasonal and day-to-day variability increased as the magnetic equator approached, but their amplitudes normalized to the average daily variation remained at similar levels. Meanwhile, the amplitude of the lunar variation, normalized in the same way, increased from 5% to 12%. Within the EEJ region, the occurrence rate of the morning counter electrojet (MCEJ) increased with proximity to the magnetic equator, while the afternoon counter electrojet (ACEJ) did not. EEJ currents derived from CHAMP and Swarm satellite data revealed that the MCEJ rate varies with magnetic latitude within the EEJ region while the ACEJ rate is largely constant. Simulations with the Thermosphere-Ionosphere-Electrodynamics General Circulation Model based on different geomagnetic main field configurations suggest that long-term changes in the geomagnetic daily variation at TTB can be attributed to the main field secular variation.</t>
  </si>
  <si>
    <t>[Soares, G.; Pinheiro, K. J.] Observ Nacl, Rio De Janeiro, Brazil; [Soares, G.; Yamazaki, Y.; Matzka, J.; Morschhauser, A.; Stolle, C.] GFZ German Res Ctr Geosci, Potsdam, Germany; [Cnossen, I.] British Antarctic Survey, Cambridge, England; [Alken, P.] Univ Colorado, Cooperat Inst Res Environm Sci, Boulder, CO 80309 USA; [Alken, P.] NOAA, Natl Ctr Environm Informat, Boulder, CO USA; [Stolle, C.] Univ Potsdam, Fac Sci, Potsdam, Germany</t>
  </si>
  <si>
    <t>Helmholtz Association; Helmholtz-Center Potsdam GFZ German Research Center for Geosciences; UK Research &amp; Innovation (UKRI); Natural Environment Research Council (NERC); NERC British Antarctic Survey; University of Colorado System; University of Colorado Boulder; National Oceanic Atmospheric Admin (NOAA) - USA; University of Potsdam</t>
  </si>
  <si>
    <t>Soares, G (corresponding author), Observ Nacl, Rio De Janeiro, Brazil.;Soares, G (corresponding author), GFZ German Res Ctr Geosci, Potsdam, Germany.</t>
  </si>
  <si>
    <t>gabrielsoares@on.br</t>
  </si>
  <si>
    <t>Pinheiro, Katia J/D-3775-2016; Cnossen, Ingrid/E-5809-2010; Alken, Patrick/AAD-3084-2022; Matzka, Jurgen/J-9420-2014; Yamazaki, Yosuke/J-9484-2015; Morschhauser, Achim/J-4946-2015</t>
  </si>
  <si>
    <t>Cnossen, Ingrid/0000-0001-6469-7861; Matzka, Jurgen/0000-0001-9926-2796; Yamazaki, Yosuke/0000-0002-7624-4752; Stolle, Claudia/0000-0002-5717-1623; Brando Soares, Gabriel/0000-0001-8119-8538; Morschhauser, Achim/0000-0001-7955-4441; Alken, Patrick/0000-0001-8983-3153</t>
  </si>
  <si>
    <t>CoordenacAo de Aperfeicoamento de Pessoal de Nivel Superior-Brasil (CAPES) [1799579]; Natural Environment Research Council [NE/R015651/1]; Deutsche Forschungsgemeinschaft (DFG) [YA-574-3-1]; DFG [SPP1788]; Conselho Nacional de Desenvolvimento Cientifico e Tecnologico (CNPq/Brazil) [309884/2016-0]; FundacAo de Amparo a Pesquisa do Estado do Rio de Janeiro (FAPERJ/Brazil) [E-26/202.748/2019]; NERC [NE/R015651/1, bas0100031] Funding Source: UKRI</t>
  </si>
  <si>
    <t>CoordenacAo de Aperfeicoamento de Pessoal de Nivel Superior-Brasil (CAPES)(Coordenacao de Aperfeicoamento de Pessoal de Nivel Superior (CAPES)); Natural Environment Research Council(UK Research &amp; Innovation (UKRI)Natural Environment Research Council (NERC)); Deutsche Forschungsgemeinschaft (DFG)(German Research Foundation (DFG)); DFG(German Research Foundation (DFG)); Conselho Nacional de Desenvolvimento Cientifico e Tecnologico (CNPq/Brazil)(Conselho Nacional de Desenvolvimento Cientifico e Tecnologico (CNPQ)); FundacAo de Amparo a Pesquisa do Estado do Rio de Janeiro (FAPERJ/Brazil)(Fundacao Carlos Chagas Filho de Amparo a Pesquisa do Estado do Rio De Janeiro (FAPERJ)); NERC(UK Research &amp; Innovation (UKRI)Natural Environment Research Council (NERC))</t>
  </si>
  <si>
    <t>The results presented in this paper rely on the data collected at HUA and KOU. We thank Instituto Geofisico del Peru and Institut de Physique du Globe de Paris for supporting HUA and KOU operation, respectively, and INTERMAGNET for promoting high standards of geomagnetic observatory practice (). We acknowledge WDC Kyoto for providing PAB and Dst index hourly data. TTB is maintained by Observatorio Nacional in cooperation with GFZ German Research Centre for Geosciences. GFZ German Research Centre for Geosciences is acknowledged for providing the geomagnetic Kp index, Ap index, and the International Quiet Days (IQD). This study was financed in part by the CoordenacAo de Aperfeicoamento de Pessoal de Nivel Superior-Brasil (CAPES)-Finance Code 1799579 (G.B.S. PhD research grant). I.C. was supported by an Independent Research Fellowship from the Natural Environment Research Council (NE/R015651/1). Y.Y. was partially supported by the Deutsche Forschungsgemeinschaft (DFG) grant YA-574-3-1. G.B.S., J.M., and C.S. were partly supported by the DFG Priority Program SPP1788 DynamicEarth. K.P. acknowledges the support of Conselho Nacional de Desenvolvimento Cientifico e Tecnologico (CNPq/Brazil, grant 309884/2016-0) and FundacAo de Amparo a Pesquisa do Estado do Rio de Janeiro (FAPERJ/Brazil, grant E-26/202.748/2019).</t>
  </si>
  <si>
    <t>e2020JA028109</t>
  </si>
  <si>
    <t>10.1029/2020JA028109</t>
  </si>
  <si>
    <t>WOS:000600989000045</t>
  </si>
  <si>
    <t>Wu, HN; Lu, X; Lu, G; Chu, XZ; Wang, WB; Yu, ZB; Kilcommons, LM; Knipp, DJ; Wang, BY; Nishimura, Y</t>
  </si>
  <si>
    <t>Wu, Haonan; Lu, Xian; Lu, Gang; Chu, Xinzhao; Wang, Wenbin; Yu, Zhibin; Kilcommons, Liam M.; Knipp, Delores J.; Wang, Boyi; Nishimura, Yukitoshi</t>
  </si>
  <si>
    <t>Importance of Regional-Scale Auroral Precipitation and Electrical Field Variability to the Storm-Time Thermospheric Temperature Enhancement and Inversion Layer (TTEIL) in the Antarctic E Region</t>
  </si>
  <si>
    <t>I-T system responses to storms; magnetosphere-ionosphere-thermosphere coupling; auroral precipitation and electric field variability; TIEGCM; AMIE; DMSP; lidar</t>
  </si>
  <si>
    <t>IONOSPHERIC CONVECTION RESPONSE; INTERPLANETARY MAGNETIC-FIELD; GENERAL-CIRCULATION MODEL; GEOMAGNETIC STORMS; ENERGY DEPOSITION; NEUTRAL WINDS; ELECTRODYNAMICS; LIDAR; MAGNETOSPHERE; MESOSPHERE</t>
  </si>
  <si>
    <t>A dramatic thermospheric temperature enhancement and inversion layer (TTEIL) was observed by the Fe Boltzmann lidar at McMurdo, Antarctica during a geomagnetic storm (Chu et al. 2011, ). The Thermosphere-Ionosphere-Electrodynamics General Circulation Model (TIEGCM) driven by empirical auroral precipitation and background electric fields cannot adequately reproduce the TTEIL. We incorporate the Defense Meteorological Satellite Program (DMSP)/Special Sensor Ultraviolet Spectrographic Imager (SSUSI) auroral precipitation maps, which capture the regional-scale features into TIEGCM and add subgrid electric field variability in the regions with strong auroral activity. These modifications enable the simulation of neutral temperatures closer to lidar observations and neutral densities closer to GRACE satellite observations (similar to 475 km). The regional scale auroral precipitation and electric field variabilities are both needed to generate strong Joule heating that peaks around 120 km. The resulting temperature increase leads to the change of pressure gradients, thus inducing a horizontal divergence of air flow and large upward winds that increase with altitude. Associated with the upwelling wind is the adiabatic cooling gradually increasing with altitude and peaking at similar to 200 km. The intense Joule heating around 120 km and strong cooling above result in differential heating that produces a sharp TTEIL. However, vertical heat advection broadens the TTEIL and raises the temperature peak from similar to 120 to similar to 150 km, causing simulations deviating from observations. Strong local Joule heating also excites traveling atmospheric disturbances that carry the TTEIL signatures to other regions. Our study suggests the importance of including fine-structure auroral precipitation and subgrid electric field variability in the modeling of storm-time ionosphere-thermosphere responses.</t>
  </si>
  <si>
    <t>[Wu, Haonan; Lu, Xian] Clemson Univ, Dept Phys &amp; Astron, Clemson, SC 29634 USA; [Lu, Gang; Wang, Wenbin; Knipp, Delores J.] Natl Ctr Atmospher Res, High Altitude Observ, Pob 3000, Boulder, CO 80307 USA; [Chu, Xinzhao] Univ Colorado, Cooperat Inst Res Environm Sci, Boulder, CO 80309 USA; [Chu, Xinzhao; Kilcommons, Liam M.; Knipp, Delores J.] Univ Colorado, Smead Dept Aerosp Engn Sci, Boulder, CO 80309 USA; [Yu, Zhibin] Harbin Inst Technol, Inst Space Sci &amp; Appl Technol, Shenzhen, Peoples R China; [Wang, Boyi] Univ Alaska, Inst Geophys, Fairbanks, AK USA; [Nishimura, Yukitoshi] Boston Univ, Coll Elect &amp; Comp Engn, Boston, MA 02215 USA</t>
  </si>
  <si>
    <t>Clemson University; National Center Atmospheric Research (NCAR) - USA; University of Colorado System; University of Colorado Boulder; University of Colorado System; University of Colorado Boulder; Harbin Institute of Technology; University of Alaska System; University of Alaska Fairbanks; Boston University</t>
  </si>
  <si>
    <t>Wu, HN; Lu, X (corresponding author), Clemson Univ, Dept Phys &amp; Astron, Clemson, SC 29634 USA.</t>
  </si>
  <si>
    <t>haonanw@clemson.edu; xianl@clemson.edu</t>
  </si>
  <si>
    <t>Yu, Zhibin/GZA-3374-2022; Wang, Boyi/ISS-5370-2023; Lu, Xian/AAZ-3385-2021; LU, XIAN/A-2980-2015; CHU, XINZHAO/I-5670-2015; Wang, Wenbin/G-2596-2013</t>
  </si>
  <si>
    <t>Yu, Zhibin/0000-0001-5128-809X; LU, XIAN/0000-0002-2535-8151; Wu, Haonan/0000-0002-3272-8106; KNIPP, DELORES/0000-0002-2047-5754; CHU, XINZHAO/0000-0001-6147-1963; Wang, Wenbin/0000-0002-6287-4542; KILCOMMONS, LIAM/0000-0002-4980-3045</t>
  </si>
  <si>
    <t>NASA [NNX17AG10G]; NSF [AGS-1705448, OPP1705450, CAREER-1753214, OPP-1246405, OPP-1443726, AGS-1452351]; Living with a Star program under NASA [80NSSC17K071]; Heliophysics Supporting Research program under NASA [NNX17AI39G]; NASA Heliophysics Supporting Research program under NASA [NNX17I42G, 80NSSC19K0835]; AFOSR [FA9550-17-1-0258]; AFOSR MURI [FA9550-16-1-0364]</t>
  </si>
  <si>
    <t>NASA(National Aeronautics &amp; Space Administration (NASA)); NSF(National Science Foundation (NSF)); Living with a Star program under NASA; Heliophysics Supporting Research program under NASA; NASA Heliophysics Supporting Research program under NASA; AFOSR(United States Department of DefenseAir Force Office of Scientific Research (AFOSR)); AFOSR MURI(United States Department of DefenseAir Force Office of Scientific Research (AFOSR)MURI)</t>
  </si>
  <si>
    <t>We are grateful for Arthur D. Richmond for his critical internal review and suggestions. We thank Marc Hairston for providing the DMSP SSIES data, Shuanggen Jin for providing the GRACE data, and Jing Liu for providing the electron anomalous heating module. The high-resolution version of TIEGCM is developed with the assistance of Tong Dang. We acknowledge Timothy Fuller-Rowell, Ryan McGranaghan, Zhonghua Xu, Xu Zhou, and Qingyu Zhu for their invaluable comments and suggestions. We appreciate the technical support from Clemson Computing and Information Technology (CCIT) team. X. L. and H. W.'s work was partially supported by NASA NNX17AG10G and NSF grants AGS-1705448, OPP1705450, and CAREER-1753214. G. L. was supported by the Living with a Star program under NASA grant 80NSSC17K071 and the Heliophysics Supporting Research program under NASA grant NNX17AI39G. X. C. was partially supported by NSF grants OPP-1246405, OPP-1443726, and AGS-1452351. W. W. was partially supported by the NASA Heliophysics Supporting Research program under NASA grants NNX17I42G and 80NSSC19K0835. D. K. and L. K. were partially supported by AFOSR award FA9550-17-1-0258 and AFOSR MURI award FA9550-16-1-0364.</t>
  </si>
  <si>
    <t>e2020JA028224</t>
  </si>
  <si>
    <t>10.1029/2020JA028224</t>
  </si>
  <si>
    <t>WOS:000600989000057</t>
  </si>
  <si>
    <t>Zhong, YF; Ye, RC; Liu, TT; Hu, ZJ; Zhang, LP</t>
  </si>
  <si>
    <t>Zhong, Yanfei; Ye, Richen; Liu, Tingting; Hu, Zejun; Zhang, Liangpei</t>
  </si>
  <si>
    <t>Automatic Aurora Image Classification Framework Based on Deep Learning for Occurrence Distribution Analysis: A Case Study of All-Sky Image Data Sets From the Yellow River Station</t>
  </si>
  <si>
    <t>ACCELERATION; MORPHOLOGY; OVAL</t>
  </si>
  <si>
    <t>Developing a computational model for aurora image classification is an important task for polar research. However, the design of the handcrafted features in the traditional methods has insufficient descriptive ability for auroral morphology and is dependent on expert knowledge. In this paper, an automatic aurora image classification framework based on deep learning is proposed to solve the problem. In this framework, three basic deep learning networks-AlexNet, VGG, and ResNet-are used to automatically classify all-sky aurora images via convolution and pooling processes and a back-propagation mechanism, without requiring manual intervention. As shown in the class activation mapping (CAM), the proposed framework can extract the complex auroral feature representations automatically and discriminatively. The results obtained with all-sky aurora images from the Yellow River Station demonstrate that the proposed framework has effective transfer ability and can achieve real-time classification. It is also shown that the proposed method can achieve higher average classification accuracy than the AI-MFLDA method. The statistical auroral occurrence distribution can be obtained based on the classification results. There are dominant morphological characteristics in the four magnetic local time (MLT) regions of the dayside aurora oval, which confirms the effectiveness of the proposed method.</t>
  </si>
  <si>
    <t>[Zhong, Yanfei; Ye, Richen; Zhang, Liangpei] Wuhan Univ, State Key Lab Informat Engn Surveying Mapping &amp; R, Wuhan, Peoples R China; [Zhong, Yanfei] Wuhan Univ, Hubei Prov Engn Res Ctr Nat Resources Remote Sens, Wuhan, Peoples R China; [Liu, Tingting] Wuhan Univ, Chinese Antarctic Ctr Surveying &amp; Mapping, Wuhan, Peoples R China; [Hu, Zejun] Polar Res Inst China, SOA Key Lab Polar Sci, Shanghai, Peoples R China</t>
  </si>
  <si>
    <t>Wuhan University; Wuhan University; Wuhan University; Polar Research Institute of China</t>
  </si>
  <si>
    <t>Ye, RC (corresponding author), Wuhan Univ, State Key Lab Informat Engn Surveying Mapping &amp; R, Wuhan, Peoples R China.</t>
  </si>
  <si>
    <t>yerichen@whu.edu.cn</t>
  </si>
  <si>
    <t>Hu, Ze-Jun/X-8090-2019; Liu, Tingting/HCH-2239-2022</t>
  </si>
  <si>
    <t>Hu, Ze-Jun/0000-0003-2448-2094; Ye, Richen/0000-0001-9639-1066</t>
  </si>
  <si>
    <t>National Key Research and Development Program of China [2017YFB0504202]; National Natural Science Foundation of China [41771385]</t>
  </si>
  <si>
    <t>This work was supported by National Key Research and Development Program of China under Grant 2017YFB0504202 and the National Natural Science Foundation of China under Grant 41771385. We would also like to thank the Polar Research Institute of China and the Chinese Antarctic Center of Surveying and Mapping for providing the aurora data sets.</t>
  </si>
  <si>
    <t>e2019JA027590</t>
  </si>
  <si>
    <t>10.1029/2019JA027590</t>
  </si>
  <si>
    <t>WOS:000600989000006</t>
  </si>
  <si>
    <t>Litvinenko, V</t>
  </si>
  <si>
    <t>Litvinenko, Vladimir</t>
  </si>
  <si>
    <t>Foreword: Sixty-year Russian history of Antarctic sub-glacial lake exploration and Arctic natural resource development</t>
  </si>
  <si>
    <t>GEOCHEMISTRY</t>
  </si>
  <si>
    <t>VOSTOK STATION; ICE; CLIMATE</t>
  </si>
  <si>
    <t>[Litvinenko, Vladimir] St Petersburg Min Univ, 2,21st Line, St Petersburg 199106, Russia; [Litvinenko, Vladimir] UNESCO, Governing Board Int Competence Ctr Min Engn Educ, Paris, France</t>
  </si>
  <si>
    <t>Saint Petersburg Mining University</t>
  </si>
  <si>
    <t>Litvinenko, V (corresponding author), St Petersburg Min Univ, 2,21st Line, St Petersburg 199106, Russia.;Litvinenko, V (corresponding author), UNESCO, Governing Board Int Competence Ctr Min Engn Educ, Paris, France.</t>
  </si>
  <si>
    <t>rectorat@spmi.ru</t>
  </si>
  <si>
    <t>Litvinenko, Vladimir/P-9755-2019</t>
  </si>
  <si>
    <t>Litvinenko, Vladimir/0000-0002-4295-7535</t>
  </si>
  <si>
    <t>0009-2819</t>
  </si>
  <si>
    <t>1611-5864</t>
  </si>
  <si>
    <t>GEOCHEMISTRY-GERMANY</t>
  </si>
  <si>
    <t>Geochemistry</t>
  </si>
  <si>
    <t>10.1016/j.chemer.2020.125652</t>
  </si>
  <si>
    <t>OI3AV</t>
  </si>
  <si>
    <t>WOS:000583156800001</t>
  </si>
  <si>
    <t>Oliva, M; Mercier, D; Ruiz-Fernandez, J; McColl, S</t>
  </si>
  <si>
    <t>Oliva, Marc; Mercier, Denis; Ruiz-Fernandez, Jesus; McColl, Sam</t>
  </si>
  <si>
    <t>Paraglacial processes in recently deglaciated environments</t>
  </si>
  <si>
    <t>LAND DEGRADATION &amp; DEVELOPMENT</t>
  </si>
  <si>
    <t>SEDIMENT-MANTLED SLOPES; ICE-AGE; GLACIER RETREAT; MORAINE; KONGSFJORDEN; COLONIZATION; SUCCESSION; ADJUSTMENT; EVOLUTION; RUNOFF</t>
  </si>
  <si>
    <t>[Oliva, Marc] Univ Barcelona, Dept Geog, Barcelona 08001, Catalonia, Spain; [Mercier, Denis] Sorbonne Univ, Dept Geog, F-75005 Paris, France; [Ruiz-Fernandez, Jesus] Univ Oviedo, Dept Geog, Oviedo 33011, Spain; [McColl, Sam] Massey Univ, Sch Agr &amp; Environm, Palmerston North 4442, New Zealand</t>
  </si>
  <si>
    <t>University of Barcelona; Sorbonne Universite; University of Oviedo; Massey University</t>
  </si>
  <si>
    <t>Oliva, M (corresponding author), Univ Barcelona, Dept Geog, Barcelona 08001, Catalonia, Spain.</t>
  </si>
  <si>
    <t>marcoliva@ub.edu</t>
  </si>
  <si>
    <t>McColl, Sam/AFO-5198-2022; Oliva, Marc/K-5423-2014</t>
  </si>
  <si>
    <t>McColl, Sam/0000-0002-2805-1761; Ruiz-Fernandez, Jesus/0000-0001-7161-3320; Oliva, Marc/0000-0001-6521-6388; Mercier, Denis/0000-0003-2325-1390</t>
  </si>
  <si>
    <t>Ramon y Cajal Program [RYC-2015-17597]; Research Group ANTALP (Antarctic, Arctic, Alpine Environments) - Government of Catalonia through the AGAUR agency [2017-SGR-1102]; Ministry of Economy, Industry and Competitiveness, Spain [CTM2017-87976-P, CTM2016-77878-P]; Fundacao para a Ciencia e a Tecnologia, Portugal [02/SAICT/2017-32002]</t>
  </si>
  <si>
    <t>Ramon y Cajal Program(Spanish Government); Research Group ANTALP (Antarctic, Arctic, Alpine Environments) - Government of Catalonia through the AGAUR agency; Ministry of Economy, Industry and Competitiveness, Spain(Spanish Government); Fundacao para a Ciencia e a Tecnologia, Portugal(Fundacao para a Ciencia e a Tecnologia (FCT))</t>
  </si>
  <si>
    <t>Marc Oliva is supported by the Ramon y Cajal Program (RYC-2015-17597) and the Research Group ANTALP (Antarctic, Arctic, Alpine Environments; 2017-SGR-1102) funded by the Government of Catalonia through the AGAUR agency. The work fits within the research topics of the PALEOGREEN (CTM2017-87976-P) and CRONOANTAR (CTM2016-77878-P) projects of the Ministry of Economy, Industry and Competitiveness, Spain, and the NUNANTAR project (02/SAICT/2017-32002) of the Fundacao para a Ciencia e a Tecnologia, Portugal.</t>
  </si>
  <si>
    <t>1085-3278</t>
  </si>
  <si>
    <t>1099-145X</t>
  </si>
  <si>
    <t>LAND DEGRAD DEV</t>
  </si>
  <si>
    <t>Land Degrad. Dev.</t>
  </si>
  <si>
    <t>10.1002/ldr.3283</t>
  </si>
  <si>
    <t>Environmental Sciences; Soil Science</t>
  </si>
  <si>
    <t>Environmental Sciences &amp; Ecology; Agriculture</t>
  </si>
  <si>
    <t>NP0WJ</t>
  </si>
  <si>
    <t>WOS:000569903500002</t>
  </si>
  <si>
    <t>Buscaglia, NA; Righton, AL; Armstrong, DL</t>
  </si>
  <si>
    <t>Buscaglia, Nicholas A.; Righton, Alison L.; Armstrong, Douglas L.</t>
  </si>
  <si>
    <t>Mycobacterial Airsacculitis Caused by Mycobacterium fortuitum in a Southern Rockhopper Penguin (Eudyptes chrysocome)</t>
  </si>
  <si>
    <t>JOURNAL OF AVIAN MEDICINE AND SURGERY</t>
  </si>
  <si>
    <t>airsacculitis; Mycobacterium fortuitum; avian mycobacteriosis; plaque; avian; southern rockhopper penguin; Eudyptes chrysocome</t>
  </si>
  <si>
    <t>AVIAN MYCOBACTERIOSIS; MOLECULAR EPIDEMIOLOGY; BIRDS; TUBERCULOSIS; OUTBREAK; GENAVENSE; DISEASE; AVIUM; IDENTIFICATION; INTRACELLULARE</t>
  </si>
  <si>
    <t>A 21-year-old male southern rockhopper penguin (Eudyptes chrysocome) was presented with a chronic history of intermittently decreased appetite, lethargy, and regurgitation. On the external physical examination, the bird was determined to be in fair-to-thin body condition with the complete blood count and plasma chemistry panel being largely unremarkable. Full-body radiographic images were considered normal, and gastroscopy showed only mild gastritis and duodenitis. The penguin was euthanatized shortly thereafter due to acute onset of respiratory distress. During the gross necropsy examination, the bird had severe airsacculitis with thick, yellow-to-tan, moist granular plaques adhering to the surface of many air sacs, as well as regional contiguous pneumonia. Intralesional acid-fast bacilli were observed in histologic sections of air sac tissue, and polymerase chain reaction of the affected air sacs was positive for Mycobacterium fortuitum. This clinical case study describes mycobacteriosis in a sub-Antarctic penguin and to the best of the authors' knowledge, the first reported isolation of M fortuitum from a penguin.</t>
  </si>
  <si>
    <t>[Buscaglia, Nicholas A.] Cornell Univ, Coll Vet Med, 930 Campus Rd, Ithaca, NY 14853 USA; [Righton, Alison L.; Armstrong, Douglas L.] Omahas Henry Doorly Zoo &amp; Aquarium, 3701 South 10th St, Omaha, NE 68107 USA; [Buscaglia, Nicholas A.] Lindsay Wildlife Experience, 1931 First Ave, Walnut Creek, CA 94597 USA</t>
  </si>
  <si>
    <t>Cornell University</t>
  </si>
  <si>
    <t>Righton, AL (corresponding author), Omahas Henry Doorly Zoo &amp; Aquarium, 3701 South 10th St, Omaha, NE 68107 USA.</t>
  </si>
  <si>
    <t>righton@omahazoo.com</t>
  </si>
  <si>
    <t>ASSOC AVIAN VETERINARIANS</t>
  </si>
  <si>
    <t>BOCA RATON</t>
  </si>
  <si>
    <t>PO BOX 811720, BOCA RATON, FL 33481 USA</t>
  </si>
  <si>
    <t>1082-6742</t>
  </si>
  <si>
    <t>1938-2871</t>
  </si>
  <si>
    <t>J AVIAN MED SURG</t>
  </si>
  <si>
    <t>J. Avian Med. Surg.</t>
  </si>
  <si>
    <t>10.1647/1082-6742-34.3.295</t>
  </si>
  <si>
    <t>OK9XQ</t>
  </si>
  <si>
    <t>WOS:000584997900011</t>
  </si>
  <si>
    <t>Lutz, F; Eccles, J; Prior, DJ; Craw, L; Fan, S; Hulbe, C; Forbes, M; Still, H; Pyne, A; Mandeno, D</t>
  </si>
  <si>
    <t>Lutz, Franz; Eccles, Jennifer; Prior, David J.; Craw, Lisa; Fan, Sheng; Hulbe, Christina; Forbes, Martin; Still, Holly; Pyne, Alex; Mandeno, Darcy</t>
  </si>
  <si>
    <t>Constraining Ice Shelf Anisotropy Using Shear Wave Splitting Measurements from Active-Source Borehole Seismics</t>
  </si>
  <si>
    <t>POLYCRYSTALLINE ICE; PREFERRED ORIENTATIONS; WEST ANTARCTICA; FLOW-LAW; FABRICS; CORE; MICROSTRUCTURE; DEFORMATION; GREENLAND; STRESS</t>
  </si>
  <si>
    <t>Observations of ice shelf anisotropy on borehole seismic data are presented. Hot-water-drilledboreholes were made by the Aotearoa New Zealand Ross Ice Shelf Programme through a grounding-line proximal site at Windless Bight and the central Ross Ice Shelf site HWD-2. The boreholes were used to freeze seismometers into the ice at different depths. Seismic observations of shear wave splitting were made on the borehole seismometers using active sources deployed at the surface. These shear wave splitting data were used to constrain anisotropic ice crystallographic preferred orientations (CPO) within the ice column. Forward models of seismic properties from different CPO geometries are compared to the observations and a best fitting CPO model is found to explain the seismic anisotropy at HWD-2. This model consists of a vertical girdle of ice c axes that constitute 80% of the CPO in combination with tight horizontal clusters, which contribute 20% of ice c axes. The origin of the modeled CPO is discussed with regard to calculated strain rates at the site and found to be indicative of the current shear kinematics with vertical shear plane and horizontal shear direction. At HWD-2 the 370m thick ice shelf is calculated to consist of at least 197m of anisotropic ice.</t>
  </si>
  <si>
    <t>[Lutz, Franz; Eccles, Jennifer] Univ Auckland, Sch Environm, Auckland, New Zealand; [Prior, David J.; Craw, Lisa; Fan, Sheng] Univ Otago, Dept Geol, Dunedin, New Zealand; [Craw, Lisa] Univ Tasmania, Inst Marine &amp; Antarctic Studies, Hobart, Tas, Australia; [Hulbe, Christina; Forbes, Martin; Still, Holly] Univ Otago, Sch Surveying, Dunedin, New Zealand; [Pyne, Alex; Mandeno, Darcy] Victoria Univ Wellington, Antarctic Res Ctr, Wellington, New Zealand</t>
  </si>
  <si>
    <t>University of Auckland; University of Otago; University of Tasmania; University of Otago; Victoria University Wellington</t>
  </si>
  <si>
    <t>Lutz, F (corresponding author), Univ Auckland, Sch Environm, Auckland, New Zealand.</t>
  </si>
  <si>
    <t>flut183@aucklanduni.ac.nz</t>
  </si>
  <si>
    <t>Craw, Lisa/V-5681-2018</t>
  </si>
  <si>
    <t>Craw, Lisa/0000-0002-6809-3587; Still, Holly/0000-0002-6021-1964; Prior, David/0000-0002-4653-2112; Hulbe, Christina/0000-0003-4765-7037; Fan, Sheng/0000-0002-0404-1374; Lutz, Franz/0000-0002-6920-690X</t>
  </si>
  <si>
    <t>New Zealand Antarctic Research Institute (NZARI); NZARI grant Past and future deformation of the Ross Ice Shelf; Marsden Fund of the Royal Society of New Zealand [UOO052]; University of Auckland doctoral scholarship</t>
  </si>
  <si>
    <t>New Zealand Antarctic Research Institute (NZARI); NZARI grant Past and future deformation of the Ross Ice Shelf; Marsden Fund of the Royal Society of New Zealand(Royal Society of New ZealandMarsden Fund (NZ)); University of Auckland doctoral scholarship</t>
  </si>
  <si>
    <t>This research is facilitated by the New Zealand Antarctic Research Institute (NZARI) funded Aotearoa New Zealand Ross Ice Shelf Programme and the Victoria University of Wellington Hot Water drilling initiative. We thank the hot water drilling team and the HWD-2 camp team consisting of Jeff Dunne, Kurt Roberts, and Lana Hastie. Logistics support was provided by Antarctica New Zealand. Funding for this research was also provided bythe NZARI grant Past and future deformation of the Ross Ice Shelf and the Marsden Fund of the Royal Society of New Zealand UOO052. F. Lutz is supported by an University of Auckland doctoral scholarship. Figures were created with GMT (Wessel &amp; Smith, 1991) and MATLAB (Mathworks).</t>
  </si>
  <si>
    <t>e2020JF005707</t>
  </si>
  <si>
    <t>10.1029/2020JF005707</t>
  </si>
  <si>
    <t>OV4DW</t>
  </si>
  <si>
    <t>WOS:000592163700016</t>
  </si>
  <si>
    <t>Gutierrez-Villanueva, MO; Chereskin, TK; Sprintall, J</t>
  </si>
  <si>
    <t>Gutierrez-Villanueva, Manuel O.; Chereskin, Teresa K.; Sprintall, Janet</t>
  </si>
  <si>
    <t>Upper-Ocean Eddy Heat Flux across the Antarctic Circumpolar Current in Drake Passage from Observations: Time-Mean and Seasonal Variability</t>
  </si>
  <si>
    <t>MOMENTUM FLUXES; SOUTHERN-OCEAN; TOPOGRAPHY; FLOW; ENERGY; STREAM; MESOSCALE; SATELLITE; TRANSPORT; LAYER</t>
  </si>
  <si>
    <t>Eddy heat flux plays a fundamental role in the Southern Ocean meridional overturning circulation, providing the only mechanism for poleward heat transport above the topography and below the Ekman layer at the latitudes of Drake Passage. Models and observations identify Drake Passage as one of a handful of hot spots in the Southern Ocean where eddy heat transport across the Antarctic Circumpolar Current (ACC) is enhanced. Quantifying this transport, however, together with its spatial distribution and temporal variability, remains an open question. This study quantifies eddy heat flux as a function of ACC streamlines using a unique 20-yr time series of upper-ocean temperature and velocity transects with unprecedented horizontal resolution. Eddy heat flux is calculated using both time-mean and time-varying streamlines to isolate the dynamically important across-ACC heat flux component. The time-varying streamlines provide the best estimate of the across-ACC component because they track the shifting and meandering of the ACC fronts. The depth-integrated (0-900 m) across-stream eddy heat flux is maximum poleward in the south flank of the Subantarctic Front (20.10 +/- 0.05GWm(-1)) and decreases toward the south, becoming statistically insignificant in the Polar Front, indicating heat convergence south of the Subantarctic Front. The time series provides an uncommon opportunity to explore the seasonal cycle of eddy heat flux. Poleward eddy heat flux in the Polar Front Zone is enhanced during austral autumn-winter, suggesting a seasonal variation in eddy-driven upwelling and thus the meridional overturning circulation.</t>
  </si>
  <si>
    <t>[Gutierrez-Villanueva, Manuel O.; Chereskin, Teresa K.; Sprintall, Janet] Univ Calif San Diego, Scripps Inst Oceanog, La Jolla, CA 92093 USA</t>
  </si>
  <si>
    <t>University of California System; University of California San Diego; Scripps Institution of Oceanography</t>
  </si>
  <si>
    <t>Gutierrez-Villanueva, MO (corresponding author), Univ Calif San Diego, Scripps Inst Oceanog, La Jolla, CA 92093 USA.</t>
  </si>
  <si>
    <t>mog002@ucsd.edu</t>
  </si>
  <si>
    <t>Chereskin, Teresa/0000-0003-1214-0978; Gutierrez-Villanueva, Manuel O./0000-0003-3636-7368</t>
  </si>
  <si>
    <t>National Science Foundation [ANT-1542902, OCE-1755529]; University of California Mexus-Conacyt fellowship; NOAA's Global Ocean Monitoring and Observing Program [NA15OAR4320071]</t>
  </si>
  <si>
    <t>National Science Foundation(National Science Foundation (NSF)); University of California Mexus-Conacyt fellowship; NOAA's Global Ocean Monitoring and Observing Program</t>
  </si>
  <si>
    <t>We acknowledge the National Science Foundation's Office of Polar Programs Antarctic Division (ANT) and Division of Ocean Sciences (OCE) for support of the Drake Passage time series and this research through Grants ANT-1542902 and OCE-1755529. Author Gutierrez-Villanueva acknowledges support from a University of California Mexus-Conacyt fellowship. XBT temperature dataweremade available by the Scripps High-Resolution XBT program (http://www-hrx.ucsd.edu).The XBT probes are provided by NOAA's Global Ocean Monitoring and Observing Program through Award NA15OAR4320071. ADCP time series were acquired and processed by theChereskin Lab at Scripps Institution of Oceanography (http://adcp.ucsd.edu/lmgould/) and can be downloaded fromthe JointArchive for Shipboard ADCP (JASADCP) (http://ilikai.soest.hawaii.edu/sadcp/).The SSALTO/DUACS altimeter products were produced and distributed by the Copernicus Marine and Environment Monitoring Service (CMEMS) (http://www.marine.copernicus.eu).The Maximenko et al. (2009) mean dynamic topography for the period 19922012 is available online (http://apdrc.soest.hawaii.edu/projects/DOT).We are also grateful to the captain and crew of the ARSV Laurence M. Gould and the Antarctic Support Contractor for their excellent technical and logistical support. The authors thank the two anonymous reviewers and the editor whose comments and suggestions greatly improved the paper.</t>
  </si>
  <si>
    <t>10.1175/JPO-D-19-0266.1</t>
  </si>
  <si>
    <t>OS0AB</t>
  </si>
  <si>
    <t>WOS:000589825700006</t>
  </si>
  <si>
    <t>Stanley, GJ; Dowling, TE; Bradley, ME; Marshall, DP</t>
  </si>
  <si>
    <t>Stanley, Geoffrey J.; Dowling, Timothy E.; Bradley, Mary E.; Marshall, David P.</t>
  </si>
  <si>
    <t>Ertel Potential Vorticity versus Bernoulli Potential on Approximately Neutral Surfaces in the Antarctic Circumpolar Current</t>
  </si>
  <si>
    <t>PLANETARY WAVE-PROPAGATION; VARYING MEAN FLOW; BOTTOM TOPOGRAPHY; EDDY SATURATION; GENERAL-CIRCULATION; ROSSBY WAVES; EDDIES; STABILITY; DYNAMICS; ENERGY</t>
  </si>
  <si>
    <t>We investigate the relationship between Ertel potential vorticity Q and Bernoulli potential B on orthobaric density surfaces in the Antarctic Circumpolar Current (ACC), using the Southern Ocean State Estimate. Similar to the extratropical atmospheres of Earth and Mars, Q and B correlate in the ACC in a function-like manner with modest scatter. Below the near-surface, the underlying function relating Q and B appears to be nearly linear. Nondimensionalizing its slope yields Ma, a Mach number for long Rossby waves, the ratio of the local flow speed to the intrinsic long Rossby wave speed. We empirically estimate the latter using established and novel techniques that yield qualitatively consistent results. Previous work related Ma to the degree of homogeneity of Q and to Arnol'd's shear stability criteria. Estimates of Ma for the whole ACC are notably positive, implying inhomogeneous Q, on all circumpolar buoyancy surfaces studied. Upper layers generally exhibit Ma slightly less than unity, suggesting that shear instability may operate within these layers. Deep layers exhibit Ma greater than unity, implying stability. On surfaces shallower than 1000 m just north of the ACC, the Q versus B slope varies strongly on subannual and interannual time scales, but Ma hovers near unity. We also study spatial variability: the ACC is speckled with hundreds of small-scale features with Ma near unity, whereas away from the ACC Ma is more commonly negative or above unity, both corresponding to stability. Maps of the time-mean Ma show stable regions occupy most of the Southern Ocean, except for several topographically controlled hotspots where Ma is always near unity.</t>
  </si>
  <si>
    <t>[Stanley, Geoffrey J.] Univ New South Wales, Sch Math &amp; Stat, Sydney, NSW, Australia; [Dowling, Timothy E.] Univ Louisville, Dept Phys &amp; Astron, Louisville, KY 40292 USA; [Bradley, Mary E.] Univ Louisville, Dept Math, Louisville, KY 40292 USA; [Marshall, David P.] Univ Oxford, Dept Phys, Oxford, England</t>
  </si>
  <si>
    <t>University of New South Wales Sydney; University of Louisville; University of Louisville; University of Oxford</t>
  </si>
  <si>
    <t>Stanley, GJ (corresponding author), Univ New South Wales, Sch Math &amp; Stat, Sydney, NSW, Australia.</t>
  </si>
  <si>
    <t>g.stanley@unsw.edu.au</t>
  </si>
  <si>
    <t>Marshall, David Philip/B-6767-2009; Stanley, Geoffrey/HCI-9874-2022; Dowling, Timothy/J-4537-2013</t>
  </si>
  <si>
    <t>Marshall, David Philip/0000-0002-5199-6579; Stanley, Geoffrey/0000-0003-4536-8602; Dowling, Timothy/0000-0002-7400-2274</t>
  </si>
  <si>
    <t>Clarendon Fund; Canadian Alumni Scholarship at Linacre College, Oxford; Australian Research Council [FL150100090]; Natural Environment Research Council [NE/R000999/1]; NERC [NE/R000999/1] Funding Source: UKRI</t>
  </si>
  <si>
    <t>Clarendon Fund; Canadian Alumni Scholarship at Linacre College, Oxford; Australian Research Council(Australian Research Council); Natural Environment Research Council(UK Research &amp; Innovation (UKRI)Natural Environment Research Council (NERC)); NERC(UK Research &amp; Innovation (UKRI)Natural Environment Research Council (NERC))</t>
  </si>
  <si>
    <t>We thank Tomos David, Ed Doddridge, Glenn Flierl, Ryan Holmes, Chris Hughes, Matt Mazloff, Scott Springer, and three reviewers whose comments improved this manuscript. GJS acknowledges partial support from the Clarendon Fund and the Canadian Alumni Scholarship at Linacre College, Oxford, and from the Australian Research Council through Grant FL150100090. DPM acknowledges partial support of the Natural Environment Research Council, NE/R000999/1. SOSE output can be downloaded at http://sose.ucsd.edu.</t>
  </si>
  <si>
    <t>10.1175/JPO-D-19-0140.1</t>
  </si>
  <si>
    <t>WOS:000589825700012</t>
  </si>
  <si>
    <t>Engtro, E; Gudmestad, OT; Njå, O</t>
  </si>
  <si>
    <t>Engtro, E.; Gudmestad, O. T.; Nja, O.</t>
  </si>
  <si>
    <t>The Polar Code's Implications for Safe Ship Operations in the Arctic Region</t>
  </si>
  <si>
    <t>TRANSNAV-INTERNATIONAL JOURNAL ON MARINE NAVIGATION AND SAFETY OF SEA TRANSPORTATION</t>
  </si>
  <si>
    <t>DECISIONS; RULES</t>
  </si>
  <si>
    <t>Simultaneously with a decreasing sea ice cover in the Arctic region an increase in ship traffic is experienced in these waters, meaning a higher probability of accidents and incidents to occur. The capability to handle emergency situations for shipowners, operators and rescuers in a cold climate environment are heavily affected by the risks present in polar waters and depends on limited emergency response resources covering extremely large areas. In 2017, the International Code for Ships Operating in Polar Waters (The Polar Code) was adopted by the International Maritime Organization (IMO), applicable for the Arctic and Antarctic regions. The goals of the functionally based regulation are to provide for safe ship operations and the protection of the polar environment, by addressing risks present in polar waters and to ensure these are mitigated sufficiently. A qualitative pilot study, with individual expert interviews, has been conducted in order to examine the Polar Code's implications for safe ship operations in the Arctic region. The study concludes that the discussions raised in the aftermath of the Polar Code has led to an increase in focus and a strengthen consciousness about hazards and risks associated with polar water ship operations and additional measures required to mitigate these. Further, the implementation of the Polar Code is considered as a milestone by establishing an international regulation, mandatory for polar water ship design and for voyage planning. However, the study points out that the main principle of the Polar Code is risk-based, meaning the performance of safe ship operations are depending on those subjects to the regulation, to conduct thorough operational risk assessments covering all actual hazards, and to ensure that those are mitigated sufficiently. In this regard, authority presence is found crucial, to validate the adequacy and the dimensioning of the implemented measures. Key words: Arctic ship operations; regulatory governance; emergency response; risk management.</t>
  </si>
  <si>
    <t>[Engtro, E.; Gudmestad, O. T.; Nja, O.] Univ Stavanger, Stavanger, Norway</t>
  </si>
  <si>
    <t>Universitetet i Stavanger</t>
  </si>
  <si>
    <t>Engtro, E (corresponding author), Univ Stavanger, Stavanger, Norway.</t>
  </si>
  <si>
    <t>Gudmestad, Ove Tobias/AFQ-4245-2022</t>
  </si>
  <si>
    <t>GDYNIA MARITIME UNIV, FAC NAVIGATION</t>
  </si>
  <si>
    <t>GDYNIA</t>
  </si>
  <si>
    <t>3, JOHN PAUL II AVE, GDYNIA, 81-345, POLAND</t>
  </si>
  <si>
    <t>2083-6473</t>
  </si>
  <si>
    <t>2083-6481</t>
  </si>
  <si>
    <t>TRANSNAV</t>
  </si>
  <si>
    <t>TransNav</t>
  </si>
  <si>
    <t>10.12716/1001.14.03.18</t>
  </si>
  <si>
    <t>Transportation Science &amp; Technology</t>
  </si>
  <si>
    <t>Transportation</t>
  </si>
  <si>
    <t>OF4LT</t>
  </si>
  <si>
    <t>WOS:000581182100018</t>
  </si>
  <si>
    <t>Rowe, RK</t>
  </si>
  <si>
    <t>Rowe, R. Kerry</t>
  </si>
  <si>
    <t>Protecting the Environment with Geosynthetics: 53rd Karl Terzaghi Lecture</t>
  </si>
  <si>
    <t>JOURNAL OF GEOTECHNICAL AND GEOENVIRONMENTAL ENGINEERING</t>
  </si>
  <si>
    <t>Geomembrane; Geosynthetic clay liner (GCL); Leakage; Ccomposite liner; Service life; High-density polyethylene (HDPE); Linear low-density polyethylene (LLDPE); Landfills; Mining; Ponds</t>
  </si>
  <si>
    <t>LONG-TERM PERFORMANCE; STRESS CRACK RESISTANCE; WATER-RETENTION CURVE; HDPE GEOMEMBRANE; HYDRAULIC CONDUCTIVITY; ANTIOXIDANT DEPLETION; CLAY LINER; BENTONITE EROSION; EXPOSURE CONDITIONS; COMPOSITE LINERS</t>
  </si>
  <si>
    <t>Design- and construction-related factors that affect leakage through geomembranes, used either alone or in a composite liner, are examined. The development, detection, and number of holes that can develop during construction and operation of a facility are discussed. The relationship between leakage through holes in a geomembrane, and the hydraulic conductivity of the material above (including tailings) and below a geomembrane, is examined, considering both a relatively permeable subgrade and an underlying clay liner (including the unstressed zone beneath a wrinkle) in a composite liner. The leakage observed in the primary liners of 180 landfill cells is explained by holes in geomembrane wrinkles with a length consistent with those observed in the field and an appropriate choice of hydraulic conductivity for the clay liner below the geomembrane wrinkle with a hole. Leakage through geosynthetic clay liner (GCL) overlaps below wrinkles is examined. The latest research into the physical and chemical aging of high-density polyethylene (HDPE) geomembranes liners is discussed in the context of the compatibility of the antioxidant package and resin with the solution to be retained, liner temperature, nature of exposure, sustained tensile strains, and welds. The estimation of the service life of a geomembrane based on immersion tests and simulated field conditions is examined in terms of antioxidant depletion, stress cracking, and the maximum allowable strain in a geomembrane. It is projected that the service life of a geomembrane may range from just a few years to many centuries.</t>
  </si>
  <si>
    <t>[Rowe, R. Kerry] Queens Univ, GeoEngn Ctr Queens RMC, Geotech &amp; Geoenvironm Engn, Kingston, ON K7K6X2, Canada</t>
  </si>
  <si>
    <t>Queens University - Canada; Royal Military College - Canada</t>
  </si>
  <si>
    <t>Rowe, RK (corresponding author), Queens Univ, GeoEngn Ctr Queens RMC, Geotech &amp; Geoenvironm Engn, Kingston, ON K7K6X2, Canada.</t>
  </si>
  <si>
    <t>kerry.rowe@queensu.ca</t>
  </si>
  <si>
    <t>Rowe, R. Kerry/0000-0002-1009-0447</t>
  </si>
  <si>
    <t>Natural Science and Engineering Research Council of Canada (NSERC); Antarctic Department of Conservation and Management (Australian Antarctic Division); Canadian Nuclear Laboratories; Cetco; Naue; Ontario Ministry of Environment; Solmax-GSE; Terrafix Geosynthetics; Thiel Engineering</t>
  </si>
  <si>
    <t>Natural Science and Engineering Research Council of Canada (NSERC)(Natural Sciences and Engineering Research Council of Canada (NSERC)); Antarctic Department of Conservation and Management (Australian Antarctic Division); Canadian Nuclear Laboratories; Cetco; Naue; Ontario Ministry of Environment; Solmax-GSE; Terrafix Geosynthetics; Thiel Engineering</t>
  </si>
  <si>
    <t>With many thanks to the GeoInstitute of ASCE for inviting me to present the 53rd Karl Terzaghi Lecture in Orlando, Florida, March 2017. The research presented in this paper was funded by the Natural Science and Engineering Research Council of Canada (NSERC). The author is very grateful to industrial partners, Antarctic Department of Conservation and Management (Australian Antarctic Division), Canadian Nuclear Laboratories, Cetco, Naue, Ontario Ministry of Environment, Solmax-GSE, Terrafix Geosynthetics, and Thiel Engineering, for their support with various aspects of this research. Thanks are due to many past and present colleagues, collaborators, and graduate students who coauthored papers that are referenced herein. Special thanks to Jelica Garcia who assisted with the numerical modeling, and to Rick Thiel (Thiel Engineering) for Fig. 2(a), Abigail Gilson-Beck for Fig. 2(b), Ken Embree (Knight Piesold) for Fig. 5(a), Tony Bennett (Ontario Power Generation) for Fig. 5(b), Harvey McLeod (Klohn Crippen Berger) for Fig. 5(c), and Ian Peggs (ICORP) for Fig. 7. Special thanks also to Drs. Fady Abdelaal and Richard Brachman for assistance in preparation of the lecture and reviewing the draft paper and to Richard Thiel, Robert Phaneuf, and Abigail Gilson-Beck for reviewing the draft paper. The input form the three anonymous reviewers is also greatly appreciated. The views expressed herein are those of the author and not necessarily those of the many people who have assisted with the research or reviewed of the manuscript.</t>
  </si>
  <si>
    <t>ASCE-AMER SOC CIVIL ENGINEERS</t>
  </si>
  <si>
    <t>RESTON</t>
  </si>
  <si>
    <t>1801 ALEXANDER BELL DR, RESTON, VA 20191-4400 USA</t>
  </si>
  <si>
    <t>1090-0241</t>
  </si>
  <si>
    <t>1943-5606</t>
  </si>
  <si>
    <t>J GEOTECH GEOENVIRON</t>
  </si>
  <si>
    <t>J. Geotech. Geoenviron. Eng.</t>
  </si>
  <si>
    <t>SEP 1</t>
  </si>
  <si>
    <t>10.1061/(ASCE)GT.1943-5606.0002239</t>
  </si>
  <si>
    <t>Engineering, Geological; Geosciences, Multidisciplinary</t>
  </si>
  <si>
    <t>OQ2NZ</t>
  </si>
  <si>
    <t>WOS:000588627500003</t>
  </si>
  <si>
    <t>Liu, CW; Gao, ZQ; Yang, QH; Han, B; Wang, H; Hao, GH; Zhao, JC; Yu, LJ; Wang, LL; Li, YB</t>
  </si>
  <si>
    <t>Liu, Changwei; Gao, Zhiqiu; Yang, Qinghua; Han, Bo; Wang, Hong; Hao, Guanghua; Zhao, Jiechen; Yu, Lejiang; Wang, Linlin; Li, Yubin</t>
  </si>
  <si>
    <t>Measurements of turbulence transfer in the near-surface layer over the Antarctic sea-ice surface from April through November in 2016</t>
  </si>
  <si>
    <t>ANNALS OF GLACIOLOGY</t>
  </si>
  <si>
    <t>Aerodynamic roughness length; Antarctic sea-ice suface; parameterization; scalar roughness length; surface energy budget; turbulent fluxes</t>
  </si>
  <si>
    <t>SCALAR TRANSFER-COEFFICIENTS; FLUX-PROFILE RELATIONSHIPS; HEAT-FLUX; AERODYNAMIC ROUGHNESS; ENERGY BUDGET; WINTER; PARAMETERIZATION; MOMENTUM; RADIATION; EXCHANGE</t>
  </si>
  <si>
    <t>The surface energy budget over the Antarctic sea ice from 8 April 2016 through 26 November 2016 are presented. From April to October, Sensible heat flux (SH) and subsurface conductive heat flux (G) were the heat source of surface while latent heat flux (LE) and net radiation flux (R-n) were the heat sink of surface. Our results showed larger downward SH (due to the warmer air in our site) and upward LE (due to the drier air and higher wind speed in our site) compared with SHEBA data. However, the values of SH in N-ICE2015 campaign, which located at a zone with stronger winds and more advection of heat in the Arctic, were comparable to our results under clear skies. The values of aerodynamic roughness length (z(0m)) and scalar roughness length for temperature (z(0h)), being 1.9 x 10(-3) m and 3.7 x 10(-5) m, were suggested in this study. It is found that snow melting might increase z(0m). Our results also indicate that the value of log(z(0h)/z(0m)) was related to the stability of stratification. In addition, several representative parameterization schemes for z(0h) have been tested and a couple of schemes were found to make a better performance.</t>
  </si>
  <si>
    <t>[Liu, Changwei] Nanjing Univ Informat Sci &amp; Technol, Collaborat Innovat Ctr Forecast &amp; Evaluat Meteoro, Sch Remote Sensing &amp; Geomat Engn, Nanjing 210044, Peoples R China; [Gao, Zhiqiu; Wang, Hong; Li, Yubin] Nanjing Univ Informat Sci &amp; Technol, Coiiaborat Innovat Ctr Forecast &amp; Evaluat Meteoro, Sch Atmospher Phys, Nanjing 210044, Peoples R China; [Gao, Zhiqiu; Wang, Linlin] Chinese Acad Sci, Inst Atmospher Phys, State Key Lab Atmospher Boundary Layer Phys &amp; Atm, Beijing 100029, Peoples R China; [Yang, Qinghua; Han, Bo] Sun Yat Sen Univ, Sch Atmospher Sci, Guangdong Prov Key Lab Climate Change &amp; Nat Disas, Zhuhai 519000, Peoples R China; [Yang, Qinghua] Southern Marine Sci &amp; Engn Guangdong Lab Zhuhai, Zhuhai 519000, Peoples R China; [Hao, Guanghua] Natl Marine Environm Forecasting Ctr, Beijing 100081, Peoples R China; [Zhao, Jiechen; Yu, Lejiang] Polar Res Inst China, SOA Key Lab Polar Sci, Shanghai 200129, Peoples R China</t>
  </si>
  <si>
    <t>Nanjing University of Information Science &amp; Technology; Nanjing University of Information Science &amp; Technology; Chinese Academy of Sciences; Institute of Atmospheric Physics, CAS; Sun Yat Sen University; Southern Marine Science &amp; Engineering Guangdong Laboratory; Southern Marine Science &amp; Engineering Guangdong Laboratory (Zhuhai); National Marine Environmental Forecasting Center; Polar Research Institute of China</t>
  </si>
  <si>
    <t>Gao, ZQ (corresponding author), Nanjing Univ Informat Sci &amp; Technol, Coiiaborat Innovat Ctr Forecast &amp; Evaluat Meteoro, Sch Atmospher Phys, Nanjing 210044, Peoples R China.;Gao, ZQ (corresponding author), Chinese Acad Sci, Inst Atmospher Phys, State Key Lab Atmospher Boundary Layer Phys &amp; Atm, Beijing 100029, Peoples R China.;Yang, QH (corresponding author), Sun Yat Sen Univ, Sch Atmospher Sci, Guangdong Prov Key Lab Climate Change &amp; Nat Disas, Zhuhai 519000, Peoples R China.;Yang, QH (corresponding author), Southern Marine Sci &amp; Engn Guangdong Lab Zhuhai, Zhuhai 519000, Peoples R China.</t>
  </si>
  <si>
    <t>zgao@mail.iap.ac.cn; yangqh25@mail.sysu.edu.cn</t>
  </si>
  <si>
    <t>Li, Yubin/HOC-0722-2023; Zhao, Jiechen/KHV-9905-2024; Hao, Guanghua/AAC-3979-2019; Han, Bo/KBC-0855-2024; Gao, Zhiqiu/AAJ-6362-2020</t>
  </si>
  <si>
    <t>Li, Yubin/0000-0003-3965-3845; Han, Bo/0000-0002-6137-7907; Gao, Zhiqiu/0000-0001-8256-005X; Yang, Qinghua/0000-0002-7114-2036</t>
  </si>
  <si>
    <t>National Key Projects of Ministry of Science and Technology of China [2016YFA0602100]; Foundation of Key Laboratory of Land Surface Process and Climate Change in Cold and Arid Regions [LPCC2018001, LPCC2018005]; National Natural Science Foundation of China [41875013, 41941009, 41675015]; Fundamental Research Funds for the Central Universities [19lgzd07]; Key Research Program of Frontier Sciences of CAS [QYZDY-SSW-DQC021]; Opening fund of State Key Laboratory of Cryospheric Science [SKLCS-OP-2019-09]; Postgraduate Research &amp; Practice Innovation Program of Jiangsu Province [KYCX18_1006]</t>
  </si>
  <si>
    <t>National Key Projects of Ministry of Science and Technology of China; Foundation of Key Laboratory of Land Surface Process and Climate Change in Cold and Arid Regions; National Natural Science Foundation of China(National Natural Science Foundation of China (NSFC)); Fundamental Research Funds for the Central Universities(Fundamental Research Funds for the Central Universities); Key Research Program of Frontier Sciences of CAS; Opening fund of State Key Laboratory of Cryospheric Science; Postgraduate Research &amp; Practice Innovation Program of Jiangsu Province</t>
  </si>
  <si>
    <t>This work was jointly supported by the National Key Projects of Ministry of Science and Technology of China (2016YFA0602100), the Foundation of Key Laboratory of Land Surface Process and Climate Change in Cold and Arid Regions (LPCC2018001, LPCC2018005), the National Natural Science Foundation of China (41875013, 41941009, 41675015), the Fundamental Research Funds for the Central Universities (No. 19lgzd07), the Key Research Program of Frontier Sciences of CAS (QYZDY-SSW-DQC021), the Opening fund of State Key Laboratory of Cryospheric Science (SKLCS-OP-2019-09), and the Postgraduate Research &amp; Practice Innovation Program of Jiangsu Province (KYCX18_1006). This is a contribution to the Year of Polar Prediction (YOPP), a flagship activity of the Polar Prediction Project (PPP), initiated by the World Weather Research Programme (WWRP) of the World Meteorological Organization (WMO). We thank the Chinese Arctic and Antarctic Administration and Polar Research Institute of China for the logistic support. We also thank the Russian meteorological station of Progress for providing precipitation data.</t>
  </si>
  <si>
    <t>0260-3055</t>
  </si>
  <si>
    <t>1727-5644</t>
  </si>
  <si>
    <t>ANN GLACIOL</t>
  </si>
  <si>
    <t>Ann. Glaciol.</t>
  </si>
  <si>
    <t>PII S026030551900048X</t>
  </si>
  <si>
    <t>10.1017/aog.2019.48</t>
  </si>
  <si>
    <t>OM8HD</t>
  </si>
  <si>
    <t>WOS:000586257600002</t>
  </si>
  <si>
    <t>Ackley, SF; Perovich, DK; Maksym, T; Weissling, B; Xie, H</t>
  </si>
  <si>
    <t>Ackley, S. F.; Perovich, D. K.; Maksym, T.; Weissling, B.; Xie, H.</t>
  </si>
  <si>
    <t>Surface flooding of Antarctic summer sea ice</t>
  </si>
  <si>
    <t>Ice; ocean interactions; sea ice; sea-ice growth and decay; snow; ice surface processes</t>
  </si>
  <si>
    <t>WESTERN WEDDELL SEA; OCEAN HEAT-FLUX; THICKNESS VARIABILITY; SNOW; SEAWATER; AMUNDSEN; BALANCE; GROWTH</t>
  </si>
  <si>
    <t>The surface flooding of Antarctic sea ice in summer covers 50% or more of the sea-ice area in the major summer ice packs, the western Weddell and the Bellingshausen-Amundsen Seas. Two CRREL ice mass-balance buoys were deployed on the Amundsen Sea pack in late December 2010 from the icebreaker Oden, bridging the summer period (January-February 2011). Temperature records from thermistors embedded vertically in the snow and ice showed progressive increases in the depth of the flooded layer (up to 0.3-0.35 m) on the ice cover during January and February. While the snow depth was relatively unchanged from accumulation (&lt;10 cm), ice thickness decreased by up to a meter from bottom melting during this period. Contemporaneous with the high bottom melting, under-ice water temperatures up to 1 degrees C above the freezing point were found. The high temperature arises from solar heating of the upper mixed layer which can occur when ice concentration in the local area falls and lower albedo ocean water is exposed to radiative heating. The higher proportion of snow ice found in the Amundsen Sea pack ice therefore results from both winter snowfall and summer ice bottom melt found here that can lead to extensive surface flooding.</t>
  </si>
  <si>
    <t>[Ackley, S. F.; Weissling, B.; Xie, H.] UTSA, NASA Ctr Adv Measurements Extreme Environm, San Antonio, TX 78249 USA; [Perovich, D. K.] Dartmouth Coll, Thayer Sch Engn, Hanover, NH 03755 USA; [Maksym, T.] Woods Hole Oceanog Inst, Woods Hole, MA 02543 USA</t>
  </si>
  <si>
    <t>University of Texas System; University of Texas at San Antonio (UTSA); Dartmouth College; Woods Hole Oceanographic Institution</t>
  </si>
  <si>
    <t>Ackley, SF (corresponding author), UTSA, NASA Ctr Adv Measurements Extreme Environm, San Antonio, TX 78249 USA.</t>
  </si>
  <si>
    <t>Stephen.ackley@utsa.edu</t>
  </si>
  <si>
    <t>National Science Foundation [ANT-1341513, ANT-0839053]; NASA Center for Advanced Measurements in Extreme Environments or NASA-CAMEE at UTSA, NASA [80NSSC19M0194]</t>
  </si>
  <si>
    <t>National Science Foundation(National Science Foundation (NSF)); NASA Center for Advanced Measurements in Extreme Environments or NASA-CAMEE at UTSA, NASA</t>
  </si>
  <si>
    <t>This work was supported by the National Science Foundation grant to UTSA, ANT-0839053-Sea Ice System in Antarctic Summer (S.F. Ackley, H. Xie and B. Weissling), and to WHOI, ANT-1341513 (T. Maksym), and by the NASA Center for Advanced Measurements in Extreme Environments or NASA-CAMEE at UTSA, NASA #80NSSC19M0194 (S.F. Ackley, H. Xie, B.Weissling).</t>
  </si>
  <si>
    <t>PII S0260305520000221</t>
  </si>
  <si>
    <t>10.1017/aog.2020.22</t>
  </si>
  <si>
    <t>WOS:000586257600011</t>
  </si>
  <si>
    <t>Li, Q; Zhou, CX; Zheng, L; Liu, TT; Yang, XT</t>
  </si>
  <si>
    <t>Li, Qing; Zhou, Chunxia; Zheng, Lei; Liu, Tingting; Yang, Xiaotong</t>
  </si>
  <si>
    <t>Monitoring evolution of melt ponds on first-year and multiyear sea ice in the Canadian Arctic Archipelago with optical satellite data</t>
  </si>
  <si>
    <t>Air temperature; albedo; first-year ice; melt pond fraction; multiyear ice</t>
  </si>
  <si>
    <t>ALBEDO; VARIABILITY; CRYOSPHERE</t>
  </si>
  <si>
    <t>The evolution of melt ponds on Arctic sea ice in summer is one of the main factors that affect sea-ice albedo and hence the polar climate system. Due to the different spectral properties of open water, melt pond and sea ice, the melt pond fraction (MPF) can be retrieved using a fully constrained least-squares algorithm, which shows a high accuracy with root mean square error similar to 0.06 based on the validation experiment using WorldView-2 image. In this study, the evolution of ponds on first-year and multiyear ice in the Canadian Arctic Archipelago was compared based on Sentinel-2 and Landsat 8 images. The relationships of pond coverage with air temperature and albedo were analysed. The results show that the pond coverage on first-year ice changed dramatically with seasonal maximum of 54%, whereas that on multiyear ice changed relatively flat with only 30% during the entire melting period. During the stage of pond formation, the ponds expanded rapidly when the temperature increased to over 0 degrees C for three consecutive days. Sea-ice albedo shows a significantly negative correlation (R = -1) with the MPF in melt season and increases gradually with the refreezing of ponds and sea ice.</t>
  </si>
  <si>
    <t>[Li, Qing; Zhou, Chunxia; Zheng, Lei; Liu, Tingting] Wuhan Univ, Chinese Antarctic Ctr Surveying &amp; Mapping, Wuhan 430079, Peoples R China; [Yang, Xiaotong] Natl Marine Data &amp; Informat Serv, Tianjin 300171, Peoples R China</t>
  </si>
  <si>
    <t>Wuhan University; National Marine Data &amp; Information Service</t>
  </si>
  <si>
    <t>Zhou, CX (corresponding author), Wuhan Univ, Chinese Antarctic Ctr Surveying &amp; Mapping, Wuhan 430079, Peoples R China.</t>
  </si>
  <si>
    <t>zhoucx@whu.edu.cn</t>
  </si>
  <si>
    <t>National Key Research and Development Program of China [2018YFC1406102]; National Natural Science Foundation of China (NSFC) [41776200, 41531069]; Funds for the Distinguished Young Scientists of Hubei Province (China) [2019CFA057]</t>
  </si>
  <si>
    <t>National Key Research and Development Program of China; National Natural Science Foundation of China (NSFC)(National Natural Science Foundation of China (NSFC)); Funds for the Distinguished Young Scientists of Hubei Province (China)</t>
  </si>
  <si>
    <t>This research is funded by the National Key Research and Development Program of China (2018YFC1406102), the National Natural Science Foundation of China (NSFC) (41776200, 41531069) and the Funds for the Distinguished Young Scientists of Hubei Province (China) (2019CFA057).</t>
  </si>
  <si>
    <t>PII S0260305520000245</t>
  </si>
  <si>
    <t>10.1017/aog.2020.24</t>
  </si>
  <si>
    <t>WOS:000586257600014</t>
  </si>
  <si>
    <t>Eayrs, C; Faller, D; Holland, DM</t>
  </si>
  <si>
    <t>Eayrs, Clare; Faller, Daiane; Holland, David M.</t>
  </si>
  <si>
    <t>Mechanisms driving the asymmetric seasonal cycle of Antarctic Sea Ice in the CESM Large Ensemble</t>
  </si>
  <si>
    <t>Ice; atmosphere interactions; sea ice; sea-ice growth and decay</t>
  </si>
  <si>
    <t>SEMIANNUAL OSCILLATION; ATMOSPHERIC CIRCULATION; EXTENT; VARIABILITY; PERFORMANCE; DECAY; MODEL</t>
  </si>
  <si>
    <t>The yearly paired process of slow growth and rapid melt of some 15 million square kilometers of Antarctic sea ice takes place with a regular asymmetry; the process has been linked to the relationship of the position of the ice edge with the band of low pressure that circles the continent between 60 degrees and 70 degrees S. In autumn, winds to the north of the low-pressure band slow the advancing ice edge. In summer, Ekman divergence created by opposing winds on either side of the low-pressure band opens up warm water regions that rapidly melt sea ice. We use the 40 ensemble members from the CESM-LENS historical run (1920-2005) to examine the relationship between the asymmetry in the annual cycle and the position and intensity of the low-pressure band. CESM-LENS reproduces the magnitude of the annual cycle of Antarctic sea ice extent with a short lag (2 weeks). Melt rate is the characteristic of the annual cycle that varies the most. Our results provide evidence that lower pressure leads to increased melt rates, which supports the importance of the role of divergence in increasing the melt rate of Antarctic sea ice. The role of winds during the growing season remains unquantified.</t>
  </si>
  <si>
    <t>[Eayrs, Clare; Faller, Daiane; Holland, David M.] New York Univ Abu Dhabi, Ctr Global Sea Level Change, Abu Dhabi, U Arab Emirates; [Holland, David M.] NYU, Courant Inst Math Sci, Ctr Atmosphere Ocean Sci, New York, NY 10003 USA</t>
  </si>
  <si>
    <t>New York University Abu Dhabi; New York University</t>
  </si>
  <si>
    <t>Eayrs, C (corresponding author), New York Univ Abu Dhabi, Ctr Global Sea Level Change, Abu Dhabi, U Arab Emirates.</t>
  </si>
  <si>
    <t>clare.eayrs@nyu.edu</t>
  </si>
  <si>
    <t>Eayrs, Clare/T-7969-2019</t>
  </si>
  <si>
    <t>Eayrs, Clare/0000-0003-3129-7604</t>
  </si>
  <si>
    <t>Center for global Sea Level Change (CSLC) of NYU Abu Dhabi Research Institute in the UAE [G1204]</t>
  </si>
  <si>
    <t>Center for global Sea Level Change (CSLC) of NYU Abu Dhabi Research Institute in the UAE</t>
  </si>
  <si>
    <t>This research was supported by the Center for global Sea Level Change (CSLC) of NYU Abu Dhabi Research Institute (G1204) in the UAE. Sea-ice data were obtained from NSIDC Climate Data Record (Fetterer and others, 2017, https://nsidc.org/data/G02202).ERA5 monthly and daily reanalysis datasets were obtained from the Copernicus Climate Change Service Climate Data Store (CDS, 2017, https://cds.climate.copernicus.eu).CESM-LENS outputs (Kay and others, 2015) were downloaded from http://www.cesm.ucar.edu/projects/community-projects/LENS/datasets.html.We thank Philip Rodenbough and the Scientific Writing Program at the New York University Abu Dhabi.</t>
  </si>
  <si>
    <t>PII S0260305520000269</t>
  </si>
  <si>
    <t>10.1017/aog.2020.26</t>
  </si>
  <si>
    <t>WOS:000586257600016</t>
  </si>
  <si>
    <t>Ackley, SF; Stammerjohn, S; Maksym, T; Smith, M; Cassano, J; Guest, P; Tison, JL; Delille, B; Loose, B; Sedwick, P; DePace, L; Roach, L; Parno, J</t>
  </si>
  <si>
    <t>Ackley, S. F.; Stammerjohn, S.; Maksym, T.; Smith, M.; Cassano, J.; Guest, P.; Tison, J-L; Delille, B.; Loose, B.; Sedwick, P.; DePace, L.; Roach, L.; Parno, J.</t>
  </si>
  <si>
    <t>Sea-ice production and air/ice/ocean/biogeochemistry interactions in the Ross Sea during the PIPERS 2017 autumn field campaign</t>
  </si>
  <si>
    <t>Atmosphere; ice; ocean interactions; ice; ocean interactions; sea ice; sea-ice growth and decay</t>
  </si>
  <si>
    <t>SOUTHERN-OCEAN; GAS-EXCHANGE; THICKNESS; VARIABILITY; ANTARCTICA; ROUGHNESS; TRENDS; WATER; IRON; FLUX</t>
  </si>
  <si>
    <t>The Ross Sea is known for showing the greatest sea-ice increase, as observed globally, particularly from 1979 to 2015. However, corresponding changes in sea-ice thickness and production in the Ross Sea are not known, nor how these changes have impacted water masses, carbon fluxes, biogeochemical processes and availability of micronutrients. The PIPERS project sought to address these questions during an autumn ship campaign in 2017 and two spring airborne campaigns in 2016 and 2017. PIPERS used a multidisciplinary approach of manned and autonomous platforms to study the coupled air/ice/ocean/biogeochemical interactions during autumn and related those to spring conditions. Unexpectedly, the Ross Sea experienced record low sea ice in spring 2016 and autumn 2017. The delayed ice advance in 2017 contributed to (1) increased ice production and export in coastal polynyas, (2) thinner snow and ice cover in the central pack, (3) lower sea-ice Chl-a burdens and differences in sympagic communities, (4) sustained ocean heat flux delaying ice thickening and (5) a melting, anomalously southward ice edge persisting into winter. Despite these impacts, airborne observations in spring 2017 suggest that winter ice production over the continental shelf was likely not anomalous.</t>
  </si>
  <si>
    <t>[Ackley, S. F.] Univ Texas San Antonio, Ctr Adv Measurements Extreme Environm, San Antonio, TX 78249 USA; [Stammerjohn, S.] Univ Colorado, Inst Arctic &amp; Alpine Res, Boulder, CO 80309 USA; [Maksym, T.] Woods Hole Oceanog Inst, Dept Appl Ocean Phys &amp; Engn, Woods Hole, MA 02543 USA; [Smith, M.] Univ Washington, Appl Phys Lab, Seattle, WA 98105 USA; [Cassano, J.] Univ Colorado, Atmospher &amp; Ocean Sci, Boulder, CO 80309 USA; [Guest, P.] NPS, Dept Meteorol, Monterey, CA USA; [Tison, J-L] Univ Libre Bruxelles, PROPICE Unit, Lab Glaciol, Brussels, Belgium; [Delille, B.] Univ Liege, Astrophys Geophys &amp; Oceanog Dept, Unite Oceanog Chim, Liege, Belgium; [Loose, B.] Univ Rhode Isl, Grad Sch Oceanog, Narragansett, RI 02882 USA; [Sedwick, P.] Old Dominion Univ, Dept Ocean Earth &amp; Atmospher Sci, Norfolk, VA USA; [DePace, L.] US Coast Guard Acad, Dept Sci, New London, CT USA; [Roach, L.] Univ Washington, Atmospher Sci, Seattle, WA 98195 USA; [Parno, J.] Cold Reg Res &amp; Engn Lab, Hanover, NH USA</t>
  </si>
  <si>
    <t>University of Texas System; University of Texas at San Antonio (UTSA); University of Colorado System; University of Colorado Boulder; Woods Hole Oceanographic Institution; University of Washington; University of Washington Seattle; University of Colorado System; University of Colorado Boulder; Universite Libre de Bruxelles; University of Liege; University of Rhode Island; Old Dominion University; University of Washington; University of Washington Seattle; United States Department of Defense; United States Army; U.S. Army Corps of Engineers; U.S. Army Engineer Research &amp; Development Center (ERDC); Cold Regions Research &amp; Engineering Laboratory (CRREL)</t>
  </si>
  <si>
    <t>Ackley, SF (corresponding author), Univ Texas San Antonio, Ctr Adv Measurements Extreme Environm, San Antonio, TX 78249 USA.</t>
  </si>
  <si>
    <t>Roach, Lettie/HKV-2511-2023; Cassano, John/HKW-8817-2023; Delille, Bruno/C-3486-2008</t>
  </si>
  <si>
    <t>Roach, Lettie/0000-0003-4189-3928; Delille, Bruno/0000-0003-0502-8101; Sedwick, Peter/0000-0003-0663-8323</t>
  </si>
  <si>
    <t>NSF [ANT-1341717, ANT-1341513, ANT-1341606, ANT-1341725, ANT-1543483]; NASA [80NSSC19M0194]; LTER Program under NFS award [ANT-0823101]; Belgian F.R.S-FNRS [T.0268.16, J.0262.17]</t>
  </si>
  <si>
    <t>NSF(National Science Foundation (NSF)); NASA(National Aeronautics &amp; Space Administration (NASA)); LTER Program under NFS award; Belgian F.R.S-FNRS(Fonds de la Recherche Scientifique - FNRS)</t>
  </si>
  <si>
    <t>We are greatly indebted to the Antarctic Support Contractors who went above and beyond in supporting PIPERS extensive planning and logistics. We also thank the crew of the N. B. Palmer, for most of whom PIPERS was their first cruise on the N. B. Palmer and some not knowing they were going to Antarctica in the dark of night. (Tahiti was their end destination.) NSF supported PIPERS award numbers: ANT-1341717 (S.F. Ackley, UTSA); ANT-1341513 (E. Maksym, WHOI); ANT-1341606 (S. Stammerjohn and J. Cassano, U Colorado); ANT-1341725 (P. Guest, NPS). P. Sedwick was supported by NSF ANT-1543483. S.F. Ackley was also supported by NASA Grant 80NSSC19M0194 to the Center for Advanced Measurements in Extreme Environments at UTSA. S. Stammerjohn was also supported by the LTER Program under NFS award number ANT-0823101 (H. Ducklow, LDEO/Columbia University). Additional support was by the Belgian F.R.S-FNRS (project ISOGGAP and IODIne, contract T.0268.16 and J.0262.17, respectively). Bruno Delille is a research associate of the F.R.S.-FNRS. Terra-Sar-X quicklook imagery was coordinated by Kathrin Hoeppner at DLR, and Andy Archer (with the Antarctic Support Contractor) provided selected (cloud-free) MODIS scenes and daily maps of AMSR2 sea-ice concentration.</t>
  </si>
  <si>
    <t>PII S0260305520000312</t>
  </si>
  <si>
    <t>10.1017/aog.2020.31</t>
  </si>
  <si>
    <t>WOS:000586257600017</t>
  </si>
  <si>
    <t>Kohout, AL; Smith, M; Roach, LA; Williams, G; Montiel, F; Williams, MJM</t>
  </si>
  <si>
    <t>Kohout, Alison L.; Smith, Madison; Roach, Lettie A.; Williams, Guy; Montiel, Fabien; Williams, Michael J. M.</t>
  </si>
  <si>
    <t>Observations of exponential wave attenuation in Antarctic sea ice during the PIPERS campaign</t>
  </si>
  <si>
    <t>Sea ice; sea-ice dynamics; sea-ice growth and decay</t>
  </si>
  <si>
    <t>FLOE SIZE; OCEAN WAVES; MODEL; THICKNESS</t>
  </si>
  <si>
    <t>Quantifying the rate of wave attenuation in sea ice is key to understanding trends in the Antarctic marginal ice zone extent. However, a paucity of observations of waves in sea ice limits progress on this front. We deployed 14 waves-in-ice observation systems (WIIOS) on Antarctic sea ice during the Polynyas, Ice Production, and seasonal Evolution in the Ross Sea expedition (PIPERS) in 2017. The WIIOS provide in situ measurement of surface wave characteristics. Two experiments were conducted, one while the ship was inbound and one outbound. The sea ice throughout the experiments generally consisted of pancake and young ice &lt;0.5 m thick. The WIIOS survived a minimum of 4 d and a maximum of 6 weeks. Several large-wave events were captured, with the largest recorded significant wave height over 9 m. We find that the total wave energy measured by the WIIOS generally decays exponentially in the ice and the rate of decay depends on ice concentration.</t>
  </si>
  <si>
    <t>[Kohout, Alison L.] Natl Inst Water &amp; Atmospher Res, Christchurch, New Zealand; [Smith, Madison] Univ Washington, Appl Phys Lab, Seattle, WA 98105 USA; [Roach, Lettie A.] Univ Washington, Atmospher Sci, Seattle, WA 98195 USA; [Williams, Guy] Univ Tasmania, Inst Marine &amp; Antarctic Studies, Hobart, Tas, Australia; [Montiel, Fabien] Univ Otago, Dept Math &amp; Stat, Dunedin, New Zealand; [Williams, Michael J. M.] Natl Inst Water &amp; Atmospher Res, Wellington, New Zealand</t>
  </si>
  <si>
    <t>National Institute of Water &amp; Atmospheric Research (NIWA) - New Zealand; University of Washington; University of Washington Seattle; University of Washington; University of Washington Seattle; University of Tasmania; University of Otago; National Institute of Water &amp; Atmospheric Research (NIWA) - New Zealand</t>
  </si>
  <si>
    <t>Kohout, AL (corresponding author), Natl Inst Water &amp; Atmospher Res, Christchurch, New Zealand.</t>
  </si>
  <si>
    <t>alison.kohout@niwa.co.nz</t>
  </si>
  <si>
    <t>Smith, Madison/JME-8685-2023; Roach, Lettie/HKV-2511-2023</t>
  </si>
  <si>
    <t>Roach, Lettie/0000-0003-4189-3928; Kohout, Alison/0000-0001-7193-8977</t>
  </si>
  <si>
    <t>New Zealand's Deep South National Science Challenge Targeted Observation and Process-Informed Modelling of Antarctic Sea Ice, NIWA core funding under the National Climate Centre Climate Systems programme; Australian Research Council; Marsden Fund project [18-UOO-216]</t>
  </si>
  <si>
    <t>New Zealand's Deep South National Science Challenge Targeted Observation and Process-Informed Modelling of Antarctic Sea Ice, NIWA core funding under the National Climate Centre Climate Systems programme; Australian Research Council(Australian Research Council); Marsden Fund project</t>
  </si>
  <si>
    <t>We thank Steve Ackley and the captain and crew of RV Nathaniel B. Palmer for their assistance in deploying the waves-in-ice instruments. We also thank Erick Rogers for his contribution and feedback, Lily Gamson for analysing the ERA5 reanalysis wind data and Richard Gorman for providing the WAVEWATCH III (v4.18) third-generation spectral wave model results. The work was funded through New Zealand's Deep South National Science Challenge Targeted Observation and Process-Informed Modelling of Antarctic Sea Ice, NIWA core funding under the National Climate Centre Climate Systems programme, the Australian Research Council Discovery Project 'Investigating the impact of enhanced Southern Ocean wave penetration on Antarctic sea ice with robots from above, below and within', and the Marsden Fund project `Breaking the ice: process-informed modelling of sea-ice erosion due to ocean wave interactions' (18-UOO-216) administered by the Royal Society of New Zealand.</t>
  </si>
  <si>
    <t>PII S0260305520000361</t>
  </si>
  <si>
    <t>10.1017/aog.2020.36</t>
  </si>
  <si>
    <t>WOS:000586257600018</t>
  </si>
  <si>
    <t>Zhang, QC; Li, F; Lei, JT; Zhang, SK; Ding, ZM; Chen, W; Li, WH</t>
  </si>
  <si>
    <t>Zhang, Qingchuan; Li, Fei; Lei, Jintao; Zhang, Shengkai; Ding, Zhuoming; Chen, Wu; Li, Wenhao</t>
  </si>
  <si>
    <t>Freeboard height and snow depth observed by floating GPS on land-fast sea ice in Nella Fjord, Antarctica</t>
  </si>
  <si>
    <t>GPS; sea-ice freeboard; sea-ice thickness; snow depth</t>
  </si>
  <si>
    <t>OPERATION ICEBRIDGE; WEDDELL SEA; CRYOSAT-2; THICKNESS; REFLECTOMETRY; VARIABILITY; RETRIEVAL; CLIMATE; STATION; LASER</t>
  </si>
  <si>
    <t>Although altimeters have been widely used to monitor the spatiotemporal variation of sea-ice thickness, they are unable to separate sea-ice freeboard from snow depth. We use a floating GPS deployed on sea ice to derive the freeboard and snow depth near China's Zhongshan Station. Our results show that the standalone floating GPS can monitor freeboard with a precision of 4.2 cm. If time-varying dynamic ocean topography provided by, for example, a bottom pressure gauge is available, then the precision of GPS-derived freeboard can improve to 1.3 cm. The daily snow depth inverted by GPS interferometric reflectometry captures three precipitation events during our experiment, showing that the floating GPS can monitor the variation in snow depth and observe the freeboard variation at the same time. By studying the relationship between freeboard, snow depth and sea-ice thickness, we find that sea-ice thickness will be greatly underestimated by the negative single-point freeboard under the assumption of hydrostatic equilibrium. As a supplement to existing technologies, the GPS-derived freeboard and snow depth can be used both to evaluate the altimeter observations directly and to improve our understanding of the real-time variation of freeboard and snow depth in the experimental area.</t>
  </si>
  <si>
    <t>[Zhang, Qingchuan; Li, Fei; Lei, Jintao; Zhang, Shengkai; Li, Wenhao] Wuhan Univ, Chinese Antarctic Ctr Surveying &amp; Mapping, Wuhan, Peoples R China; [Lei, Jintao; Chen, Wu] Hong Kong Polytech Univ, Dept Land Surveying &amp; Geoinformat, Hong Kong, Peoples R China; [Ding, Zhuoming] Natl Marine Environm Forecasting Ctr NMEFC, Beijing, Peoples R China</t>
  </si>
  <si>
    <t>Wuhan University; Hong Kong Polytechnic University; National Marine Environmental Forecasting Center</t>
  </si>
  <si>
    <t>Lei, JT (corresponding author), Wuhan Univ, Chinese Antarctic Ctr Surveying &amp; Mapping, Wuhan, Peoples R China.;Lei, JT (corresponding author), Hong Kong Polytech Univ, Dept Land Surveying &amp; Geoinformat, Hong Kong, Peoples R China.</t>
  </si>
  <si>
    <t>jintao.lei@whu.edu.cn</t>
  </si>
  <si>
    <t>LEI, Jintao/HHZ-6471-2022</t>
  </si>
  <si>
    <t>Lei, Jintao/0000-0002-4497-5868</t>
  </si>
  <si>
    <t>National Key Research and Development Program of China [2017YFA0603104, 2016YFB0501803]; State Key Program of National Natural Science Foundation of China [41531069]; Independent Scientific Research Program for Cross-disciplinary of Wuhan University [2042017kf0209]; Hong Kong RGC Joint Research Scheme [E-PolyU501/16]</t>
  </si>
  <si>
    <t>National Key Research and Development Program of China; State Key Program of National Natural Science Foundation of China(National Natural Science Foundation of China (NSFC)); Independent Scientific Research Program for Cross-disciplinary of Wuhan University; Hong Kong RGC Joint Research Scheme(Hong Kong Research Grants Council)</t>
  </si>
  <si>
    <t>We thank the Chinese 33rd Antarctic Scientific Research Zhongshan overwintering team for the field support. Q. Z., F. L., S. Z., and W. L. are financially supported by the Grants from the National Key Research and Development Program of China (2017YFA0603104), the State Key Program of National Natural Science Foundation of China (41531069) and the Independent Scientific Research Program for Cross-disciplinary of Wuhan University (2042017kf0209). J. L. and W. C. are supported by the Grants from the National Key Research and Development Program of China (2016YFB0501803) and the Hong Kong RGC Joint Research Scheme (E-PolyU501/16).</t>
  </si>
  <si>
    <t>PII S0260305520000415</t>
  </si>
  <si>
    <t>10.1017/aog.2020.41</t>
  </si>
  <si>
    <t>WOS:000586257600020</t>
  </si>
  <si>
    <t>Kim, HD; Choi, JI</t>
  </si>
  <si>
    <t>Kim, Hyun-do; Choi, Jong-il</t>
  </si>
  <si>
    <t>Medium Optimization and Proteome Analysis of Protease Production by Janthinobacterium sp.</t>
  </si>
  <si>
    <t>BIOTECHNOLOGY AND BIOPROCESS ENGINEERING</t>
  </si>
  <si>
    <t>Antarctic microorganism; medium optimization; protease; proteome analysis</t>
  </si>
  <si>
    <t>LOW-TEMPERATURE; COLD; PURIFICATION; RESISTANCE; GROWTH</t>
  </si>
  <si>
    <t>This study describes the optimization of a culture medium to improve protease production by Janthinobacterium sp. using response surface methodology (RSM) and comparative proteomic analysis. Using a one-variable-at-a-time approach, dextrose, Triton X-100, peptone, and pH were identified as significant factors affecting protease production. The optimized medium resulted in a 6.25-fold increase in protease activity when compared to that in the original medium. To investigate the metabolic changes in the optimized medium, extracellular and intracellular proteins were analyzed by two-dimensional gel electrophoresis. Some proteins essential to cell viability were highly expressed in the optimized medium and the outer membrane protein A was secreted at a higher level. These results can be useful for the industrial application of psychrophiles that produce cold-adapted enzymes.</t>
  </si>
  <si>
    <t>[Kim, Hyun-do; Choi, Jong-il] Chonnam Natl Univ, Dept Biotechnol &amp; Bioengn, Interdisciplinary Program Bioenergy &amp; Biomat, Gwangju 61186, South Korea</t>
  </si>
  <si>
    <t>Chonnam National University</t>
  </si>
  <si>
    <t>Choi, JI (corresponding author), Chonnam Natl Univ, Dept Biotechnol &amp; Bioengn, Interdisciplinary Program Bioenergy &amp; Biomat, Gwangju 61186, South Korea.</t>
  </si>
  <si>
    <t>choiji01@jnu.ac.kr</t>
  </si>
  <si>
    <t>Choi, Jong-Il/P-7476-2018</t>
  </si>
  <si>
    <t>KOREAN SOC BIOTECHNOLOGY &amp; BIOENGINEERING</t>
  </si>
  <si>
    <t>SEOUL</t>
  </si>
  <si>
    <t>KOREAN SCIENCE TECHNOLOGY CENTER, #704 YEOGSAM-DONG, KANGNAM-KU, SEOUL 135-703, SOUTH KOREA</t>
  </si>
  <si>
    <t>1226-8372</t>
  </si>
  <si>
    <t>1976-3816</t>
  </si>
  <si>
    <t>BIOTECHNOL BIOPROC E</t>
  </si>
  <si>
    <t>Biotechnol. Bioprocess Eng.</t>
  </si>
  <si>
    <t>10.1007/s12257-020-0110-x</t>
  </si>
  <si>
    <t>ON7KQ</t>
  </si>
  <si>
    <t>WOS:000586875300016</t>
  </si>
  <si>
    <t>Trayler, RB; Kohn, MJ; Bargo, MS; Cuitiño, JI; Kay, RF; Strömberg, CAE; Vizcaíno, SF</t>
  </si>
  <si>
    <t>Trayler, Robin B.; Kohn, Matthew J.; Bargo, M. Susana; Cuitino, Jose I.; Kay, Richard F.; Stromberg, Caroline A. E.; Vizcaino, Sergio F.</t>
  </si>
  <si>
    <t>Patagonian Aridification at the Onset of the Mid-Miocene Climatic Optimum</t>
  </si>
  <si>
    <t>SANTA-CRUZ FORMATION; OXYGEN-ISOTOPE COMPOSITIONS; TOOTH ENAMEL MINERALIZATION; ANTARCTIC ICE-SHEET; STABLE-ISOTOPES; UNGULATES ASTRAPOTHERIA; MONTEREY FORMATION; SOIL-TEMPERATURE; NAPLES-BEACH; FOSSIL BONE</t>
  </si>
  <si>
    <t>Fossil-rich sediments of the Santa Cruz Formation, Patagonia, Argentina, span the initiation of the Miocene Climatic Optimum (MCO), the most recent period of warm and wet conditions in the Cenozoic. These conditions drove the expansion of tropical and subtropical ecosystems to much higher latitudes, with the fossiliferous Santa Cruz Formation recording one of the southernmost examples. We collected new carbon and oxygen isotope compositions of herbivore tooth enamel from fossils similar to 17.4 to 16.4 Ma in age to investigate ecological and climatic changes across the initiation of the MCO. Enamel delta C-13 values are consistent with a C-3-dominated ecosystem with moderate precipitation and a mix of wooded and more open areas. Serially sampled teeth reveal little zoning in delta C-13 and delta O-18 values, suggesting little seasonal variation in water and plant isotope compositions or seasonal changes in diet. Carbon isotope-based estimates of mean annual precipitation (MAP) are consistent with aridification, with MAP decreasing from similar to 1,000 +/- 235 mm/yr at 17.4 Ma to similar to 525 +/- 105 mm/yr at the start of the climatic optimum (similar to 16.9 Ma). This decrease corresponds to increasing global temperatures, as indicated by marine proxy records, and was followed by a rebound to similar to 840 +/- 270 mm/yr by similar to 16.4 Ma. In comparison to a modern mean annual temperature (MAT) in the region of similar to 8 degrees C, oxygen isotopes indicate high MAT (at least 20 degrees C) at the onset of the MCO at 16.9 Ma and a significant increase in MAT to similar to 25 degrees C by 16.4 Ma.</t>
  </si>
  <si>
    <t>[Trayler, Robin B.] Univ Calif Merced, Dept Life &amp; Environm Sci, Merced, CA 95343 USA; [Trayler, Robin B.; Kohn, Matthew J.] Boise State Univ, Dept Geosci, Boise, ID 83725 USA; [Bargo, M. Susana; Vizcaino, Sergio F.] Museo La Plata, Unidades Invest, CIC, Div Paleontol Vertebrados, La Plata, Argentina; [Bargo, M. Susana; Vizcaino, Sergio F.] Consejo Nacl Invest Cient &amp; Tecn, La Plata, Argentina; [Cuitino, Jose I.] CENPAT CONICET, Inst Patagon Geol &amp; Paleontol, Puerto Madryn, Argentina; [Kay, Richard F.] Duke Univ, Nicholas Sch Environm, Trinity Coll, Dept Evolutionary Anthropol, Durham, NC 27708 USA; [Kay, Richard F.] Duke Univ, Nicholas Sch Environm, Div Earth &amp; Ocean Sci, Durham, NC 27708 USA; [Stromberg, Caroline A. E.] Univ Washington, Dept Biol, Seattle, WA 98195 USA; [Stromberg, Caroline A. E.] Univ Washington, Burke Museum Nat Hist &amp; Culture, Seattle, WA 98195 USA</t>
  </si>
  <si>
    <t>University of California System; University of California Merced; Idaho; Boise State University; National University of La Plata; Museo La Plata; Consejo Nacional de Investigaciones Cientificas y Tecnicas (CONICET); Consejo Nacional de Investigaciones Cientificas y Tecnicas (CONICET); Centro Nacional Patagonico (CENPAT); Duke University; Duke University; University of Washington; University of Washington Seattle; University of Washington; University of Washington Seattle</t>
  </si>
  <si>
    <t>Trayler, RB (corresponding author), Univ Calif Merced, Dept Life &amp; Environm Sci, Merced, CA 95343 USA.;Trayler, RB (corresponding author), Boise State Univ, Dept Geosci, Boise, ID 83725 USA.</t>
  </si>
  <si>
    <t>rtrayler@ucmerced.edu</t>
  </si>
  <si>
    <t>Cuitiño, José Ignacio/HLQ-7475-2023; Kohn, Matthew J/A-2562-2012</t>
  </si>
  <si>
    <t>Cuitiño, José Ignacio/0000-0002-4742-7920; Bargo, M. Susana/0000-0002-8380-8800; Kohn, Matthew/0000-0002-7202-4525; Vizcaino, Sergio/0000-0001-5197-9472</t>
  </si>
  <si>
    <t>National Science Foundation [EAR-1349749, EAR-1349741, EAR-1349530, UNLP N867, PICT 2013-0389, PICT 2017-1081]</t>
  </si>
  <si>
    <t>We thank Dr. Samantha Evans for her assistance with stable isotope analyses and three anonymous reviewers for their incisive and comprehensive comments that significantly improved this manuscript. We also thank Dr. Christopher Hill and Dr. Mark Schmitz for their insightful comments on earlier versions of this manuscript. This work was funded by National Science Foundation Grants EAR-1349749 (M. J. K.), EAR-1349741 (R. F. K.), and EAR-1349530 (C. A. E. S.) and also grants UNLP N867, PICT 2013-0389 (S. F. V.), and PICT 2017-1081 (M. S. B.).</t>
  </si>
  <si>
    <t>e2020PA003956</t>
  </si>
  <si>
    <t>10.1029/2020PA003956</t>
  </si>
  <si>
    <t>NY4YO</t>
  </si>
  <si>
    <t>WOS:000576397200003</t>
  </si>
  <si>
    <t>D'Asaro, E; Altabet, M; Kumar, NS; Ravichandran, M</t>
  </si>
  <si>
    <t>D'Asaro, Eric; Altabet, Mark; Kumar, N. Suresh; Ravichandran, M.</t>
  </si>
  <si>
    <t>Structure of the Bay of Bengal oxygen deficient zone</t>
  </si>
  <si>
    <t>MINIMUM ZONES; DENITRIFICATION; NITROGEN; WATER; SEA</t>
  </si>
  <si>
    <t>Oxygen levels within the oxygen deficient zone (ODZ) of the Bay of Bengal are mapped using 11 ARGO floats spanning 5 years. North of about 18 degrees N in the ODZ 'core', minimum oxygen levels are uniformly below similar to 1 mu mol kg(-1). South of this, in the ODZ 'edge', oxygen levels increase toward an average of about 7 mu mol kg(-1) at 10 degrees N, but with high variability so that values below similar to 1 mu mol kg(-1) occur at all latitudes. This variability is consistent with simple models of mesoscale eddy stirring which suggest an exchange time for the core of about 1 year. Existing measurements of microbial transformation of nitrate to N-2 in the Bay of Bengal have only been made in the edge region and may underestimate rates in the core region with lowest O-2 concentration and thus the overall N transformation rates in this ODZ.</t>
  </si>
  <si>
    <t>[D'Asaro, Eric] Univ Washington, Appl Phys Lab, Seattle, WA 98105 USA; [Altabet, Mark] Univ Massachusetts, Dartmouth, MA USA; [Kumar, N. Suresh] ESSO Indian Natl Ctr Ocean Informat Serv, Hyderabad, India; [Ravichandran, M.] Natl Ctr Antarctic &amp; Ocean Res, Vasco Da Gama, Goa, India</t>
  </si>
  <si>
    <t>University of Washington; University of Washington Seattle; University of Massachusetts System; University Massachusetts Dartmouth; Ministry of Earth Sciences (MoES) - India; Indian National Centre for Ocean Information Services (INCOIS); Ministry of Earth Sciences (MoES) - India; National Centre for Polar and Ocean Research (NCPOR)</t>
  </si>
  <si>
    <t>D'Asaro, E (corresponding author), Univ Washington, Appl Phys Lab, Seattle, WA 98105 USA.</t>
  </si>
  <si>
    <t>dasaro@apl.washington.edu</t>
  </si>
  <si>
    <t>Kumar, Dr Suresh/HHZ-2615-2022; Kamalakannan, SURESHKUMAR/JQJ-1348-2023; Kumar, Sunil/HMP-2250-2023; Nimit, Kumar/L-6171-2015</t>
  </si>
  <si>
    <t>Kumar, Dr Suresh/0000-0002-2539-6553; Kamalakannan, SURESHKUMAR/0000-0003-4407-7838; Nimit, Kumar/0000-0002-3815-5919</t>
  </si>
  <si>
    <t>10.1016/j.dsr2.2019.104650</t>
  </si>
  <si>
    <t>OI0MA</t>
  </si>
  <si>
    <t>WOS:000582980000002</t>
  </si>
  <si>
    <t>Torterotot, M; Samaran, F; Stafford, KM; Royer, JY</t>
  </si>
  <si>
    <t>Torterotot, Maelle; Samaran, Flore; Stafford, Kathleen M.; Royer, Jean-Yves</t>
  </si>
  <si>
    <t>Distribution of blue whale populations in the Southern Indian Ocean based on a decade of acoustic monitoring</t>
  </si>
  <si>
    <t>Antarctic blue whale; Pygmy blue whale; Passive acoustics; Population distribution</t>
  </si>
  <si>
    <t>BALAENOPTERA-MUSCULUS-INTERMEDIA; SYMPATRIC AREA; CALLS; HEMISPHERE; ANTARCTICA; FREQUENCY; PATTERNS; SOUNDS; PYGMY; GULF</t>
  </si>
  <si>
    <t>Globally, the Indian Ocean appears to have the greatest blue whale (Balaenoptera musculus ssp) acoustic diversity, with at least four acoustic populations from three defined sub-species. To understand how these different populations use this region as habitat, we first need to characterize their spatial and seasonal distributions. Here, we build on previous passive acoustic monitoring studies and analyze a passive acoustic dataset spanning large temporal (9 years) and spatial (3-9 sites covering more than 12 million km(2) of potential acoustic habitat in the southwest Indian Ocean) scales. A novel detection algorithm was employed to investigate the long-term presence of Antarctic blue whale and SEIO and SWIO pygmy blue whale calls. We found that Antarctic and pygmy blue whales have completely different spatial and seasonal distribution in the southern Indian Ocean. Antarctic blue whales are heard almost year-round on the whole array, with great inter-annual variability. The two pygmy blue whales share a highly stable seasonal acoustic presence, but their geographical distributions overlap at only a few central Indian Ocean sites. However, Antarctic and pygmy blue whale acoustic co-occurrence is common, especially in sub-tropical waters. These temporal and spatial distributions strengthen our understanding of seasonal occurrence and habitat use of distinct populations of blue whales in the southern Indian Ocean. A better comprehension of the ecology of Indian Ocean blue whales will require interdisciplinary studies to examine the drivers of the variability seen from passive acoustic studies.</t>
  </si>
  <si>
    <t>[Torterotot, Maelle; Royer, Jean-Yves] Univ Brest, Lab Geosci Ocean, Brest, France; [Samaran, Flore] ENSTA Bretagne, Lab STICC, Brest, France; [Stafford, Kathleen M.] Univ Washington, Appl Phys Lab, Seattle, WA 98105 USA</t>
  </si>
  <si>
    <t>Universite de Bretagne Occidentale; ENSTA Bretagne; Universite de Bretagne Occidentale; University of Washington; University of Washington Seattle</t>
  </si>
  <si>
    <t>Torterotot, M (corresponding author), Univ Brest, Lab Geosci Ocean, Brest, France.</t>
  </si>
  <si>
    <t>maelle.torterotot@ensta-bretagne.fr</t>
  </si>
  <si>
    <t>Royer, Jean-Yves/B-4312-2010</t>
  </si>
  <si>
    <t>Royer, Jean-Yves/0000-0002-7653-7715; Stafford, Kathleen Mary/0000-0003-0039-5025</t>
  </si>
  <si>
    <t>French Polar Institute; French Oceanographic Fleet; INSU-CNRS; University of Brest; ISblue project, Interdisciplinary graduate school for a blue planet, a project of the French Government program Investissements d'Avenir [ANR-17-EURE-0015]</t>
  </si>
  <si>
    <t>French Polar Institute; French Oceanographic Fleet; INSU-CNRS(Centre National de la Recherche Scientifique (CNRS)); University of Brest; ISblue project, Interdisciplinary graduate school for a blue planet, a project of the French Government program Investissements d'Avenir(Agence Nationale de la Recherche (ANR))</t>
  </si>
  <si>
    <t>The authors wish to thank the captains and crews of RV Marion Dufresne for the successful deployments and recoveries of the instruments of the OHASISBIO array. Cruises were funded by the French Polar Institute and the French Oceanographic Fleet, with additional support from INSU-CNRS. M.T. was supported by a Ph.D. fellowship from the University of Brest. Her visit to K.M.S. was supported by a grant from the ISblue project, Interdisciplinary graduate school for a blue planet (ANR-17-EURE-0015), a project of the French Government program Investissements d'Avenir'. The authors thank Angelique Dremeau for her precious advice on statistical analysis. The contribution of Mickael Beauverger at LGO in the preparation and realization of the cruise is greatly appreciated. Finally, the authors would like to acknowledge the two anonymous reviewers for their precious comments that greatly helped to improve this paper.</t>
  </si>
  <si>
    <t>10.1016/j.dsr2.2020.104874</t>
  </si>
  <si>
    <t>WOS:000582980000012</t>
  </si>
  <si>
    <t>Khodzher, TV; Golobokova, LP; Maslenikova, MM; Osipov, EY; Ekaykin, AA</t>
  </si>
  <si>
    <t>Khodzher, T., V; Golobokova, L. P.; Maslenikova, M. M.; Osipov, E. Y.; Ekaykin, A. A.</t>
  </si>
  <si>
    <t>Chemistry of snow and ice cores along the ice flow lines at Lake Vostok (Antarctica)</t>
  </si>
  <si>
    <t>Antarctica; Station Vostok; Ice flow lines; Snow-firn cores; Snow chemistry; Ions; Volcanoes; Accumulation</t>
  </si>
  <si>
    <t>DRONNING MAUD LAND; EAST ANTARCTICA; CHEMICAL-COMPOSITION; RECORD; ACCUMULATION; PLATEAU; HISTORY; STATION; AREA; ASH</t>
  </si>
  <si>
    <t>The authors present the results of high resolution chemical studies of snow cover from pits and cores along the ice flow lines from Ridge B to Lake Vostok across its southern (profile VFL) and northern (profile NVFL) parts. The sampling was performed between 2006-2013 during the seasonal 52nd-57th Russian Antarctic expeditions (RAE). Chemical signals of non-sea-salt sulphates and an analysis of the morphology, size and composition of microparticles allowed for the identification of the products of large volcanic eruptions during the 19th and 20th centuries, including the eruptions of Tambora (1815), Krakatoa (1883), Agung (1963) and Pinatubo (1991). In the layers with high non-sea-salt sulphate concentrations, we found small aluminosilicate particles with K, Fe and Mg inclusions, which could be of volcanic origin. Using volcanic markers, we calculated snow accumulation rates for the past 200 years along the two ice flow lines. The maximal snow accumulation rates (33mm in water equivalent yr(-1)) were found in the northern ice flow line, and the minimal rates (25mm in water equivalent yr(-1)) were found in the southern ice flow line.</t>
  </si>
  <si>
    <t>[Khodzher, T., V; Golobokova, L. P.; Maslenikova, M. M.; Osipov, E. Y.] Limnol Inst SB RAS LIN SB RAS, 3 Ulan Batorskaya, Irkutsk 664033, Russia; [Ekaykin, A. A.] Arctic &amp; Antarctic Res Inst AARI, St Petersburg, Russia</t>
  </si>
  <si>
    <t>Khodzher, TV (corresponding author), Limnol Inst SB RAS LIN SB RAS, 3 Ulan Batorskaya, Irkutsk 664033, Russia.</t>
  </si>
  <si>
    <t>khodzher@lin.irk.ru</t>
  </si>
  <si>
    <t>Osipov, Eduard Y/J-9069-2018; Golobokova, Liudmila Petrovna/J-4361-2018</t>
  </si>
  <si>
    <t>Osipov, Eduard Y/0000-0002-8997-210X;</t>
  </si>
  <si>
    <t>RFBR [17-0501168]</t>
  </si>
  <si>
    <t>RFBR(Russian Foundation for Basic Research (RFBR))</t>
  </si>
  <si>
    <t>This study was supported by RFBR, research project No. 17-0501168. The investigations were carried out using Shared Research Facilities for Physical and Chemical Ultramicroanalysis LIN SB RAS.</t>
  </si>
  <si>
    <t>10.1016/j.chemer.2019.125595</t>
  </si>
  <si>
    <t>WOS:000583156800003</t>
  </si>
  <si>
    <t>Litvinenko, VS; Leitchenkov, GL; Vasiliev, NI</t>
  </si>
  <si>
    <t>Litvinenko, V. S.; Leitchenkov, G. L.; Vasiliev, N., I</t>
  </si>
  <si>
    <t>Anticipated sub-bottom geology of Lake Vostok and technological approaches considered for sampling</t>
  </si>
  <si>
    <t>Antarctica; Subglacial lake; Sediments; Sub-ice sampling technologies</t>
  </si>
  <si>
    <t>SUBGLACIAL LAKE; EARLY MIOCENE; ICE; CLIMATE; 5G</t>
  </si>
  <si>
    <t>Sedimentary strata contain a unique record of environmental and climatic changes in Central Antarctica over the past 20-30 Ma and their sampling and study is of utmost importance. The lake beneath Vostok Station (thickness of water layer) is estimated as 600m and sediment thickness as less than a few hundred meters. Strict environmental safety requirements preclude the use of conventional drilling technology to avoid drilling fluid contaminating the lake water, and thus the development of special technology is imperative. This paper provides a predictive geological cross-section of southern Lake Vostok and the potential sub-bottom strata including a technical solution for lake bottom sampling in 5 G borehole at Vostok Station.</t>
  </si>
  <si>
    <t>[Litvinenko, V. S.; Vasiliev, N., I] St Petersburg Min Univ, 2,21 Line, St Petersburg 199106, Russia; [Leitchenkov, G. L.] All Russia Res Inst Geol &amp; Mineral Resources Worl, 1 Angliysky Ave, St Petersburg 190121, Russia; [Leitchenkov, G. L.] 7-9 Univ Embankment, St Petersburg 199034, Russia</t>
  </si>
  <si>
    <t>Saint Petersburg Mining University; A.P. Karpinsky Russian Geological Research Institute (VSEGEI)</t>
  </si>
  <si>
    <t>Vasiliev, NI (corresponding author), St Petersburg Min Univ, 2,21 Line, St Petersburg 199106, Russia.</t>
  </si>
  <si>
    <t>rectorat@spmi.ru; german_1@mail.ru; vasilev_ni@mail.ru</t>
  </si>
  <si>
    <t>Russian Foundation of Fundamental Research [18-551600318]</t>
  </si>
  <si>
    <t>Russian Foundation of Fundamental Research(Russian Foundation for Basic Research (RFBR))</t>
  </si>
  <si>
    <t>The authors are grateful for the logistic support provided by the Russian Antarctic Expedition. This work was conducted with the support of the Russian Foundation of Fundamental Research No. 18-551600318.</t>
  </si>
  <si>
    <t>10.1016/j.chemer.2019.125556</t>
  </si>
  <si>
    <t>WOS:000583156800011</t>
  </si>
  <si>
    <t>Onishchuk, NA; Golobokova, LP; Vershinin, KE; Zhuchenko, NA</t>
  </si>
  <si>
    <t>Onishchuk, N. A.; Golobokova, L. P.; Vershinin, K. E.; Zhuchenko, N. A.</t>
  </si>
  <si>
    <t>Hydrochemical composition of glacial lakes on inshore Russian Antarctic stations</t>
  </si>
  <si>
    <t>Antarctic lakes; Ultimate composition; Biogenic elements; Organic matter; Enrichment factor</t>
  </si>
  <si>
    <t>MCMURDO DRY VALLEYS; FRESH-WATER LAKES; TRACE-ELEMENT; LARSEMANN HILLS; CHEMICAL-COMPOSITION; EAST ANTARCTICA; GEOCHEMISTRY; AEROSOL; IMPACTS; VANDA</t>
  </si>
  <si>
    <t>This paper reviews the chemical composition of 12 Antarctic lakes at offshore Russian stations in the period of seasonal work 55 and 58 RAE (Russian Antarctic Expedition) in December-January 2009-2010 and 2013-2014. Results of hydrochemical analyses of lake water, as well as their classification by ion composition, organic matter content, and mineralization, are presented in this paper. Low-level content of microelements in lake waters are also presented. Enrichment factors of lake waters in relation to ocean water were calculated and direct stratification of water from the surface to the bottom of Lake Progress was identified.</t>
  </si>
  <si>
    <t>[Onishchuk, N. A.; Golobokova, L. P.; Vershinin, K. E.; Zhuchenko, N. A.] Russian Acad Sci, Siberian Branch, Limnol Inst, 3 Ulan Batorskaya, Irkutsk 664033, Russia</t>
  </si>
  <si>
    <t>Irkutsk Science Centre of the Russian Academy of Sciences; Russian Academy of Sciences; Limnological Institute SB RAS</t>
  </si>
  <si>
    <t>Onishchuk, NA (corresponding author), Russian Acad Sci, Siberian Branch, Limnol Inst, 3 Ulan Batorskaya, Irkutsk 664033, Russia.</t>
  </si>
  <si>
    <t>onischuk@lin.irk.ru</t>
  </si>
  <si>
    <t>Onishchuk, Natalya/0000-0001-8496-2757; Zhuchenko, Natalya/0000-0002-9966-9040</t>
  </si>
  <si>
    <t>Russian Foundation for Basic Research (RFBR) [15-55-16001]</t>
  </si>
  <si>
    <t>Russian Foundation for Basic Research (RFBR)(Russian Foundation for Basic Research (RFBR))</t>
  </si>
  <si>
    <t>The reported study was supported by the Russian Foundation for Basic Research (RFBR) [research project No. 15-55-16001].</t>
  </si>
  <si>
    <t>10.1016/j.chemer.2019.125591</t>
  </si>
  <si>
    <t>WOS:000583156800002</t>
  </si>
  <si>
    <t>Osipov, EY; Osipova, OP; Khodzher, TV</t>
  </si>
  <si>
    <t>Osipov, E. Y.; Osipova, O. P.; Khodzher, T., V</t>
  </si>
  <si>
    <t>Recent variability of atmospheric circulation patterns inferred from East Antarctica glaciochemical records</t>
  </si>
  <si>
    <t>Antarctica; Snow chemistry; Ions; Backward trajectories; Atmospheric circulation; PCA</t>
  </si>
  <si>
    <t>POLAR ICE CORES; SNOW CHEMISTRY; SURFACE SNOW; CHEMICAL-COMPOSITION; SPATIAL VARIABILITY; CLIMATE; AEROSOL</t>
  </si>
  <si>
    <t>In this study, by using ion chromatography, we analyzed the chemical composition of snow deposited in 1976-2012 at three sites within the Indian Ocean sector of East Antarctica (VK-55, SW-42, and PV-10) to establish the relationships between the formation of the chemical composition of snow and varying mechanisms of atmospheric circulation. Dating of samples was carried out on the basis of sulphate peaks related to the material derived from the Pinatubo volcanic eruption (1991). Chemical compositions of snow showed spatial inhomogeneity even over relatively short distances (of about 40 km) in central East Antarctica. The reasons for the inhomogeneity may have been related to local topography and snow redistribution by wind in areas with extremely low accumulation, as well as to peculiarities of atmospheric circulation processes. According to the principal component analysis (PCA) and 5-day backward trajectories, it was determined that for site PV-10 (400 km from the Indian Ocean coast), zonal circulation in the lower troposphere associated with the cyclonic centers of the Southern Ocean was a leading process while the inland sites (VK-55 and SW-42) were influenced by a combination of processes involving meridional circulation, air mass transport, and transformation in the troposphere over the Antarctic continent.</t>
  </si>
  <si>
    <t>[Osipov, E. Y.; Khodzher, T., V] Limnol Inst SB RAS, Ulan Batorskaya Str 3, Irkutsk 664033, Russia; [Osipova, O. P.] VB Sochava Inst Geog SB RAS, Ulan Batorskaya Str 1, Irkutsk 664033, Russia</t>
  </si>
  <si>
    <t>Russian Academy of Sciences; Irkutsk Science Centre of the Russian Academy of Sciences; Limnological Institute SB RAS; Russian Academy of Sciences; Irkutsk Science Centre of the Russian Academy of Sciences; Sochava Institute of Geography, Siberian Branch of the Russian Academy of Sciences</t>
  </si>
  <si>
    <t>Khodzher, TV (corresponding author), Limnol Inst SB RAS, Ulan Batorskaya Str 3, Irkutsk 664033, Russia.</t>
  </si>
  <si>
    <t>txodzher_t@mail.ru</t>
  </si>
  <si>
    <t>Osipov, Eduard Y/J-9069-2018; Osipova, Olga/AAQ-3533-2020</t>
  </si>
  <si>
    <t>10.1016/j.chemer.2019.125554</t>
  </si>
  <si>
    <t>WOS:000583156800004</t>
  </si>
  <si>
    <t>Mertens, KN; Adachi, M; Anderson, DM; Band-Schmidt, CJ; Bravo, I; Brosnahan, ML; Bolch, CJS; Calado, AJ; Carbonell-Moore, MC; Chomérat, N; Elbrächter, M; Figueroa, RI; Fraga, S; Gárate-Lizárraga, I; Garcés, E; Gu, HF; Hallegraeff, G; Hess, P; Hoppenrath, M; Horiguchi, T; Iwataki, M; John, U; Kremp, A; Larsen, J; Leaw, CP; Li, Z; Lim, PT; Litaker, W; MacKenzie, L; Masseret, E; Matsuoka, K; Moestrup, O; Montresor, M; Nagai, S; Nézan, E; Nishimura, T; Okolodkov, YB; Orlova, TY; Reñé, A; Sampedro, N; Satta, CT; Shin, HH; Siano, R; Smith, KF; Steidinger, K; Takano, Y; Tillmann, U; Wolny, J; Yamaguchi, A; Murray, S</t>
  </si>
  <si>
    <t>Mertens, Kenneth Neil; Adachi, Masao; Anderson, Donald M.; Band-Schmidt, Christine J.; Bravo, Isabel; Brosnahan, Michael L.; Bolch, Christopher J. S.; Calado, Antonio J.; Carbonell-Moore, M. Consuelo; Chomerat, Nicolas; Elbrachter, Malte; Figueroa, Rosa Isabel; Fraga, Santiago; Garate-Lizarraga, Ismael; Garces, Esther; Gu, Haifeng; Hallegraeff, Gustaaf; Hess, Philipp; Hoppenrath, Mona; Horiguchi, Takeo; Iwataki, Mitsunori; John, Uwe; Kremp, Anke; Larsen, Jacob; Leaw, Chui Pin; Li, Zhun; Lim, Po Teen; Litaker, Wayne; MacKenzie, Lincoln; Masseret, Estelle; Matsuoka, Kazumi; Moestrup, Ojvind; Montresor, Marina; Nagai, Satoshi; Nezan, Elisabeth; Nishimura, Tomohiro; Okolodkov, Yuri B.; Orlova, Tatiana Yu; Rene, Albert; Sampedro, Nagore; Satta, Cecilia Teodora; Shin, Hyeon Ho; Siano, Raffaele; Smith, Kirsty F.; Steidinger, Karen; Takano, Yoshihito; Tillmann, Urban; Wolny, Jennifer; Yamaguchi, Aika; Murray, Shauna</t>
  </si>
  <si>
    <t>Morphological and phylogenetic data do not support the split of Alexandrium into four genera</t>
  </si>
  <si>
    <t>HARMFUL ALGAE</t>
  </si>
  <si>
    <t>Taxonomy; Phylogenetics; Paraphyletic; Saxitoxin; Spirolides; Harmful algal blooms</t>
  </si>
  <si>
    <t>SP-NOV DINOPHYCEAE; SETO INLAND SEA; GENUS ALEXANDRIUM; OSTENFELDII DINOPHYCEAE; LABORATORY CONDITIONS; PYRODINIUM-BAHAMENSE; MOLECULAR PHYLOGENY; RESTING CYSTS; DINOFLAGELLATE; TAMARENSIS</t>
  </si>
  <si>
    <t>A recently published study analyzed the phylogenetic relationship between the genera Centrodinium and Alexandrium, confirming an earlier publication showing the genus Alexandrium as paraphyletic. This most recent manuscript retained the genus Alexandrium, introduced a new genus Episemicolon, resurrected two genera, Gessnerium and Protogonyaulax, and stated that: The polyphyly [sic] of Alexandrium is solved with the split into four genera. However, these reintroduced taxa were not based on monophyletic groups. Therefore this work, if accepted, would result in replacing a single paraphyletic taxon with several non-monophyletic ones. The morphological data presented for genus characterization also do not convincingly support taxa delimitations. The combination of weak molecular phylogenetics and the lack of diagnostic traits (i.e., autapomorphies) render the applicability of the concept of limited use. The proposal to split the genus Alexandrium on the basis of our current knowledge is rejected herein. The aim here is not to present an alternative analysis and revision, but to maintain Alexandrium. A better constructed and more phylogenetically accurate revision can and should wait until more complete evidence becomes available and there is a strong reason to revise the genus Alexandrium. The reasons are explained in detail by a review of the available molecular and morphological data for species of the genera Alexandrium and Centrodinium. In addition, cyst morphology and chemotaxonomy are discussed, and the need for integrative taxonomy is highlighted.</t>
  </si>
  <si>
    <t>[Mertens, Kenneth Neil; Chomerat, Nicolas; Nezan, Elisabeth] IFREMER, Stn Biol Marine, LER BO, Pl Croix,BP40537, F-29185 Concarneau, France; [Adachi, Masao] Kochi Univ, Fac Agr &amp; Marine Sci, Lab Aquat Environm Sci LAQUES, 200 Otsu, Nankoku, Kochi 7838502, Japan; [Anderson, Donald M.; Brosnahan, Michael L.] Woods Hole Oceanog Inst, Woods Hole, MA 02543 USA; [Band-Schmidt, Christine J.] Inst Politecn Nacl, Ctr Interdisciplinario Ciencias Marinas IPN CICIM, Dept Plancton &amp; Ecol Marina, La Paz 23096, Bcs, Mexico; [Bravo, Isabel; Figueroa, Rosa Isabel] Inst Espanol Oceanog IEO, Subida Radio Faro 50, Vigo 36390, Spain; [Bolch, Christopher J. S.] Univ Tasmania, Inst Marine &amp; Antarctic Studies, Locked Bag 1370, Launceston, Tas 7250, Australia; [Calado, Antonio J.] Univ Aveiro, Dept Biol, P-3810193 Aveiro, Portugal; [Calado, Antonio J.] Univ Aveiro, GeoBioTec Res Unit, P-3810193 Aveiro, Portugal; [Carbonell-Moore, M. Consuelo] Oregon State Univ, Coll Agr Sci, Dept Bot &amp; Plant Pathol, Corvallis, OR 97331 USA; [Elbrachter, Malte] Helmholtz Zentrum Polar &amp; Meeresforsch Sylt, Alfred Wegener Inst, Hafenstr 43, D-25992 List Auf Sylt, Germany; [Fraga, Santiago] Praza Mestra Manuela 1, Nigran 36340, Spain; [Garate-Lizarraga, Ismael] Inst Politecn Nacl, Ctr Interdisciplinario Ciencias Marinas, Apartado Postal 592, La Paz 23000, Bcs, Mexico; [Garces, Esther; Rene, Albert; Sampedro, Nagore] CSIC, Dept Biol Marina &amp; Oceanog, Inst Ciencies Mar, Pg Maritim Barceloneta 37-49, Barcelona 08003, Spain; [Gu, Haifeng] Minist Nat Resources, Inst Oceanog 3, Xiamen 361005, Peoples R China; [Hallegraeff, Gustaaf] Univ Tasmania, Inst Marine &amp; Antarctic Studies, Private Bag 129, Hobart, Tas 7001, Australia; [Hess, Philipp] IFREMER, DYNECO, Lab Phycotoxines, Rue Ile Yeu, F-44311 Nantes, France; [Hoppenrath, Mona] German Ctr Marine Biodivers Res, Wilhelmshaven, Germany; [Horiguchi, Takeo; Yamaguchi, Aika] Hokkaido Univ, Fac Sci, Dept Biol Sci, North 10,West 8, Sapporo, Hokkaido 0600810, Japan; [Iwataki, Mitsunori] Univ Tokyo, Asian Nat Environm Sci Ctr, Bunkyo Ku, Tokyo 1138657, Japan; [John, Uwe; Tillmann, Urban] Helmholtz Zentrum Polar &amp; Meeresforsch, Alfred Wegener Inst, Bremerhaven, Germany; [Kremp, Anke] Leibniz Inst Ostseeforsch Warnemunde, Seestr 15, D-18119 Rostock, Germany; [Larsen, Jacob; Moestrup, Ojvind] Univ Copenhagen, Dept Biol, Marine Biol Sect, Univ Pk 4, DK-2100 Copenhagen O, Denmark; [Leaw, Chui Pin; Lim, Po Teen] Univ Malaya, Inst Ocean &amp; Earth Sci, Bachok Marine Res Stn, Bachok 16310, Kelantan, Malaysia; [Li, Zhun] Korea Res Inst Biosci &amp; Biotechnol, Biol Resource Ctr, Korean Collect Type Cultures KCTC, Jeongeup 56212, South Korea; [Litaker, Wayne] CSS Inc, Ctr Coastal Fisheries &amp; Habitat Res, 101 Pivers Isl Rd, Beaufort, NC 28516 USA; [MacKenzie, Lincoln; Nishimura, Tomohiro; Smith, Kirsty F.] Cawthron Inst, Coastal &amp; Freshwater Grp, Private Bag 2,98 Halifax St East, Nelson 7042, New Zealand; [Masseret, Estelle] Univ Montpellier, CNRS, IFREMER, MARBEC,IRD, Montpellier, France; [Matsuoka, Kazumi] Nagasaki Univ, Inst East China Sea Res, 1551-7 Taira Machi, Nagasaki 8512213, Japan; [Montresor, Marina] Stn Zool Anton Dohrn, I-80121 Naples, Italy; [Nagai, Satoshi] Natl Res Inst Fisheries Sci, Kanazawa Ku, 2-12-4 Fukuura, Yokohama, Kanagawa 2368648, Japan; [Nezan, Elisabeth] Natl Museum Nat Hist, DGD REVE, Stn Biol Marine Concarneau, Pl Croix, F-29900 Concarneau, France; [Okolodkov, Yuri B.] Univ Veracruzana, Inst Ciencias Marinas &amp; Pesquerias, Lab Bot Marina &amp; Planctol, Calle Mar Mediterraneo 314,Fracc Costa Verde, Boca Del Rio 94294, Veracruz, Mexico; [Orlova, Tatiana Yu] Russian Acad Sci, Far Eastern Branch, AV Zhirmunsky Natl Sci Ctr Marine Biol, Palchevskogo St 17, Vladivostok 690041, Russia; [Satta, Cecilia Teodora] Univ Sassari, Dipartimento Architettura Design &amp; Urbanist, Via Piandanna 4, I-07100 Sassari, Italy; [Shin, Hyeon Ho] Korea Inst Ocean Sci &amp; Technol, Lib Marine Samples, Geoje, South Korea; [Siano, Raffaele] IFREMER, DYNECO, PELAGOS, F-29280 Plouzane, France; [Steidinger, Karen] Florida Fish &amp; Wildlife Conservat Commiss Fish &amp;, 100 8th Ave SE, St Petersburg, FL 33701 USA; [Takano, Yoshihito] Kochi Univ, Fac Sci &amp; Technol, Kochi, Japan; [Wolny, Jennifer] Maryland Dept Nat Resources, 1919 Lincoln Dr, Annapolis, MD 21401 USA; [Murray, Shauna] Univ Technol Sydney, Climate Change Cluster, Ultimo, NSW 2007, Australia</t>
  </si>
  <si>
    <t>Ifremer; Kochi University; Woods Hole Oceanographic Institution; Instituto Politecnico Nacional - Mexico; University of Tasmania; Universidade de Aveiro; Universidade de Aveiro; Oregon State University; Helmholtz Association; Alfred Wegener Institute, Helmholtz Centre for Polar &amp; Marine Research; Instituto Politecnico Nacional - Mexico; Consejo Superior de Investigaciones Cientificas (CSIC); CSIC - Centro Mediterraneo de Investigaciones Marinas y Ambientales (CMIMA); CSIC - Instituto de Ciencias del Mar (ICM); Ministry of Natural Resources of the People's Republic of China; Third Institute of Oceanography, Ministry of Natural Resources; University of Tasmania; Ifremer; Hokkaido University; University of Tokyo; Helmholtz Association; Alfred Wegener Institute, Helmholtz Centre for Polar &amp; Marine Research; Leibniz Institut fur Ostseeforschung Warnemunde; University of Copenhagen; Universiti Malaya; Korea Research Institute of Bioscience &amp; Biotechnology (KRIBB); National Oceanic Atmospheric Admin (NOAA) - USA; Cawthron Institute; Universite de Montpellier; Centre National de la Recherche Scientifique (CNRS); Ifremer; Institut de Recherche pour le Developpement (IRD); Nagasaki University; Stazione Zoologica Anton Dohrn di Napoli; Japan Fisheries Research &amp; Education Agency (FRA); Museum National d'Histoire Naturelle (MNHN); Universidad Veracruzana; Russian Academy of Sciences; National Scientific Center of Marine Biology, Far East Branch of the Russian Academy of Sciences; University of Sassari; Korea Institute of Ocean Science &amp; Technology (KIOST); Ifremer; Kochi University; University of Technology Sydney</t>
  </si>
  <si>
    <t>Mertens, KN (corresponding author), IFREMER, Stn Biol Marine, LER BO, Pl Croix,BP40537, F-29185 Concarneau, France.</t>
  </si>
  <si>
    <t>Kenneth.mertens@ifremer.fr</t>
  </si>
  <si>
    <t>Li, Zhun/IUQ-5309-2023; Satta, Cecilia Teodora/AAF-6417-2020; Leaw, Chui Pin/F-5220-2012; Garcés, Esther/C-5701-2011; Mertens, Kenneth Neil/C-3386-2015; Bolch, Christopher J/J-7619-2014; Mertens, Kenneth Neil/AAO-9566-2020; Reñé, Albert/D-4560-2012; Iwataki, Mitsunori/H-9640-2019; Nagai, Satoshi/HOA-8686-2023; john, uwe/S-3009-2016; Gárate-Lizárraga, Ismael/GRS-5815-2022; Lim, Po Teen/C-9758-2013; Hess, Philipp/G-1761-2010; Figueroa, Rosa Isabel/M-7598-2015; Nishimura, Tomohiro/G-6073-2019; Orlova, Tatiana/AAU-8448-2020; SAMPEDRO, NAGORE/I-1767-2015; Calado, Antonio Jose/D-6263-2015; Murray, Shauna A/K-5781-2015; Hallegraeff, Gustaaf/C-8351-2013</t>
  </si>
  <si>
    <t>Li, Zhun/0000-0001-8961-9966; Leaw, Chui Pin/0000-0003-3336-1438; Garcés, Esther/0000-0002-2712-501X; Mertens, Kenneth Neil/0000-0003-2005-9483; Mertens, Kenneth Neil/0000-0003-2005-9483; Reñé, Albert/0000-0002-0488-3539; Iwataki, Mitsunori/0000-0002-5844-2800; Lim, Po Teen/0000-0003-2823-0564; Hess, Philipp/0000-0002-9047-1345; Figueroa, Rosa Isabel/0000-0001-9944-7993; Nishimura, Tomohiro/0000-0001-7040-7576; Orlova, Tatiana/0000-0002-5246-6967; Nagai, Satoshi/0000-0001-7510-0063; Chomerat, Nicolas/0000-0001-9691-6344; SAMPEDRO, NAGORE/0000-0002-0829-5152; Calado, Antonio Jose/0000-0002-9711-0593; Montresor, Marina/0000-0002-2475-1787; SATTA, Cecilia Teodora/0000-0003-0130-9432; Murray, Shauna A/0000-0001-7096-1307; Hallegraeff, Gustaaf/0000-0001-8464-7343</t>
  </si>
  <si>
    <t>NOAA ECOHAB program [NA15NOS4780181]; COPAs project [CTM2017-86121-R]</t>
  </si>
  <si>
    <t>NOAA ECOHAB program(National Oceanic Atmospheric Admin (NOAA) - USA); COPAs project</t>
  </si>
  <si>
    <t>Support to DMA from the NOAA ECOHAB program (Grant #NA15NOS4780181) is gratefully acknowledged. Support to EG, AR, NS from the COPAs project (CTM2017-86121-R) is acknowledged. IGL and CJBS are COFFA-IPN and EDI-IPN fellows. Marc Gottschling is acknowledged for interesting and civil discussions. Two anonymous reviewers are acknowledged for their useful comments.</t>
  </si>
  <si>
    <t>1568-9883</t>
  </si>
  <si>
    <t>1878-1470</t>
  </si>
  <si>
    <t>Harmful Algae</t>
  </si>
  <si>
    <t>10.1016/j.hal.2020.101902</t>
  </si>
  <si>
    <t>OI3QF</t>
  </si>
  <si>
    <t>WOS:000583196800018</t>
  </si>
  <si>
    <t>Abdulrasheed, M; Roslee, AF; Zakaria, NN; Zulkharnain, A; Lee, GLY; Convey, P; Napis, S; Ahmad, SA</t>
  </si>
  <si>
    <t>Abdulrasheed, M.; Roslee, A. F.; Zakaria, N. N.; Zulkharnain, A.; Lee, G. L. Y.; Convey, P.; Napis, S.; Ahmad, S. A.</t>
  </si>
  <si>
    <t>Effects of heavy metals on diesel metabolism of psychrotolerant strains of Arthrobacter sp. from Antarctica</t>
  </si>
  <si>
    <t>Antarctica; Arthrobacter sp.; Biodegradation; Diesel; Heavy metals</t>
  </si>
  <si>
    <t>POLYCYCLIC AROMATIC-HYDROCARBONS; MICROBIAL RESISTANCE; BACTERIA; SOIL; PHENOL; BIODEGRADATION; BIOREMEDIATION; CONTAMINATION; DEGRADATION; GENES</t>
  </si>
  <si>
    <t>Aim: This present study aimed at examining the ability of cold-adapted Antarctic bacteria to tolerate and degrade diesel in the presence of different types of heavy metal co-pollutants. Methodology: Arthrobacter sp. strains AQ5-05 and AQ5-06, originally isolated from Antarctic soils, were grown on Bushnell-Haas medium containing 1 ppm of heavy metal ions (As, Ag, Cd, Co, Cu, Cr, Hg, Ni, and Pb) supplemented with 3% (v/v) diesel. Diesel degradation was determined gravimetrically, while bacterial growth was evaluated by measuring the optical density of media (OD600nm). Results: In the absence of heavy metal ions, strain AQ5-06 achieved 37.5% diesel mineralisation, while strain AQ5-05 achieved 34.5%. The diesel degrading abilities of both strains were significantly inhibited by exposure to &lt; 1 ppm of Ag or Hg. In contrast, no change in degradation ability was observed using other tested heavy metals. The IC50 of Ag and Hg on diesel degradation by the two strains were (0.2 and 0.4 ppm) and (0.3 and 0.2 ppm), respectively. Interpretation: Arthrobacter sp. Strains AQ5-05 and AQ5-06 may contain genes for alkane degradation and heavy metal resistance for remediating diesel-polluted soil in Antarctic and other cold regions.</t>
  </si>
  <si>
    <t>[Abdulrasheed, M.; Roslee, A. F.; Zakaria, N. N.; Lee, G. L. Y.; Ahmad, S. A.] Univ Putra Malaysia, Fac Biotechnol &amp; Biomol Sci, Dept Biochem, Upm Serdang 43400, Malaysia; [Abdulrasheed, M.] Gombe State Univ, Fac Sci, Dept Microbiol, PMB 127, Gombe 127, Gombe State, Nigeria; [Zulkharnain, A.] Shibaura Inst Technol, Coll Syst Engn &amp; Sci, Dept Biosci &amp; Engn, Minuma Ku, 307 Fukasaku, Saitama 3378570, Japan; [Convey, P.] NERC, British Antarctic Survey, Madingley Rd, Cambridge CB3 0ET, England; [Napis, S.] Univ Putra Malaysia, Fac Biotechnol &amp; Biomol Sci, Dept Cell &amp; Mol Biol, Upm Serdang 43400, Selangor, Malaysia</t>
  </si>
  <si>
    <t>Universiti Putra Malaysia; Shibaura Institute of Technology; UK Research &amp; Innovation (UKRI); Natural Environment Research Council (NERC); NERC British Antarctic Survey; Universiti Putra Malaysia</t>
  </si>
  <si>
    <t>Ahmad, SA (corresponding author), Univ Putra Malaysia, Fac Biotechnol &amp; Biomol Sci, Dept Biochem, Upm Serdang 43400, Malaysia.</t>
  </si>
  <si>
    <t>Zulkharnain, Azham/AAV-1241-2020</t>
  </si>
  <si>
    <t>Zulkharnain, Azham/0000-0001-9173-8171; Ahmad, Siti Aqlima/0000-0002-7625-3704</t>
  </si>
  <si>
    <t>Putra-IPM fund by Universiti Putra Malaysia (UPM) [2016/9300430, 2017/9300436, GPM-2018/9660000, GPM-2019/9678900, 6300247-YPASM]; Yayasan Penyelidikan Antartika Sultan Mizan (YPASM); NERC; Tertiary Education Trust Fund (TETFUND) through Gombe State University, Gombe, Nigeria; Public Service Department of Malaysia (JPA); NERC [bas0100036] Funding Source: UKRI</t>
  </si>
  <si>
    <t>Putra-IPM fund by Universiti Putra Malaysia (UPM); Yayasan Penyelidikan Antartika Sultan Mizan (YPASM); NERC(UK Research &amp; Innovation (UKRI)Natural Environment Research Council (NERC)); Tertiary Education Trust Fund (TETFUND) through Gombe State University, Gombe, Nigeria; Public Service Department of Malaysia (JPA); NERC(UK Research &amp; Innovation (UKRI)Natural Environment Research Council (NERC))</t>
  </si>
  <si>
    <t>This project was financially supported by the Putra-IPM fund under the research grant attached to S.A Ahmad (GPMatching Grant/2016/9300430, GP-Matching Grant/2017/9300436, GPM-2018/9660000, GPM-2019/9678900 and 6300247-YPASM Smart Partnership Initiative) disbursed by Universiti Putra Malaysia (UPM) and Yayasan Penyelidikan Antartika Sultan Mizan (YPASM). P. Convey is supported by NERC core funding to the BAS `Biodiversity, Evolution and Adaptation' Team. The authors would like to thank Assoc. Prof. Dr. Siti Aisyah Alias (University of Malaya) and Professor Gerardo Gonzalez-Rocha (Universidad de Concepcion) for their help. The Tertiary Education Trust Fund (TETFUND) through Gombe State University, Gombe, Nigeria is thanked for financial sponsorship to Mansur Abdulrasheed. We also thank the Public Service Department of Malaysia (JPA) for granting a master's programme scholarship to Ahmad Fareez Ahmad Roslee.</t>
  </si>
  <si>
    <t>10.22438/jeb/41/5/MRN-1319</t>
  </si>
  <si>
    <t>OH9KO</t>
  </si>
  <si>
    <t>WOS:000582908500003</t>
  </si>
  <si>
    <t>Nemirovskaya, IA; Shevchenko, VP</t>
  </si>
  <si>
    <t>Nemirovskaya, Inna A.; Shevchenko, Vladimir P.</t>
  </si>
  <si>
    <t>Organic Compounds and Suspended Particulate Matter in Snow of High Latitude Areas (Arctic and Antarctic)</t>
  </si>
  <si>
    <t>organic compounds; C-org; lipids; hydrocarbons; chlorophyll a; suspended particulate matter; snow; Arctic; Antarctica</t>
  </si>
  <si>
    <t>POLYCYCLIC AROMATIC-HYDROCARBONS; LONG-RANGE TRANSPORT; ICE COVER; SEA; AEROSOL; POLLUTANTS; PARTICLES; SEDIMENT; WATERS</t>
  </si>
  <si>
    <t>Long-term studies of suspended particulate matter (SPM) and organic compounds (OCs)-C-org, lipids, hydrocarbons (aliphatic-AHCs and polycyclic aromatic-PAHs), and chlorophyll a in the snow cover of the Arctic (Franz Victoria Trough, Mendeleev Rise, White Sea) and Antarctica (in the coastal waters on fast ice and on the mainland near Russian stations) were generalized. It was shown that in the Arctic, the influence of continental air masses leads to an increase in OCs in snow. Therefore, despite the fact that the Franz Victoria Trough and the Mendeleev Rise are at the same latitude (82 degrees N), the OCs content in the snow in the region of the Mendeleev Rise was lower for aliphatic hydrocarbons 5 and 14-18 mu g/L. In the White Sea, the AHC content in the snow and the upper layers of the ice in the mouth of the Severnaya Dvina River and in the Kandalaksha Bay was higher than that in the lower layers of the ice and sharply decreased with distance from the emission sources. As a result, the snow was supplied mainly by pyrogenic PAHs. In the Antarctica, the lowest OCs levels in atmosphere were found in areas where coastal hills are covered with snow. The maximum SPM and AHCs concentration was found in the sludge (SPM-to 4.37 mg/L, AHC-to 33 mu g/L). An increase in the concentration of OCs and SPM in snow sampled on the continent took place in the areas of stations and oases (St. Novolazarevskaya) where the predominance of mineral particles in the SPM was registered. In the area of the operating stations, mainly low molecular weight PAHs with the dominance of petroleum PAHs were found in the SPM of snow and in mosses.</t>
  </si>
  <si>
    <t>[Nemirovskaya, Inna A.; Shevchenko, Vladimir P.] Russian Acad Sci IO RAS, Shirshov Inst Oceanol, Moscow 117997, Russia</t>
  </si>
  <si>
    <t>Shevchenko, VP (corresponding author), Russian Acad Sci IO RAS, Shirshov Inst Oceanol, Moscow 117997, Russia.</t>
  </si>
  <si>
    <t>nemir44@mail.ru; vshevch@ocean.ru</t>
  </si>
  <si>
    <t>Nemirovskaya, Inna/GYD-8003-2022; Shevchenko, Vladimir/C-2096-2014</t>
  </si>
  <si>
    <t>Nemirovskaya, Inna/0000-0002-2772-6982; Shevchenko, Vladimir/0000-0002-9045-297X</t>
  </si>
  <si>
    <t>Russian Foundation for Basic Research [0128-2019-0011]; Russian Scientific Foundation [19-05-00938]; [19-17-00234]; Russian Science Foundation [19-17-00234] Funding Source: Russian Science Foundation</t>
  </si>
  <si>
    <t>Russian Foundation for Basic Research(Russian Foundation for Basic Research (RFBR)Spanish Government); Russian Scientific Foundation(Russian Science Foundation (RSF)); ; Russian Science Foundation(Russian Science Foundation (RSF))</t>
  </si>
  <si>
    <t>The results of the studies were obtained within the state task (No. 0128-2019-0011); sampling in the White Sea region and sample treatment were supported by the Russian Foundation for Basic Research (grant 19-05-00938); and summary of the results by the Russian Scientific Foundation (project No. 19-17-00234).</t>
  </si>
  <si>
    <t>10.3390/atmos11090928</t>
  </si>
  <si>
    <t>OH3FU</t>
  </si>
  <si>
    <t>WOS:000582454700001</t>
  </si>
  <si>
    <t>Cavallo, A; Peck, LS</t>
  </si>
  <si>
    <t>Cavallo, Alessandro; Peck, Lloyd S.</t>
  </si>
  <si>
    <t>Lipid storage patterns in marine copepods: environmental, ecological, and intrinsic drivers</t>
  </si>
  <si>
    <t>diapause; latitude; lipid content; seasonality; trophic level; vertical migration; zooplankton</t>
  </si>
  <si>
    <t>LIFE-CYCLE STRATEGIES; COD GADUS-MORHUA; CALANUS-FINMARCHICUS; WAX ESTERS; ANTARCTIC COPEPODS; GAMETOGENIC ECOLOGY; CALANOIDES-ACUTUS; ZOOPLANKTON; FOOD; DYNAMICS</t>
  </si>
  <si>
    <t>Seasonality of food supply is a major driver of physiological and ecological adaptations of marine zooplankton. High-latitude marine copepods accumulate lipids for maintenance and reproductive maturation during the food-depleted winter period. The relationship between latitude and lipid storage in copepods is well established, but it is influenced by many factors, such as trophic position, sex, and depth distribution. In this study, the influence of latitude and collection depth, trophic level, sex, and the presence or absence of dormancy on the relative amount and composition of lipids stored was assessed by analysing published data. Our analyses confirmed higher lipid contents (expressed as % dry weight) in high-latitude species, and in deep-dwelling tropical copepods compared to shallow-living ones. Contrary to our original hypothesis, carnivorous and herbivorous copepods had similar lipid levels. Copepod species that undergo dormancy had higher levels of wax ester and were more common at polar and temperate latitudes. Lastly, adult male and female copepods did not significantly differ in the amount of lipids they store, suggesting that the portion of male reproductive investment, which may depend on lipid stores, has been underestimated. Taken together, these results both confirm some previously reported trends and refute others.</t>
  </si>
  <si>
    <t>[Cavallo, Alessandro; Peck, Lloyd S.] British Antarctic Survey, Madingley Rd, Cambridge CB3 0ET, England; [Cavallo, Alessandro] Univ Oxford, Dept Biochem, South Parks Rd, Oxford OX1 3QU, England</t>
  </si>
  <si>
    <t>UK Research &amp; Innovation (UKRI); Natural Environment Research Council (NERC); NERC British Antarctic Survey; University of Oxford</t>
  </si>
  <si>
    <t>Peck, LS (corresponding author), British Antarctic Survey, Madingley Rd, Cambridge CB3 0ET, England.</t>
  </si>
  <si>
    <t>lspe@bas.ac.uk</t>
  </si>
  <si>
    <t>Cavallo, Alessandro/0000-0002-0135-0032</t>
  </si>
  <si>
    <t>U.K. Research and Innovation (UKRI) Natural Environment Research Council (NERC); NERC [bas0100036] Funding Source: UKRI</t>
  </si>
  <si>
    <t>U.K. Research and Innovation (UKRI) Natural Environment Research Council (NERC); NERC(UK Research &amp; Innovation (UKRI)Natural Environment Research Council (NERC))</t>
  </si>
  <si>
    <t>AC and LSP were financed by the U.K. Research and Innovation (UKRI) Natural Environment Research Council (NERC) core funds to the British Antarctic Survey.</t>
  </si>
  <si>
    <t>10.1093/icesjms/fsaa070</t>
  </si>
  <si>
    <t>OH6QK</t>
  </si>
  <si>
    <t>WOS:000582719500001</t>
  </si>
  <si>
    <t>Hornborg, S; Smith, ADM</t>
  </si>
  <si>
    <t>Hornborg, Sara; Smith, Anthony D. M.</t>
  </si>
  <si>
    <t>Fisheries for the future: greenhouse gas emission consequences of different fishery reference points</t>
  </si>
  <si>
    <t>fisheries; fuel; greenhouse gas emissions; reference points; stock status</t>
  </si>
  <si>
    <t>LIFE-CYCLE ASSESSMENT; ENERGY EFFICIENCY; FISHING VESSELS; FUEL EFFICIENCY; PERFORMANCE; FOOTPRINT; STOCK; SIZE</t>
  </si>
  <si>
    <t>Global fisheries have for long been scrutinized in terms of ecosystem effects but only more recently for their greenhouse gas emissions. These emissions are dominated by fuel use on fishing vessels and the levels are often neglected side effects of resource overexploitation. Using a simple production model, Pella-Tomlinson, we illustrate how fuel efficiency (fuel use per unit of catch) varies with the level of exploitation and biomass depletion. For this model, fuel use per unit catch rises hyperbolically with fishing effort-it is relatively flat at low levels of effort but rises steeply as effort increases and biomass and catch decline. In light of these findings, the general fuel efficiency relationship with common fishery reference points on stock status is discussed, as well as other means of reducing fuel use and thus greenhouse gas emissions. We conclude that much may be gained by considering fuel efficiency in setting reference points for target stock biomass in fisheries and encourage further investigations.</t>
  </si>
  <si>
    <t>[Hornborg, Sara] RISE Res Inst Sweden, Agr &amp; Food, POB 5401, SE-40229 Gothenburg, Sweden; [Smith, Anthony D. M.] CSIRO Oceans &amp; Atmosphere, Hobart, Tas 7001, Australia; [Smith, Anthony D. M.] Univ Tasmania, Ctr Marine Socioecol, Hobart, Tas 7001, Australia; [Smith, Anthony D. M.] Univ Tasmania, Inst Marine &amp; Antarctic Studies, Hobart, Tas 7053, Australia</t>
  </si>
  <si>
    <t>RISE Research Institutes of Sweden; Commonwealth Scientific &amp; Industrial Research Organisation (CSIRO); University of Tasmania; University of Tasmania</t>
  </si>
  <si>
    <t>Hornborg, S (corresponding author), RISE Res Inst Sweden, Agr &amp; Food, POB 5401, SE-40229 Gothenburg, Sweden.</t>
  </si>
  <si>
    <t>Hornborg, Sara/0000-0003-0814-5258</t>
  </si>
  <si>
    <t>European Union [633692]; Swedish Research Council Formas [2016-00455]; Formas [2016-00455] Funding Source: Formas; Swedish Research Council [2016-00455] Funding Source: Swedish Research Council</t>
  </si>
  <si>
    <t>European Union(European Union (EU)); Swedish Research Council Formas(Swedish Research Council Formas); Formas(Swedish Research Council Formas); Swedish Research Council(Swedish Research Council)</t>
  </si>
  <si>
    <t>SH acknowledge funding from the European Union's Horizon 2020 research and innovation programme (633692 SUSFANSMetrics, Models and Foresight for European SUStainable Food and Nutrition Security) and the Swedish Research Council Formas (2016-00455).</t>
  </si>
  <si>
    <t>10.1093/icesjms/fsaa077</t>
  </si>
  <si>
    <t>WOS:000582719500008</t>
  </si>
  <si>
    <t>Belcher, A; Cook, K; Bondyale-Juez, D; Stowasser, G; Fielding, S; Saunders, RA; Mayor, DJ; Tarling, GA</t>
  </si>
  <si>
    <t>Belcher, Anna; Cook, Kathryn; Bondyale-Juez, Daniel; Stowasser, Gabriele; Fielding, Sophie; Saunders, Ryan A.; Mayor, Daniel J.; Tarling, Geraint A.</t>
  </si>
  <si>
    <t>Respiration of mesopelagic fish: a comparison of respiratory electron transport system (ETS) measurements and allometrically calculated rates in the Southern Ocean and Benguela Current</t>
  </si>
  <si>
    <t>allometric; Benguela Current; ETS; mesopelagic fish; respiration; respiratory flux; Scotia Sea; Southern Ocean</t>
  </si>
  <si>
    <t>SCOTIA SEA; BODY-MASS; METABOLIC-RATE; CARBON FLUX; ZOOPLANKTON; TROPHODYNAMICS; MYCTOPHIDAE; MICRONEKTON; TEMPERATURE; PACIFIC</t>
  </si>
  <si>
    <t>Mesopelagic fish are an important component of marine ecosystems, and their contribution to marine biogeochemical cycles is becoming increasingly recognized. However, major uncertainties remain in the rates at which they remineralize organic matter. We present respiration rate estimates of mesopelagic fish from two oceanographically contrasting regions: the Scotia Sea and the Benguela Current. Respiration rates were estimated by measuring the enzyme activities of the electron transport system. Regression analysis of respiration with wet mass highlights regional and inter-specific differences. The mean respiration rates of all mesopelagic fish sampled were 593.6 and 354.9 mu l O-2 individual(-1) h(-1) in the Scotia Sea and Benguela Current, respectively. Global allometric models performed poorly in colder regions compared with our observations, underestimating respiratory flux in the Scotia Sea by 67-88%. This may reflect that most data used to fit such models are derived from temperate and subtropical regions. We recommend caution when applying globally derived allometric models to regional data, particularly in cold (&lt;5 degrees C) temperature environments where empirical data are limited. More mesopelagic fish respiration rate measurements are required, particularly in polar regions, to increase the accuracy with which we can assess their importance in marine biogeochemical cycles.</t>
  </si>
  <si>
    <t>[Belcher, Anna; Stowasser, Gabriele; Fielding, Sophie; Saunders, Ryan A.; Tarling, Geraint A.] British Antarctic Survey, Ecosyst, Cambridge CB3 0ET, England; [Cook, Kathryn; Mayor, Daniel J.] Natl Oceanog Ctr, Ocean Biogeochem &amp; Ecosyst, Southampton SO14 3ZH, Hants, England; [Bondyale-Juez, Daniel] Univ Las Palmas Gran Canaria, EOMAR, Las Palmas Gran Canaria, Spain</t>
  </si>
  <si>
    <t>UK Research &amp; Innovation (UKRI); Natural Environment Research Council (NERC); NERC British Antarctic Survey; NERC National Oceanography Centre; Universidad de Las Palmas de Gran Canaria</t>
  </si>
  <si>
    <t>Belcher, A (corresponding author), British Antarctic Survey, Ecosyst, Cambridge CB3 0ET, England.</t>
  </si>
  <si>
    <t>annbel@bas.ac.uk</t>
  </si>
  <si>
    <t>Fielding, Sophie/E-5137-2012; Cook, Kathryn Barbara/ISA-2646-2023; Bondyale Juez, Daniel R./AAC-8876-2022; Mayor, Daniel/HDN-8520-2022</t>
  </si>
  <si>
    <t>Cook, Kathryn Barbara/0000-0001-8590-3011; Mayor, Daniel/0000-0002-1295-0041; Tarling, Geraint/0000-0002-3753-5899; Belcher, Anna/0000-0002-9583-5910</t>
  </si>
  <si>
    <t>BAS Ecosystems programme; NERC [NE/M020762/1, NE/M020835/1]; NERC [bas0100035, noc010009, NE/M020762/1, NE/M020835/1, NE/M020835/2] Funding Source: UKRI</t>
  </si>
  <si>
    <t>BAS Ecosystems programme; NERC(UK Research &amp; Innovation (UKRI)Natural Environment Research Council (NERC)); NERC(UK Research &amp; Innovation (UKRI)Natural Environment Research Council (NERC))</t>
  </si>
  <si>
    <t>This work was supported by the BAS Ecosystems programme and the NERC funded Large Grant, COMICS (NE/M020762/1 and NE/M020835/1).</t>
  </si>
  <si>
    <t>10.1093/icesjms/fsaa031</t>
  </si>
  <si>
    <t>WOS:000582719500009</t>
  </si>
  <si>
    <t>Biggs, TEG; Brussaard, CPD; Evans, C; Venables, HJ; Pond, DW</t>
  </si>
  <si>
    <t>Biggs, Tristan E. G.; Brussaard, Corina P. D.; Evans, Claire; Venables, Hugh J.; Pond, David W.</t>
  </si>
  <si>
    <t>Plasticity in dormancy behaviour of Calanoides acutus in Antarctic coastal waters</t>
  </si>
  <si>
    <t>copepod; dormancy; life cycle; lipids; phytoplankton; wax ester unsaturation</t>
  </si>
  <si>
    <t>ZOOPLANKTON FECAL PELLETS; COPEPODS CALANUS-PROPINQUUS; NORTHERN MARGUERITE BAY; LIFE-CYCLE; WAX ESTERS; MARINE SNOW; FATTY-ACIDS; INTERANNUAL VARIABILITY; PHYTOPLANKTON COMMUNITY; HERBIVOROUS COPEPODS</t>
  </si>
  <si>
    <t>Copepods that enter dormancy, such as Calanoides acutus, are key primary consumers in Southern Ocean food webs where they convert a portion of the seasonal phytoplankton biomass into a longer-term energetic and physiological resource as wax ester (WE) reserves. We studied the seasonal abundance and lipid profiles of pre-adult and adult C. acutus in relation to phytoplankton dynamics on the Western Antarctic Peninsula. Initiation of dormancy occurred when WE unsaturation was relatively high, and chlorophyll a (Chl a) concentrations, predominantly attributable to diatoms, were reducing. Declines in WE unsaturation during the winter may act as a dormancy timing mechanism with increased Chl a concentrations likely to promote sedimentation that results in a teleconnection between the surface and deep water inducing ascent. A late summer diatom bloom was linked to early dormancy termination of females and a second spawning event. The frequency and duration of high biomass phytoplankton blooms may have consequences for the lifespan of the iteroparous C. acutus females (either 1 or 2 years) if limited by a total of two main spawning events. Late summer recruits, generated by a second spawning event, likely benefitted from lower predation and high phytoplankton food availability. The flexibility of copepods to modulate their life-cycle strategy in response to bottom-up and top-down conditions enables individuals to optimize their probability of reproductive success in the very variable environment prevalent in the Southern Ocean.</t>
  </si>
  <si>
    <t>[Biggs, Tristan E. G.; Brussaard, Corina P. D.] Univ Utrecht, NIOZ Royal Netherlands Inst Sea Res, Dept Marine Microbiol &amp; Biogeochem, Texel, Netherlands; [Biggs, Tristan E. G.; Brussaard, Corina P. D.] Univ Amsterdam, Inst Biodivers &amp; Ecosyst Dynam IBED, Dept Freshwater &amp; Marine Ecol, Amsterdam, Netherlands; [Evans, Claire] Natl Oceanog Ctr, Ocean Biogeochem &amp; Ecosyst Res Grp, Southampton, Hants, England; [Venables, Hugh J.] NERC, British Antarctic Survey, Cambridge, England; [Pond, David W.] Univ Stirling, Inst Aquaculture, Stirling, Scotland</t>
  </si>
  <si>
    <t>Utrecht University; Royal Netherlands Institute for Sea Research (NIOZ); University of Amsterdam; NERC National Oceanography Centre; UK Research &amp; Innovation (UKRI); Natural Environment Research Council (NERC); NERC British Antarctic Survey; University of Stirling</t>
  </si>
  <si>
    <t>Biggs, TEG (corresponding author), Univ Utrecht, NIOZ Royal Netherlands Inst Sea Res, Dept Marine Microbiol &amp; Biogeochem, Texel, Netherlands.;Biggs, TEG (corresponding author), Univ Amsterdam, Inst Biodivers &amp; Ecosyst Dynam IBED, Dept Freshwater &amp; Marine Ecol, Amsterdam, Netherlands.</t>
  </si>
  <si>
    <t>tristan.biggs@nioz.nl</t>
  </si>
  <si>
    <t>Earth and Life Sciences Foundation (ALW) [866.10.102]; Netherlands Organisation for Scientific Research (NWO); NERC [bas0100033, noc010009, NE/M018806/2, NE/M018806/1] Funding Source: UKRI</t>
  </si>
  <si>
    <t>Earth and Life Sciences Foundation (ALW); Netherlands Organisation for Scientific Research (NWO)(Netherlands Organization for Scientific Research (NWO)); NERC(UK Research &amp; Innovation (UKRI)Natural Environment Research Council (NERC))</t>
  </si>
  <si>
    <t>We wish to thank the British Antarctic Survey for their logistical support and cooperation during the field campaign. This work was part of the ANTPHIRCO project (grant 866.10.102 awarded to CPDB), which was supported by the Earth and Life Sciences Foundation (ALW), with financial aid from the Netherlands Organisation for Scientific Research (NWO). We are also extremely grateful to Prof Stefan Schouten at the Royal Netherlands Institute for Sea Research (NIOZ) for his expertise and support. Furthermore, we wish to thank Dr Amber Annett, Zoi Farenzena, and Dorien Verheyen for their help and support during the field campaign as well as Santiago Gonzalez and Anna Noordeloos for their technical support at the NIOZ.</t>
  </si>
  <si>
    <t>10.1093/icesjms/fsaa042</t>
  </si>
  <si>
    <t>WOS:000582719500014</t>
  </si>
  <si>
    <t>Ghadi, P; Nair, A; Crosta, X; Mohan, R; Manoj, MC; Meloth, T</t>
  </si>
  <si>
    <t>Ghadi, Pooja; Nair, Abhilash; Crosta, Xavier; Mohan, Rahul; Manoj, M. C.; Meloth, Thamban</t>
  </si>
  <si>
    <t>Antarctic sea-ice and palaeoproductivity variation over the last 156, 000 years in the Indian sector of Southern Ocean</t>
  </si>
  <si>
    <t>MARINE MICROPALEONTOLOGY</t>
  </si>
  <si>
    <t>Southern Ocean; Diatoms; Sea Ice; Sea Surface Temperature; APF</t>
  </si>
  <si>
    <t>MAJOR DIATOM TAXA; LATE-QUATERNARY; GLACIAL MAXIMUM; SURFACE TEMPERATURE; PACIFIC SECTOR; CLIMATE VARIABILITY; ATLANTIC SECTOR; BIOGENIC OPAL; CONRAD RISE; NEW-ZEALAND</t>
  </si>
  <si>
    <t>Antarctic sea ice plays a vital role in global climate via its impact on ocean circulation, biological productivity and CO2 partitioning between the ocean and the atmosphere. However, very little is known about its past history, especially in the southwestern Indian sector of the Southern Ocean (SO). We here provide new quantitative records of winter sea-ice concentration (WSIC) and duration (WSID), sea-surface temperatures (SST) and productivity in sediment core SK 200/33 (55 degrees S - 45 degrees E) from the Permanently Open Ocean Zone over the last 156,000 years. The new records, combined with regional records, indicate that the hydrological structures migrated northward by a few degrees of latitude during all glacial periods with the Southern Antarctic Circumpolar Current Front reaching the core site, the Antarctic Polar Front located at similar to 46 degrees S and the winter sea ice (WSI) probably extending to similar to 49 degrees S. In contrast, hydrological fronts and WSI edge migrated poleward by a couple of degrees of latitude during the early Holocene and last interglacial. Comparison to SST and WSI records from different sectors of the SO suggests higher amplitude variations in WSI in the Atlantic sector as compared to the Indian and western Pacific sectors over the last glacial-interglacial cycle, which we attribute to the presence of the Weddell Gyre transporting far to the north the sea ice produced in the Weddell Sea. The new records also suggest a drop in productivity in the POOZ during glacial periods, probably related to greater WSI extent and reduced growing season.</t>
  </si>
  <si>
    <t>[Ghadi, Pooja; Nair, Abhilash; Mohan, Rahul; Meloth, Thamban] Minist Earth Sci, ESSO Natl Ctr Polar &amp; Ocean Res, Vasco Da Gama 403804, Goa, India; [Ghadi, Pooja] Goa Univ, Sch Earth Ocean &amp; Atmospher Sci SEOAS, Taleigao Plateau 403206, Goa, India; [Crosta, Xavier] Univ Bordeaux, UMR CNRS 5805 EPOC, Pessac, France; [Manoj, M. C.] Birbal Sahni Inst Paleosci, Lucknow, Uttar Pradesh, India</t>
  </si>
  <si>
    <t>Ministry of Earth Sciences (MoES) - India; National Centre for Polar and Ocean Research (NCPOR); Goa University; Universite de Bordeaux; Department of Science &amp; Technology (India); Birbal Sahni Institute of Palaeobotany (BSIP)</t>
  </si>
  <si>
    <t>Mohan, R (corresponding author), Minist Earth Sci, ESSO Natl Ctr Polar &amp; Ocean Res, Vasco Da Gama 403804, Goa, India.</t>
  </si>
  <si>
    <t>rahulmohan@ncpor.res.in</t>
  </si>
  <si>
    <t>Manoj, M C/0000-0001-8112-6315</t>
  </si>
  <si>
    <t>ESSO-NCPOR, Ministry of Earth Sciences (MoES), India; Council of Scientific and Industrial Research (CSIR); CSIR, New Delhi, India [18/12/2016(ii)EU-v]</t>
  </si>
  <si>
    <t>ESSO-NCPOR, Ministry of Earth Sciences (MoES), India; Council of Scientific and Industrial Research (CSIR)(Council of Scientific &amp; Industrial Research (CSIR) - India); CSIR, New Delhi, India(Council of Scientific &amp; Industrial Research (CSIR) - India)</t>
  </si>
  <si>
    <t>The authors wish to thank the Director, ESSO-NCPOR, Ministry of Earth Sciences (MoES), India, and Council of Scientific and Industrial Research (CSIR) for providing the funds for the research program at NCPOR. Pooja Ghadi thanks CSIR, New Delhi, India for the award of Junior Research Fellowship [Ref No. 18/12/2016(ii)EU-v]. We would also like to express our sincere gratitude toward the members of the pilot expedition to the Southern Ocean and Polar Micropaleontology and Past Climate Section, NCPOR for the contributions made toward this study. This study also benefited from the SCAR Visiting Professor Award 2018 scheme that supported Xavier Crosta's visit at NCPOR, India. This is NCPOR contribution no. J-20/2020-21.</t>
  </si>
  <si>
    <t>0377-8398</t>
  </si>
  <si>
    <t>1872-6186</t>
  </si>
  <si>
    <t>MAR MICROPALEONTOL</t>
  </si>
  <si>
    <t>Mar. Micropaleontol.</t>
  </si>
  <si>
    <t>10.1016/j.marmicro.2020.101894</t>
  </si>
  <si>
    <t>OG7VQ</t>
  </si>
  <si>
    <t>WOS:000582087300005</t>
  </si>
  <si>
    <t>Kato, Y</t>
  </si>
  <si>
    <t>Kato, Yuji</t>
  </si>
  <si>
    <t>Diatom-based reconstruction of the Subantarctic Front migrations during the late Miocene and Pliocene</t>
  </si>
  <si>
    <t>Subantarctic Front; Antarctic Circumpolar Current; fossil diatoms; DSDP; ODP</t>
  </si>
  <si>
    <t>SOUTHERN-OCEAN SEDIMENTS; TO-HIGH LATITUDES; ATLANTIC SECTOR; POLAR FRONT; SUBTROPICAL FRONT; SURFACE SEDIMENTS; SP-NOV; BIOSTRATIGRAPHY; SEA; BIOGEOGRAPHY</t>
  </si>
  <si>
    <t>The Antarctic Circumpolar Current (ACC) is an influential component of the global climate system, and therefore it is essential to clarify the history of the oceanic fronts associated with it. However, there have been only a few attempts to reconstruct their history during the Neogene, as most previous studies focused on Quaternary ages. This study uses the late Miocene to Pliocene (ca. 9-3 Ma) fossil records of diatoms from the Atlantic sector of the Southern Ocean (Deep Sea Drilling Project Site 513 and Ocean Drilling Program Site 689) to reconstruct the paleo-location of the Subantarctic Front (SAF), which represents the northern limit of the ACC. The abundance of subtropical diatoms at Site 513 shows significant fluctuations during ca. 9-5 Ma, which strongly suggest that there have been repetitive north-south migrations of the SAF across Site 513 during at least ca. 9-5 Ma. In order to reconstruct the SAF migration history in more detail, changes in abundance of a typical subtropical diatom (i.e., Thalassionema nitzschioides var. parva Heiden emend. Moreno-Ruiz) recorded at Sites 513 and 689 are compared to abundance patterns of the same taxon at several drilling sites (Ocean Drilling Program Sites 697, 699, and 704) published in previous data reports. Results suggest several phases of SAF migration involving the following shifts in SAF position (direction of shift is indicated in brackets): ca. 8.5 Ma (northward), 8.0 Ma (northward), 7.0 Ma (southward), 6.1 Ma (northward), 5.4 Ma (the direction differs region by region), 4.9 Ma (northward), 4.6 Ma (southward), 3.8 Ma (northward). The results also show that SAF has experienced north-south migrations with a latitudinal amplitude of ca. 5 degrees or more. Comparison between changes in fossil diatom assemblages at Site 689 and the inferred SAF shifts suggest that the northward/southward shift of the SAF could be induced by the cooling/warming in the high-latitude regions.</t>
  </si>
  <si>
    <t>[Kato, Yuji] Kochi Univ, Ctr Adv Marine Core Res, B200 Monobe, Nankoku, Kochi 7838502, Japan</t>
  </si>
  <si>
    <t>Kochi University</t>
  </si>
  <si>
    <t>Kato, Y (corresponding author), Kochi Univ, Ctr Adv Marine Core Res, B200 Monobe, Nankoku, Kochi 7838502, Japan.</t>
  </si>
  <si>
    <t>jm-ykato@kochi-u.ac.jp</t>
  </si>
  <si>
    <t>Kato, Yuji/ABF-5333-2020</t>
  </si>
  <si>
    <t>Kato, Yuji/0000-0001-9420-487X</t>
  </si>
  <si>
    <t>JSPS KAKENHI [JP17H06316, 16J08657, 19J01441]; Grants-in-Aid for Scientific Research [16J08657, 19J01441] Funding Source: KAKEN</t>
  </si>
  <si>
    <t>I appreciate the feedback offered by anonymous reviewers. I am deeply grateful to Dr. Marc Humblet (G30 Associate Professor, Nagoya University, Japan), who kindly made many valuable suggestions to improve my English and gave me encouragements. The editors also gave me many constructive comments which were essential to improve the manuscript. This study used samples obtained by DSDP and ODP. I also would like to express my gratitude to scientific party members of DSDP Leg 71 and ODP Leg 113. This work was supported by JSPS KAKENHI Grant Numbers 16J08657 and 19J01441 (Grant-in-Aid for JSPS Research Fellow). In addition, travel fees for 6th Polar Marine Diatom Workshop where I made a poster presentation closely related with this paper was supported by a grant program for young researchers to participate in international conferences, which was funded by JSPS KAKENHI Grant Number JP17H06316, Grant-in-Aid for Scientific Research on Innovative Areas (Research in a Proposed Research Area).</t>
  </si>
  <si>
    <t>10.1016/j.marmicro.2020.101908</t>
  </si>
  <si>
    <t>WOS:000582087300003</t>
  </si>
  <si>
    <t>Spaulding, N; Lucas, J; Huber, B; Leventer, A</t>
  </si>
  <si>
    <t>Spaulding, Nicole; Lucas, Jackson; Huber, Bruce; Leventer, Amy</t>
  </si>
  <si>
    <t>Ice retreat in the eastern Antarctic Peninsula region: the application of diatoms for understanding climate change</t>
  </si>
  <si>
    <t>Diatoms; Antarctic Peninsula; Larsen Ice Shelf</t>
  </si>
  <si>
    <t>NORTHWESTERN WEDDELL SEA; SOUTHERN-OCEAN SEDIMENTS; BOTTOM-WATER FORMATION; SURFACE SEDIMENTS; ROSS SEA; PHYTOPLANKTON BLOOMS; DEEP-WATER; PACK ICE; SHELF; HOLOCENE</t>
  </si>
  <si>
    <t>Climate-driven retreat of ice shelves on the eastern side of the Antarctic Peninsula has opened up new coastal marine environments, enabling the development of primary productivity. Diatom assemblages in surface sediment samples from the eastern side of the Antarctic Peninsula were analyzed to investigate the use of diatoms as paleoenvironmental indicators of changes in glacial and sea ice extent. Here we present surface sediment diatom assemblage data from samples taken on 5 cruises between 2000-2012 from the northeastern-most tip of the Antarctic Peninsula, Prince Gustav Channel, Larsen A and Larsen B embayments, and a single sample from just east of Larsen C Ice Shelf. Absolute diatom abundance increases to the northeast reflecting greater contribution of diatom valves originating from surface waters that are ice free for a longer period of time. This trend is mirrored by the relative abundance of Chaetoceros subg. Hyalochaete, a spring bloom indicator group. The genus Fragilariopsis is dominated by sea ice-associated species, including Fragilariopsis curta, Fragilariopsis cylindrus, Fragilariopsis obliquecostata, Fragilariopsis sublinearis and Fragilariopsis vanheurckii. Fragilariopsis spp. relative abundance varies inversely with Chaetoceros subg. Hyalochaete. Distributions of Thalassiosira antarctica T1 and Thalassiosira antarctica T2, interpreted as a cooler and warmer forms, respectively, while generally inverse to one another with the T. antarctica T2 more common to the northeast, are not straightforward, with a pocket of high relative abundance in Larsen B embayment. These diatom data and their comparison to modern oceanography of the eastern Antarctic Peninsula provide a basis for further paleoceanographic work in the region.</t>
  </si>
  <si>
    <t>[Spaulding, Nicole; Lucas, Jackson; Leventer, Amy] Colgate Univ, Geol Dept, 13 Oak Dr, Hamilton, NY 13346 USA; [Huber, Bruce] Columbia Univ, Lamont Doherty Earth Observ, 61 Route 9W, Palisades, NY 10964 USA</t>
  </si>
  <si>
    <t>Colgate University; Columbia University</t>
  </si>
  <si>
    <t>Leventer, A (corresponding author), Colgate Univ, Geol Dept, 13 Oak Dr, Hamilton, NY 13346 USA.</t>
  </si>
  <si>
    <t>Nicole.Spaulding@maine.edu; jlucas@colgate.edu; bhuber@ldeo.columbia.edu; aleventer@colgate.edu</t>
  </si>
  <si>
    <t>Leventer, Amy/0000-0001-9401-0987; Spaulding, Nicole/0000-0001-5159-3078; Huber, Bruce/0000-0001-6413-1614</t>
  </si>
  <si>
    <t>United States National Science Foundation Office of Polar Programs [0338163, 0732651, 0732625]; LARISSA (Larsen Ice Shelf System, Antarctica) project [NBP120]; Directorate For Geosciences; Office of Polar Programs (OPP) [0338163] Funding Source: National Science Foundation; Office of Polar Programs (OPP); Directorate For Geosciences [0732625, 0732651] Funding Source: National Science Foundation</t>
  </si>
  <si>
    <t>United States National Science Foundation Office of Polar Programs(National Science Foundation (NSF)); LARISSA (Larsen Ice Shelf System, Antarctica) project; Directorate For Geosciences; Office of Polar Programs (OPP)(National Science Foundation (NSF)NSF - Directorate for Geosciences (GEO)); Office of Polar Programs (OPP); Directorate For Geosciences(National Science Foundation (NSF)NSF - Directorate for Geosciences (GEO))</t>
  </si>
  <si>
    <t>We thank the scientific personnel and shipboard crew and support of cruises NBP0003, NBP0107, LMG0502, NBP0603, and NBP1203. Thank you to Antarctic Marine Geology Research Facility Staff for core curation. We thank Mike Loranty for assistance with GIS work and we thank the many Colgate University undergraduates who contributed to work in the Micropaleontology Lab. This project was funded by United States National Science Foundation Office of Polar Programs grants 0338163, 0732651 and 0732625, and cruise NBP1203 was part of the LARISSA (Larsen Ice Shelf System, Antarctica) project. We thank our reviewers for thoughtful and constructive comments.</t>
  </si>
  <si>
    <t>10.1016/j.marmicro.2020.101896</t>
  </si>
  <si>
    <t>WOS:000582087300009</t>
  </si>
  <si>
    <t>Tangunan, D; Baumann, KH; Fink, C</t>
  </si>
  <si>
    <t>Tangunan, Deborah; Baumann, Karl-Heinz; Fink, Christina</t>
  </si>
  <si>
    <t>Variations in coccolithophore productivity off South Africa over the last 500 kyr</t>
  </si>
  <si>
    <t>Late Quaternary; Palaeoproductivity; Nannofossils; Coccolithophores; Indian Ocean; Walvis Ridge</t>
  </si>
  <si>
    <t>OCEANIC PRIMARY PRODUCTION; EQUATORIAL INDIAN-OCEAN; SUB-ANTARCTIC WATER; AGULHAS LEAKAGE; ATLANTIC-OCEAN; PLEISTOCENE FLUCTUATIONS; LIVING COCCOLITHOPHORES; SURFACE SEDIMENTS; MILLENNIAL-SCALE; CIRCULATION</t>
  </si>
  <si>
    <t>We present a 500-kyr productivity reconstruction of the southwest Indian Ocean (MD96-2077; Natal Valley) and the eastern South Atlantic (Sites 1266; Walvis Ridge) from coccolithophore assemblages and coccolith geochemistry. The study sites are situated in two different hydrographic regimes: one located in the upper boundary of the Agulhas Current (AC) and the other in the open ocean branch of the Benguela Current (BC). We aim to decipher how marine phytoplankton communities responded to variations in water-column characteristics over multiple glacial/interglacial cycles. Gephyrocapsa species (G. caribbeanica, G. ericsonii) dominates the assemblage in the Walvis Ridge whereas Florisphaera profunda is more prominent and co-dominates with Gephyrocapsa species (G. oceanica, G. ericsonii) in the Natal Valley. Higher abundance of F. profunda in MD96-2077 than at Site 1266 suggests that Natal Valley has a deeper nutricline/thermocline and lower productivity than in the Walvis Ridge over the last similar to 500 kyrs. Asynchrony in the productivity changes is suggested to be related to different driving mechanisms between the eastern and the western sides off South Africa. The equatorward STF migration during glacial periods has potentially reduced the intensity of the AC and promoted surface water productivity in the Natal Valley. By contrast, productivity in the Walvis Ridge shows opposite patterns, showing enhanced productivity during interglacial periods, which we attribute to a localized mixing at the confluence zone between the eastward flowing South Atlantic Current and the Benguela Oceanic Current and/or an increased Agulhas leakage in combination with stronger westerlies, thereby promoting upwelling of nutrients to the surface.</t>
  </si>
  <si>
    <t>[Tangunan, Deborah; Baumann, Karl-Heinz] Univ Bremen, MARUM Ctr Marine Environm Sci, D-28359 Bremen, Germany; [Tangunan, Deborah] Univ Salamanca, Dept Geol, Salamanca 37008, Spain; [Baumann, Karl-Heinz; Fink, Christina] Univ Bremen, Dept Geosci, D-28359 Bremen, Germany</t>
  </si>
  <si>
    <t>University of Bremen; University of Salamanca; University of Bremen</t>
  </si>
  <si>
    <t>Tangunan, D (corresponding author), Univ Salamanca, Dept Geol, Salamanca 37008, Spain.</t>
  </si>
  <si>
    <t>tangunan@usal.es</t>
  </si>
  <si>
    <t>Tangunan, Deborah/0000-0002-1078-5767</t>
  </si>
  <si>
    <t>DFG Research Center/Cluster of Excellence The Ocean in the Earth System MARUM Germany</t>
  </si>
  <si>
    <t>DFG Research Center/Cluster of Excellence The Ocean in the Earth System MARUM Germany(German Research Foundation (DFG))</t>
  </si>
  <si>
    <t>We are thankful to Jacques Giraudeau and Xavier Crosta of EPOC UMR-CNRS, University of Bordeaux for providing us with the MD962077 samples. We are also grateful to the comments from Rudiger Henrich and J.G. in the earlier version of this manuscript, the anonymous reviewers, and the editor of this journal. This work is part of the project Ocean and Climate 2: Land-ocean interaction and climate variability in low latitudes funded thru the DFG Research Center/Cluster of Excellence The Ocean in the Earth System MARUM Germany. All data are archived in the PANGAEA database (www.pangaea.de).</t>
  </si>
  <si>
    <t>10.1016/j.marmicro.2020.101909</t>
  </si>
  <si>
    <t>WOS:000582087300001</t>
  </si>
  <si>
    <t>Alimasi, N; Enomoto, H; Hirasawa, N</t>
  </si>
  <si>
    <t>Alimasi, Nuerasimuguli; Enomoto, Hiroyuki; Hirasawa, Naohiko</t>
  </si>
  <si>
    <t>Spatiotemporal variation of ice sheet melting in the Antarctic coastal marginal zone and the influence of ice lenses and rain using satellite microwave observation</t>
  </si>
  <si>
    <t>POLAR SCIENCE</t>
  </si>
  <si>
    <t>Antarctica; Ice sheet; Melting; Rain on snow; Microwave observation</t>
  </si>
  <si>
    <t>METEOROLOGICAL OBSERVATIONS; SYOWA STATION; VARIABILITY; TRENDS; EXTENT; ALGORITHM; MELTWATER; SNOWMELT; ONSET; SSM/I</t>
  </si>
  <si>
    <t>This study uses satellite microwave observations to examine the spatiotemporal variations of melting ice sheets on the slopes of Antarctica. These observations were focused on the coastal marginal zone and inland traverse route near Syowa Station. Melting was detected using a 36 GHz vertical polarization diurnal amplitude variation (DAV). Data from the Advanced Microwave Scanning Radiometer for EOS (AMSR-E) and AMSR2 during 2002-2011 and 2012-2017, respectively, showed DAV variations over time. It was estimated that the greatest melting extent occurred during the 2003/2004 summer; the DAV rose even in the inland areas. In contrast, DAV decreased during rain periods, which was reported by the Japanese Antarctic Research Expedition in 2004 and 2012. This is due to the rise in nighttime brightness temperature (TB). whereas the signal from rain was limited to the lower area. Coastal zones showed a low TB. The low coastal emissions may be attributed to the refrozen ice lenses under the coastal snow layers. The DAV can be significant as the contrast between daytime and nighttime increases from this low TB zone.</t>
  </si>
  <si>
    <t>[Alimasi, Nuerasimuguli; Enomoto, Hiroyuki; Hirasawa, Naohiko] Natl Inst Polar Res, 10-3 Midori Cho, Tachikawa, Tokyo 1908518, Japan; [Enomoto, Hiroyuki; Hirasawa, Naohiko] Grad Univ Adv Studies, SOKENDAI, 10-3 Midori Cho, Tachikawa, Tokyo 1908518, Japan</t>
  </si>
  <si>
    <t>Research Organization of Information &amp; Systems (ROIS); National Institute of Polar Research (NIPR) - Japan; Graduate University for Advanced Studies - Japan</t>
  </si>
  <si>
    <t>Alimasi, N (corresponding author), Natl Inst Polar Res, 10-3 Midori Cho, Tachikawa, Tokyo 1908518, Japan.</t>
  </si>
  <si>
    <t>nuerasimuguli.alimasi@nipr.ac.jp</t>
  </si>
  <si>
    <t>National Institute of Polar Research (NIPR); 58th Japanese Antarctic Research Expedition (JARE); KAKENHI [19K14796]; NIPR [KP304, KP302]; Grants-in-Aid for Scientific Research [20H00206, 19K14796] Funding Source: KAKEN</t>
  </si>
  <si>
    <t>National Institute of Polar Research (NIPR)(National Institute of Polar Research (NIPR) - Japan); 58th Japanese Antarctic Research Expedition (JARE); KAKENHI(Ministry of Education, Culture, Sports, Science and Technology, Japan (MEXT)Japan Society for the Promotion of ScienceGrants-in-Aid for Scientific Research (KAKENHI)); NIPR(National Institute of Polar Research (NIPR) - Japan); Grants-in-Aid for Scientific Research(Ministry of Education, Culture, Sports, Science and Technology, Japan (MEXT)Japan Society for the Promotion of ScienceGrants-in-Aid for Scientific Research (KAKENHI))</t>
  </si>
  <si>
    <t>This study was conducted with the support of the National Institute of Polar Research (NIPR) and 58th Japanese Antarctic Research Expedition (JARE). We used data from the Arctic Data archive System (ADS) at NIPR and JAXA for AMSR-E and AMSR2 data and Syowa Station data from the Japanese Meteorological Agency. The comments from anonymous reviewers were very useful. This study was supported by KP304, KP302 of NIPR, and by KAKENHI (19K14796). The production of this paper was supported by an NIPR publication subsidy.</t>
  </si>
  <si>
    <t>1873-9652</t>
  </si>
  <si>
    <t>1876-4428</t>
  </si>
  <si>
    <t>POLAR SCI</t>
  </si>
  <si>
    <t>Polar Sci.</t>
  </si>
  <si>
    <t>10.1016/j.polar.2020.100561</t>
  </si>
  <si>
    <t>OD8EE</t>
  </si>
  <si>
    <t>WOS:000580079200013</t>
  </si>
  <si>
    <t>Azhar, SSA; Chenoli, SN; Abu Samah, A; Kim, SJ</t>
  </si>
  <si>
    <t>Azhar, Siti Syairah Atiqah; Chenoli, Sheeba Nettukandy; Abu Samah, Azizan; Kim, Seong-Joong</t>
  </si>
  <si>
    <t>The linkages between Antarctic sea ice extent and Indian summer monsoon rainfall</t>
  </si>
  <si>
    <t>Sea ice extent in the Indian ocean sector; Teleconnection; High and low ice phase; Mascarene high; Indian summer monsoon rainfall</t>
  </si>
  <si>
    <t>INTERANNUAL VARIABILITY; OCEAN SST; CLIMATE; OSCILLATION; TEMPERATURE; SENSITIVITY; CONNECTION; ATMOSPHERE; BEHAVIOR; IMPACTS</t>
  </si>
  <si>
    <t>Teleconnection between the Antarctic sea ice and the tropical climate has been extensively investigated. This study examines the interannual relationship between the variability of sea ice extent in the Indian Ocean sector (20-90 degrees E) and Indian summer monsoon rainfall under the influence of the Mascarene High. Sea ice extent during April-May-June (AMJ) appears to have a significant correlation with the summer monsoon rainfall over Peninsular India region during June-July-August-September from 1979 to 2013. Composites of mean sea level pressure (MSLP), 500 hPa geopotential height, and 850 hPa wind anomalies during high and low ice phases show a positive relation between the sea ice extent and the Mascarene High, revealing that high (low) ice phase corresponds respectively to the strengthening (weakening) of the Mascarene High as well as an increase (decrease) in Indian summer monsoon rainfall. During the respective high (low) ice phase years, positive (negative) MSLP anomalies were found, particularly over the Mascarene High region, associated with the eastwards (westwards) shifts of its climatology locations. Similar features were observed at 500 hPa geopotential height anomalies. In addition, strong anticyclonic (cyclonic) anomalies in the Mascarene High region were found in 850 hPa winds, which led to corresponding strong (weak) south westerlies and thus respective positive (negative) Indian summer monsoon rainfall anomalies.</t>
  </si>
  <si>
    <t>[Azhar, Siti Syairah Atiqah; Chenoli, Sheeba Nettukandy; Abu Samah, Azizan] Univ Malaya, Natl Antarctic Res Ctr, Res Management &amp; Innovat Complex, Kuala Lumpur, Malaysia; [Azhar, Siti Syairah Atiqah; Chenoli, Sheeba Nettukandy; Abu Samah, Azizan] Univ Malaya, Inst Ocean &amp; Earth Sci, Inst Postgrad Studies Bldg, Kuala Lumpur, Malaysia; [Chenoli, Sheeba Nettukandy; Abu Samah, Azizan] Univ Malaya, Fac Arts &amp; Social Sci, Dept Geog, Kuala Lumpur 50603, Malaysia; [Kim, Seong-Joong] Korea Polar Res Inst, Incheon 21990, South Korea</t>
  </si>
  <si>
    <t>Universiti Malaya; Universiti Malaya; Universiti Malaya; Korea Polar Research Institute (KOPRI)</t>
  </si>
  <si>
    <t>Chenoli, SN (corresponding author), Univ Malaya, Fac Arts &amp; Social Sci, Dept Geog, Kuala Lumpur 50603, Malaysia.</t>
  </si>
  <si>
    <t>sheeba@um.edu.my</t>
  </si>
  <si>
    <t>Chenoli, Sheeba Nettukandy/G-6726-2012; ABU SAMAH, AZIZAN HJ/B-8295-2010</t>
  </si>
  <si>
    <t>Ministry of Sciences Technology and Innovation Flagship Grant [FP1213E037]; Academic Sciences of Malaysia; Sultan Mizan Antarctic Research Foundation; Malaysian Antarctic Research Program; University Malaya; Fundamental Research Grant Scheme (FRGS) [FP059-2019A]; FIO-UM Joint Center of Marine Science and Technology Fund; Korean Polar Research Institute (KOPRI) project [PE20070]</t>
  </si>
  <si>
    <t>Ministry of Sciences Technology and Innovation Flagship Grant; Academic Sciences of Malaysia; Sultan Mizan Antarctic Research Foundation; Malaysian Antarctic Research Program; University Malaya(Universiti Malaya); Fundamental Research Grant Scheme (FRGS); FIO-UM Joint Center of Marine Science and Technology Fund; Korean Polar Research Institute (KOPRI) project(Korea Polar Research Institute of Marine Research Placement (KOPRI))</t>
  </si>
  <si>
    <t>This study is funded by the Ministry of Sciences Technology and Innovation Flagship Grant: FP1213E037. It is also strongly supported by the Academic Sciences of Malaysia, Sultan Mizan Antarctic Research Foundation, Malaysian Antarctic Research Program and the Vice Chancellor of the University Malaya. Fundamental Research Grant Scheme (FRGS) FP059-2019A and FIO-UM Joint Center of Marine Science and Technology Fund are also acknowledged. Seong-Joong Kim is supported by the Korean Polar Research Institute (KOPRI) project (PE20070). We would like to thank Muhammad Yunus bin Ahmad Mazuki from National Antarctic Research Center in helping us to improve the quality of the figures in the reviewed manuscript during the movement control order in Malaysia due to the covid-19 global pandemic.</t>
  </si>
  <si>
    <t>10.1016/j.polar.2020.100537</t>
  </si>
  <si>
    <t>WOS:000580079200006</t>
  </si>
  <si>
    <t>Hookabe, N; Watanabe, K; Tsujimoto, M; Kajihara, H</t>
  </si>
  <si>
    <t>Hookabe, Natsumi; Watanabe, Kentaro; Tsujimoto, Megumu; Kajihara, Hiroshi</t>
  </si>
  <si>
    <t>Molecular identity of the Antarctic heteronemertean Parborlasia corrugata (Nemertea: Pilidiophora) from Lutzow-Holm Bay</t>
  </si>
  <si>
    <t>Antarctic; DNA barcode; Lineidae; Parborlasia corrugatus; Statistical parsimony network</t>
  </si>
  <si>
    <t>CYTOLYTIC PROTEIN; FRONTS</t>
  </si>
  <si>
    <t>The Antarctic heteronemertean Parborlasia corrugata (McIntosh, 1876) (originally Lineus corrugatus) shows a circumpolar distribution in the Southern Ocean, putatively with high dispersal capacity of the planktonic larva. From the eastern coast of Lutzow-Holm Bay near Syowa Station (69 degrees 00'S, 39 degrees 35'E), several records of heteronemerteans have been made under the name of Lineus corrugatus. However, they have never been explicitly identified by molecular data. In the present study, we determined a partial sequence of the mitochondrial cytochrome c oxidase subunit I (COI) gene for 11 specimens of P. corrugata collected from depths of 17-27 m under sea ice near Syowa Station. A haplotype-network analysis along with other COI sequences from 66 individuals collected at different places in the Antarctic and sub-Antarctic islands, available at public databases, resulted in that all the 11 specimens from Lutzow-Holm Bay possessed either of two major haplotypes detected in previous studies. It reflects the effective dispersal of the species between the localities including Lutzow-Holm Bay.</t>
  </si>
  <si>
    <t>[Hookabe, Natsumi] Univ Tokyo, Grad Sch Sci, Misaki Marine Biol Stn, Miura, Kanagawa 2380225, Japan; [Watanabe, Kentaro; Tsujimoto, Megumu] Natl Inst Polar Res, Tokyo 1908518, Japan; [Tsujimoto, Megumu] Keio Univ, Fac Environm &amp; Informat Studies, Yokohama, Kanagawa 2520882, Japan; [Kajihara, Hiroshi] Hokkaido Univ, Fac Sci, Sapporo, Hokkaido 0600810, Japan</t>
  </si>
  <si>
    <t>University of Tokyo; Research Organization of Information &amp; Systems (ROIS); National Institute of Polar Research (NIPR) - Japan; Keio University; Hokkaido University</t>
  </si>
  <si>
    <t>Hookabe, N (corresponding author), Univ Tokyo, Grad Sch Sci, Misaki Marine Biol Stn, Miura, Kanagawa 2380225, Japan.</t>
  </si>
  <si>
    <t>sofeechan312@gmail.com; kentaro@nipr.ac.jp; megumutsujimoto@gmail.com; kajihara@eis.hokudai.ac.jp</t>
  </si>
  <si>
    <t>Hookabe, Natsumi/JAO-5428-2023; Tsujimoto, Megumu/JCE-5500-2023; Kajihara, Hiroshi/HHC-4886-2022</t>
  </si>
  <si>
    <t>Tsujimoto, Megumu/0000-0001-5160-6086; Kajihara, Hiroshi/0000-0001-6510-9355; Watanabe, Kentaro/0000-0002-5177-0086; Hookabe, Natsumi/0000-0002-3498-8614</t>
  </si>
  <si>
    <t>National Institute of Polar Research (NIPR) under the Japanese Ministry of Education, Culture, Sports, Science, and Technology; NIPR through the General Collaboration [28-43]; Japan Society for the Promotion of Science [17K07520]; Grants-in-Aid for Scientific Research [17K07520] Funding Source: KAKEN</t>
  </si>
  <si>
    <t>National Institute of Polar Research (NIPR) under the Japanese Ministry of Education, Culture, Sports, Science, and Technology; NIPR through the General Collaboration; 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</si>
  <si>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This study is a part of the Science Program of JARE. It was supported by the National Institute of Polar Research (NIPR) under the Japanese Ministry of Education, Culture, Sports, Science, and Technology. KW is grateful to the JARE-46 members for the assistance in sample collection. Shintaro Takao (NIPR) prepared the map of Antarctica and the Southern Ocean. The present study is partially supported by NIPR through the General Collaboration for MT (Project Number 28-43) and Grant-in-Aid for Scientific Research (C) of Japan Society for the Promotion of Science for HK (Grant Number 17K07520).</t>
  </si>
  <si>
    <t>10.1016/j.polar.2020.100535</t>
  </si>
  <si>
    <t>WOS:000580079200004</t>
  </si>
  <si>
    <t>Hulswar, S; Soni, VK; Sapate, JP; More, RS; Mahajan, AS</t>
  </si>
  <si>
    <t>Hulswar, Shrivardhan; Soni, V. K.; Sapate, J. P.; More, R. S.; Mahajan, Anoop S.</t>
  </si>
  <si>
    <t>Validation of satellite retrieved ozone profiles using in-situ ozonesonde observations over the Indian Antarctic station, Bharati</t>
  </si>
  <si>
    <t>Ozone depletion; Validation; Antarctic ozone; MLS; Ozonesonde</t>
  </si>
  <si>
    <t>LIMB ATMOSPHERIC SPECTROMETER; DOBSON; TOMS; GOME</t>
  </si>
  <si>
    <t>Ozonesonde data between February 2016 and July 2019 from the Indian Antarctic station `Bharati' were used for validation of total ozone columns (TCOs) and vertical profiles from satellite-based Ozone Monitoring Instrument (OMI) and Microwave Limb Sounder (MLS) instruments. Bharati falls in and out of the 'ozone hole' over Antarctica due to the dynamics of the polar vortex, which results in drastic variability. Results show that while both the satellites captured the annual variability in the TCOs, OMI overestimates it by 66.3 DU, i.e. approximately 33% (range: 2.4 to 189.7 DU), while MLS overestimates it by 33.8 DU, i.e. approximately 16% (range: 95.9 to 8.6 DU) compared to the ozonesondes. MLS reproduced the vertical profile variation and peak heights of the ozone layer but overestimated the concentrations compared to the ozonesondes. The overestimation varied with season, with the largest difference during the ozone depletion season in September-October-November (SON: similar to 40%). MLS and ozonesondes linear fits showed that although the datasets showed good correlation (R-2 = 0.97, P &lt; 0.001), there was a significant positive bias in the MLS observations (slope = 1.32. 0.38; intercept = 0.55. 0.05). This overestimation by MLS also results in an overestimation in the heating rates over Bharati, with the difference peaking in SON at 0.4. +/- 0.2 K day(-1).</t>
  </si>
  <si>
    <t>[Hulswar, Shrivardhan; Mahajan, Anoop S.] Indian Inst Trop Meteorol, Ctr Climate Change Res CCCR, Dr Homi Bhabha Rd, Pune 411008, Maharashtra, India; [Soni, V. K.; Sapate, J. P.; More, R. S.] Mausam Bhawan, India Meteorol Dept, Environm Monitoring &amp; Res Ctr, Lodi Rd, New Delhi 110003, India</t>
  </si>
  <si>
    <t>Ministry of Earth Sciences (MoES) - India; Indian Institute of Tropical Meteorology (IITM); Ministry of Earth Sciences (MoES) - India; India Meteorological Department (IMD)</t>
  </si>
  <si>
    <t>Mahajan, AS (corresponding author), Indian Inst Trop Meteorol, Ctr Climate Change Res CCCR, Dr Homi Bhabha Rd, Pune 411008, Maharashtra, India.</t>
  </si>
  <si>
    <t>anoop@tropmet.res.in</t>
  </si>
  <si>
    <t>Mahajan, Anoop S/D-2714-2012; Hulswar, Shrivardhan/GMW-4749-2022</t>
  </si>
  <si>
    <t>Hulswar, Shrivardhan/0000-0002-1346-9823</t>
  </si>
  <si>
    <t>The Indian Institute of Tropical Meteorology and the Indian Meteorological Department are funded by the Ministry of Earth Sciences, India. The authors would also like to thank the teams from the 36th, 37th and 38th Indian Scientific Expedition to Antarctica and the National Centre for Polar and Ocean Research for their logistical support for conducting the ozonesonde measurements.</t>
  </si>
  <si>
    <t>10.1016/j.polar.2020.100547</t>
  </si>
  <si>
    <t>WOS:000580079200008</t>
  </si>
  <si>
    <t>Nor, WNAWM; Abdullah, M; Ahmad, MR; Zainudin, SK; Yusop, N; Suparta, W; Gulisano, AM</t>
  </si>
  <si>
    <t>Nor, Wan Nur Arina Wan Mohd; Abdullah, Mardina; Ahmad, Mohd Riduan; Zainudin, Siti Khalijah; Yusop, Norbayah; Suparta, Wayan; Gulisano, Adriana Maria</t>
  </si>
  <si>
    <t>The response between VTEC and lightning activity over the Antarctic Peninsula</t>
  </si>
  <si>
    <t>7th Malaysian International Seminar on Antarctica (MISA) - Connectivity between Polar and Equatorial Climate and Biosphere - From the Poles to the Tropics</t>
  </si>
  <si>
    <t>AUG 15-17, 2017</t>
  </si>
  <si>
    <t>Kuala Terengganu, MALAYSIA</t>
  </si>
  <si>
    <t>Lightning; Flash; Vertical total electron content; Ionosphere and cloud-to-ground</t>
  </si>
  <si>
    <t>TOTAL ELECTRON-CONTENT; HIGH-LATITUDE; IONOSPHERIC SCINTILLATIONS; GROUND FLASHES; GPS SIGNALS; BLUE JETS; FIELD; REGION; TEC; IDENTIFICATION</t>
  </si>
  <si>
    <t>Lightning events could cause ionospheric disturbance on performance of radio signals which could lead to errors. The objective of the study is to investigate the response of vertical total electron content (VTEC) during lightning activity over the Antarctic Peninsula for the year 2017. The lightning data were obtained from the World Wide Lightning Location Network (WWLLN) while the lightning flash data were obtained from the Lightning Detector (LD350) which can detect positive and negative cloud-to-ground (+CG and -CG) flashes. The VTEC data were analyzed from the GPS's ground based station for Carlini (CARL), O'Higgins (OHI2) and Palmer (PALV). The yearly lightning distribution was 117 strikes during low geomagnetic storms. The average Delta VTEC obtained was less than 1 TECU because very low number of lightning activity was detected which contributed to a very low increment of VTEC. The lightning flash per hour was in the range of 1200-1700 in February until April which indicates a very active lightning flash activity. From May until December, less than 200 flashes per hour were detected due to change in season. The lightning distribution for -CG was above 45% and for +CG, it was below 45%. The correlation between lighting flash and VTEC during low geomagnetic activity shows that 19% of the total events was a weak negative and weak positive correlation each as a result of VTEC complexity and thundercloud variation. VTEC enhancement could be contributed by halo film which was involved in ionization and strong sprite that penetrates through the ionosphere.</t>
  </si>
  <si>
    <t>[Nor, Wan Nur Arina Wan Mohd; Zainudin, Siti Khalijah] Univ Kebangsaan Malaysia, Space Sci Ctr ANGKASA, Inst Climate Change, Bangi 43600, Selangor Darul, Malaysia; [Abdullah, Mardina] Univ Kebangsaan Malaysia, Inst Climate Change, Bangi 43600, Selangor Darul, Malaysia; [Abdullah, Mardina] Univ Kebangsaan Malaysia, Fac Engn &amp; Built Environm, Dept Elect Elect &amp; Syst Engn, Bangi 43600, Selangor Darul, Malaysia; [Ahmad, Mohd Riduan; Yusop, Norbayah] Univ Teknikal Malaysia Melaka, Fac Elect &amp; Comp Engn, Ctr Telecommun Res &amp; Innovat CeTRI, Atmospher &amp; Lightning Res Lab, Durian Tunggal 76100, Melaka, Malaysia; [Suparta, Wayan] Univ Malaya, Inst Ocean &amp; Earth Sci, Jalan Univ, Kuala Lumpur 50603, Wilayah Perseku, Malaysia; [Gulisano, Adriana Maria] Inst Antartico Argentino DNA, RA-1248 Cerrito, Buenos Aires, Argentina; [Gulisano, Adriana Maria] Inst Astron &amp; Fis Espacio UBA CONICET, Buenos Aires, DF, Argentina; [Gulisano, Adriana Maria] Univ Buenos Aires, Dept Fis, FCEyN, Buenos Aires, DF, Argentina</t>
  </si>
  <si>
    <t>Universiti Kebangsaan Malaysia; Universiti Kebangsaan Malaysia; Universiti Kebangsaan Malaysia; University Teknikal Malaysia Melaka; Universiti Teknologi Malaysia; Universiti Malaya; Instituto Antartico Argentino; Instituto de Astronomia y Fisica del Espacio (IAFE); Consejo Nacional de Investigaciones Cientificas y Tecnicas (CONICET); University of Buenos Aires; University of Buenos Aires</t>
  </si>
  <si>
    <t>Nor, WNAWM (corresponding author), Univ Kebangsaan Malaysia, Space Sci Ctr ANGKASA, Inst Climate Change, Bangi 43600, Selangor Darul, Malaysia.</t>
  </si>
  <si>
    <t>arinawmn@siswa.ukm.edu.my; mardina@ukm.edu.my</t>
  </si>
  <si>
    <t>Gulisano, AM/HTQ-2717-2023; Ahmad, Mohd Riduan/AAO-9370-2020; Gulisano, Adriana M./AAD-9554-2021; Yusop, Norbayah/HDO-2248-2022; SUPARTA, WAYAN/K-3110-2013; Abdullah, Mardina/J-9781-2016</t>
  </si>
  <si>
    <t>Ahmad, Mohd Riduan/0000-0001-9474-7153; Gulisano, Adriana M./0000-0002-2234-4432; SUPARTA, WAYAN/0000-0002-6193-1867;</t>
  </si>
  <si>
    <t>Ministry of Science, Technology and Innovation Malaysia (MOSTI) [LD350, ZF-2014-016]</t>
  </si>
  <si>
    <t>Ministry of Science, Technology and Innovation Malaysia (MOSTI)(Ministry of Energy, Science, Technology, Environment and Climate Change (MESTECC), Malaysia)</t>
  </si>
  <si>
    <t>We would like to express our appreciation to the Ministry of Science, Technology and Innovation Malaysia (MOSTI) for funding the research and the journey to the Antarctic Peninsula to install the LD350 through the Flagship Program under ZF-2014-016 grant. The authors would like to extend their gratitude to the Scripps Orbit Permanent Array Centre (SOPAC) for providing important GPS data at the O'Higgins and the Palmer station. We would also like to thank the essential CODE data given by Astronomisches Institut University of Bern (AIUB) Data Centre of University Switzerland. We would also like to sincerely acknowledge the World Data Centre-C2, Kyoto, Japan, for archiving the geomagnetic data.</t>
  </si>
  <si>
    <t>10.1016/j.polar.2020.100563</t>
  </si>
  <si>
    <t>WOS:000580079200014</t>
  </si>
  <si>
    <t>Zuev, VV; Savelieva, E</t>
  </si>
  <si>
    <t>Zuev, Vladimir V.; Savelieva, Ekaterina</t>
  </si>
  <si>
    <t>Arctic polar vortex dynamics during winter 2006/2007</t>
  </si>
  <si>
    <t>Arctic polar vortex; Polar stratospheric clouds; Arctic ozone depletion; Sudden stratospheric warming</t>
  </si>
  <si>
    <t>STRATOSPHERIC OZONE DEPLETION; MATCH OBSERVATIONS; CLIMATOLOGY; WARMINGS; RATES</t>
  </si>
  <si>
    <t>Stratospheric ozone depletion over the Arctic is not regular, unlike Antarctic ozone holes, and is determined by the dynamics of the polar vortex. Under the conditions of the strong polar vortex, in the presence of polar stratospheric clouds (PSCs), the catalytic cycles of ozone destruction occur with the appearance of solar radiation over the polar region. If the vortex breakdown occurs in late winter under the influence of planetary waves, the polar region is filled with warm, ozone-rich air masses. In the winter 2006/2007, the total melting of PSCs was observed on 2 January and occurred after the polar vortex weakening, at which values of zonal and meridional winds were less than 20 m/s during a little more than 3 h on a small section of the vortex edge. Such a local weakening of the vortex edge led to the short-term decrease of the dynamic barrier and a subsequent increase of temperature inside the vortex.</t>
  </si>
  <si>
    <t>[Zuev, Vladimir V.; Savelieva, Ekaterina] Russian Acad Sci, Siberian Branch, Inst Monitoring Climat &amp; Ecol Syst, 10-3 Acad Ave, Tomsk 634055, Russia</t>
  </si>
  <si>
    <t>Russian Academy of Sciences; Institute of Monitoring of Climatic &amp; Ecological Systems of the Siberian Branch of the RAS</t>
  </si>
  <si>
    <t>Savelieva, E (corresponding author), Russian Acad Sci, Siberian Branch, Inst Monitoring Climat &amp; Ecol Syst, 10-3 Acad Ave, Tomsk 634055, Russia.</t>
  </si>
  <si>
    <t>Savelieva, Ekaterina S/E-4782-2014; Savelieva, Ekaterina/HCH-5908-2022; Zuev, Vladimir/E-5470-2014</t>
  </si>
  <si>
    <t>10.1016/j.polar.2020.100532</t>
  </si>
  <si>
    <t>WOS:000580079200002</t>
  </si>
  <si>
    <t>Lee, MC; Choi, BS; Kim, MS; Yoon, DS; Park, JC; Kim, S; Lee, JS</t>
  </si>
  <si>
    <t>Lee, Min-Chul; Choi, Beom-Soon; Kim, Min-Sub; Yoon, Deok-Seo; Park, Jun Chul; Kim, Sanghee; Lee, Jae-Seong</t>
  </si>
  <si>
    <t>An improved genome assembly and annotation of the Antarctic copepod Tigriopus kingsejongensis and comparison of fatty acid metabolism between T. kingsejongensis and the temperate copepod T. japonicus</t>
  </si>
  <si>
    <t>COMPARATIVE BIOCHEMISTRY AND PHYSIOLOGY D-GENOMICS &amp; PROTEOMICS</t>
  </si>
  <si>
    <t>Copepod; Fatty acid; Elovl; Fad; Tigriopus kingsejongensis</t>
  </si>
  <si>
    <t>MOLECULAR-CLONING; FUNCTIONAL-CHARACTERIZATION; WIDE IDENTIFICATION; ACYL DESATURASE; MODEL SELECTION; FADS2 GENE; CHAIN; BIOSYNTHESIS; INVERTEBRATES; ELONGATION</t>
  </si>
  <si>
    <t>Copepods in the genus Tigriopus are widely distributed in the intertidal zone worldwide. To assess differences in fatty acid (FA) metabolism among congeneric species in this genus inhabiting polar and temperate environments, we analyzed and compared FA profiles of the Antarctic copepod Tigriopus kingsejongensis and the temperate copepod T. japonicus. Higher amounts of total FAs were found in the Antarctic copepod T. kingsejongensis than the temperate copepod T. japonicus under administration of the identical amount of Tetraselmis suecica. To determine the genomic basis for this, we identified fatty acid metabolism-related genes in an improved genome of T. kingsejongensis. The total length of the assembled genome was approximately 338 Mb with N50 = 1.473 Mb, 938 scaffolds, and a complete Benchmarking Universal Single-Copy Orthologs value of 95.8%. A total of 25,470 genes were annotated using newly established pipeline. We identified eight elongation of very long-chain fatty acid protein (Elovl) genes and nine fatty acid desaturase (Fad) genes in the genome of T. kingsejongensis. In addition, fatty acid profiling suggested that the duplicated Delta 5/6 desaturase gene in T. kingsejongensis is likely to play an essential role in synthesis of different FAs in T. kingsejongensis to those in T. japonicus. However, further experimental research is required to validate our in silico findings. This study provides a better understanding of fatty acid metabolism in the Antarctic copepod T. kingsejongensis.</t>
  </si>
  <si>
    <t>[Lee, Min-Chul; Kim, Min-Sub; Yoon, Deok-Seo; Park, Jun Chul; Lee, Jae-Seong] Sungkyunkwan Univ, Coll Sci, Dept Biol Sci, Suwon 16419, South Korea; [Choi, Beom-Soon] Phyzen Genom Inst, Seongnam 13558, South Korea; [Kim, Sanghee] Korea Polar Res Inst, Div Life Sci, Incheon 21990, South Korea</t>
  </si>
  <si>
    <t>Sungkyunkwan University (SKKU); Korea Polar Research Institute (KOPRI)</t>
  </si>
  <si>
    <t>Lee, JS (corresponding author), Sungkyunkwan Univ, Coll Sci, Dept Biol Sci, Suwon 16419, South Korea.</t>
  </si>
  <si>
    <t>jslee2@skku.edu</t>
  </si>
  <si>
    <t>Lee, MC/ABI-5926-2020; Lee, Jae-Seong/H-6013-2015; Kim, Min-Sub/ABI-5936-2020; Choi, Beom-Soon/ABC-5378-2021; Park, Jordan Jun Chul/ABI-6276-2020; Yoon, Deok-seo/ABI-7109-2020</t>
  </si>
  <si>
    <t>Lee, Jae-Seong/0000-0003-0944-5172; Kim, Min-Sub/0000-0001-9297-4432;</t>
  </si>
  <si>
    <t>Korea Polar Research Institute [PE20010]</t>
  </si>
  <si>
    <t>We thank two anonymous reviewers for their valuable comments on the manuscript. This research was supported by a grant (PE20010) from the Korea Polar Research Institute.</t>
  </si>
  <si>
    <t>1744-117X</t>
  </si>
  <si>
    <t>1878-0407</t>
  </si>
  <si>
    <t>COMP BIOCHEM PHYS D</t>
  </si>
  <si>
    <t>Comp. Biochem. Physiol. D-Genomics Proteomics</t>
  </si>
  <si>
    <t>10.1016/j.cbd.2020.100703</t>
  </si>
  <si>
    <t>Biochemistry &amp; Molecular Biology; Genetics &amp; Heredity</t>
  </si>
  <si>
    <t>OH2JW</t>
  </si>
  <si>
    <t>WOS:000582396600012</t>
  </si>
  <si>
    <t>Wiech, M; Silva, M; Meier, S; Tibon, J; Berntssen, MHG; Duinker, A; Sanden, M</t>
  </si>
  <si>
    <t>Wiech, Martin; Silva, Marta; Meier, Sonnich; Tibon, Jojo; Berntssen, Marc H. G.; Duinker, Arne; Sanden, Monica</t>
  </si>
  <si>
    <t>Undesirables in Mesopelagic Species and Implications for Food and Feed Safety-Insights from Norwegian Fjords</t>
  </si>
  <si>
    <t>FOODS</t>
  </si>
  <si>
    <t>mesopelagic; contaminants; undesirables; trace elements; arsenic; fluoride; organic pollutants; wax esters; Benthosema glaciale; Maurolicus muelleri</t>
  </si>
  <si>
    <t>SALMON SALMO-SALAR; KRILL EUPHAUSIA-SUPERBA; FARMED ATLANTIC SALMON; COD GADUS-MORHUA; CALANUS-FINMARCHICUS; ANTARCTIC KRILL; WAX ESTERS; BENTHOSEMA-GLACIALE; TRACE-METALS; MEGANYCTIPHANES-NORVEGICA</t>
  </si>
  <si>
    <t>The increase in the global population demands more biomass from the ocean as future food and feed, and the mesopelagic species might contribute significantly. In the present study, we evaluated the food and feed safety of six of the most abundant mesopelagic species in Norwegian fjords. Trace elements (i.e., arsenic, cadmium, mercury, and lead), organic pollutants (i.e., dioxins, furans, dioxin-like polychlorinated biphenyls, and polybrominated flame-retardants), and potentially problematic lipid compounds (i.e., wax esters and erucic acid) were analyzed and compared to existing food and feed maximum levels and intake recommendations. Furthermore, contaminant loads in processed mesopelagic biomass (protein, oil, and fish meal) was estimated using worst-case scenarios to identify possible food and feed safety issues. While most undesirables were low considering European food legislation, we identified a few potential food safety issues regarding high levels of fluoride in Northern krill, wax esters in glacier lanternfish, and long-chain monounsaturated fatty acids in silvery lightfish. Our estimates in processed biomass indicated high levels of undesirable trace elements in the protein fraction, frequently exceeding the maximum levels for feed ingredients. However, in fish meal, almost no exceedances were seen. In the oil fraction, dioxins and furans were above the maximum levels, given for food and feed ingredients. The present study is crucial to enable an evaluation of the value of these species; however, more data is needed before proceeding with large-scale harvesting of mesopelagic biomass.</t>
  </si>
  <si>
    <t>[Wiech, Martin; Silva, Marta; Meier, Sonnich; Tibon, Jojo; Berntssen, Marc H. G.; Duinker, Arne; Sanden, Monica] Inst Marine Res, POB 1870, NO-5817 Bergen, Norway</t>
  </si>
  <si>
    <t>Institute of Marine Research - Norway</t>
  </si>
  <si>
    <t>Wiech, M (corresponding author), Inst Marine Res, POB 1870, NO-5817 Bergen, Norway.</t>
  </si>
  <si>
    <t>Martin.Wiech@hi.no; Marta.Silva@hi.no; sonnich@hi.no; jojo.tibon@hi.no; Marc.Berntssen@hi.no; Arne.Duinker@hi.no; Monica.Sanden@hi.no</t>
  </si>
  <si>
    <t>Berntssen, Marc/O-9406-2018; sanden, monica/C-6662-2012; Duinker, Arne/C-2974-2012</t>
  </si>
  <si>
    <t>Duinker, Arne/0000-0001-6663-416X; Wiech, Martin/0000-0002-3987-6566; Tibon, Jojo/0000-0002-3575-1723; Sanden, Monica/0000-0001-5643-7218</t>
  </si>
  <si>
    <t>Institute of Marine Research - Ministry of Trade, Industry, and Fisheries in Norway; Norwegian Research Council [299554/F40]; project HARMES (Research Council of Norway) [280546]; project MEESO (EU H2020 research and innovation program) [817669]; Mesopelagic project (IMR, Norway)</t>
  </si>
  <si>
    <t>Institute of Marine Research - Ministry of Trade, Industry, and Fisheries in Norway; Norwegian Research Council(Research Council of Norway); project HARMES (Research Council of Norway); project MEESO (EU H2020 research and innovation program); Mesopelagic project (IMR, Norway)</t>
  </si>
  <si>
    <t>This study was financially supported by different projects, including New resources and Seafood and feed resources (Ocean to Oven) at the Institute of Marine Research funded by the Ministry of Trade, Industry, and Fisheries in Norway. Furthermore, the study, in part, a contribution to the sub-project 'New marine resources as food and feed (Ocean to Oven)' within the umbrella of 'Strategic priorities for Institute of Marine Research' (#299554/F40) was funded by the Norwegian Research Council. The research cruise and most of the work and sampling onboard was funded by the projects HARMES (Research Council of Norway project number 280546), MEESO (EU H2020 research and innovation program, Grant Agreement No 817669), and the Mesopelagic project (IMR, Norway).</t>
  </si>
  <si>
    <t>2304-8158</t>
  </si>
  <si>
    <t>Foods</t>
  </si>
  <si>
    <t>10.3390/foods9091162</t>
  </si>
  <si>
    <t>OG3AP</t>
  </si>
  <si>
    <t>WOS:000581761600001</t>
  </si>
  <si>
    <t>Zhou, BY; Watson, C; Legresy, B; King, MA; Beardsley, J; Deane, A</t>
  </si>
  <si>
    <t>Zhou, Boye; Watson, Christopher; Legresy, Benoit; King, Matt A.; Beardsley, Jack; Deane, Alistair</t>
  </si>
  <si>
    <t>GNSS/INS-Equipped Buoys for Altimetry Validation: Lessons Learnt and New Directions from the Bass Strait Validation Facility</t>
  </si>
  <si>
    <t>GNSS buoy; INS; altimetry validation; precision; buoyancy displacement; platform orientation; SWOT</t>
  </si>
  <si>
    <t>ABSOLUTE CALIBRATION; TOPEX/POSEIDON; JASON-1; TOPEX</t>
  </si>
  <si>
    <t>Global Navigation Satellite System (GNSS)-equipped buoys have a fundamental role in the validation of satellite altimetry. Requirements to validate next generation altimeter missions are demanding and call for a greater understanding of the systematic errors associated with the buoy approach. In this paper, we assess the present-day buoy precision using archived data from the Bass Strait validation facility. We explore potential improvements in buoy precision by addressing two previously ignored issues: changes to buoyancy as a function of external forcing, and biases induced by platform dynamics. Our results indicate the precision of our buoy against in situ mooring data is similar to 15 mm, with a similar to 8.5 mm systematic noise floor. Investigation into the tether tension effect on buoyancy showed strong correlation between currents, wind stress and buoy-against-mooring residuals. Our initial empirical correction achieved a reduction of 5 mm in the standard deviation of the residuals, with a 51% decrease in variance over low frequency bands. Corrections associated with platform orientation from an Inertial Navigation System (INS) unit showed centimetre-level magnitude and are expected to be higher under rougher sea states. Finally, we conclude with further possible improvements to meet validation requirements for the future Surface Water Ocean Topography (SWOT) mission.</t>
  </si>
  <si>
    <t>[Zhou, Boye; Watson, Christopher; King, Matt A.; Beardsley, Jack; Deane, Alistair] Univ Tasmania, Sch Technol Environm &amp; Design, Hobart, Tas 7001, Australia; [Watson, Christopher; Legresy, Benoit; Beardsley, Jack] Integrated Marine Observing Syst, Altimeter Validat Facil, Hobart, Tas 7001, Australia; [Legresy, Benoit] Climate Sci Ctr, Commonwealth Sci &amp; Ind Res Org, Oceans &amp; Atmosphere, Hobart, Tas 7001, Australia; [Legresy, Benoit] Univ Tasmania, Inst Marine &amp; Antarctic Studies, Australian Antarctic Program Partnership, Hobart, Tas 7001, Australia</t>
  </si>
  <si>
    <t>University of Tasmania; Commonwealth Scientific &amp; Industrial Research Organisation (CSIRO); University of Tasmania</t>
  </si>
  <si>
    <t>Zhou, BY (corresponding author), Univ Tasmania, Sch Technol Environm &amp; Design, Hobart, Tas 7001, Australia.</t>
  </si>
  <si>
    <t>boye.zhou@utas.edu.au; christopher.watson@utas.edu.au; benoit.legresy@csiro.au; matt.king@utas.edu.au; jack.beardsley@utas.edu.au; alistair.deane@utas.edu.au</t>
  </si>
  <si>
    <t>Zhou, Boye/HSH-1090-2023; King, Matt/B-4622-2008; Watson, Christopher S/D-4707-2013; legresy, benoit/K-6673-2018</t>
  </si>
  <si>
    <t>Zhou, Boye/0000-0001-7281-3228; King, Matt/0000-0001-5611-9498; legresy, benoit/0000-0002-1909-1630</t>
  </si>
  <si>
    <t>Australia's Integrated Marine Observing System (IMOS); Australian Research Council [DP150100615]</t>
  </si>
  <si>
    <t>Australia's Integrated Marine Observing System (IMOS); Australian Research Council(Australian Research Council)</t>
  </si>
  <si>
    <t>The Bass Strait validation facility is funded by Australia's Integrated Marine Observing System (IMOS). Aspects of this work were also supported by the Australian Research Council Discovery Project DP150100615.</t>
  </si>
  <si>
    <t>10.3390/rs12183001</t>
  </si>
  <si>
    <t>OF7IP</t>
  </si>
  <si>
    <t>WOS:000581376700001</t>
  </si>
  <si>
    <t>Lu, ZC; Zhao, TB; Zhou, WC</t>
  </si>
  <si>
    <t>Lu, Zhichao; Zhao, Tianbao; Zhou, Weican</t>
  </si>
  <si>
    <t>Evaluation of the Antarctic Circumpolar Wave Simulated by CMIP5 and CMIP6 Models</t>
  </si>
  <si>
    <t>ACW; CMIP5 models; CMIP6 models; evaluation; model simulation</t>
  </si>
  <si>
    <t>TROPOSPHERIC RESPONSE; SOUTHERN-OCEAN; VARIABILITY; PRECIPITATION; TEMPERATURE</t>
  </si>
  <si>
    <t>As a coupled large-scale oceanic and atmospheric pattern in the Southern Ocean, the Antarctic circumpolar wave (ACW) has substantial impacts on the global climate. In this study, using the European Centre for Medium-Range Weather Forecasts ERA5 dataset and historical experiment outputs from 24 models of the Coupled Model Intercomparison Project Phase 5 and Phase 6 (CMIP5/CMIP6) spanning the 1980s and 1990s, the simulation capability of models for sea-level pressure (SLP) and sea surface temperature (SST) variability of the ACW is evaluated. It is shown that most models can capture well the 50-month period of the ACW. However, many simulations show a weak amplitude, but with various phase differences. Selected models can simulate SLP better than SST, and CMIP6 models generally perform better than the CMIP5 models. The best model for SLP simulation is the CanESM5 model from CMIP6, whereas the best model for SST simulation is the ACCESS1.3 model from CMIP5. It seems that the SST simulation benefits from the inclusion of both a carbon cycle process and a chemistry module, while the SLP simulation benefits from only the chemistry module. When both SLP and SST are taken into consideration, the CanESM5 model performs the best among all the selected models.</t>
  </si>
  <si>
    <t>[Lu, Zhichao; Zhou, Weican] Nanjing Univ Informat Sci &amp; Technol, Joint Int Res Lab Climate &amp; Environm, Key Lab Meteorol Disaster, Minist Educ,Collaborat Innovat Ctr Forecast &amp; Eva, Nanjing 210044, Peoples R China; [Lu, Zhichao; Zhao, Tianbao] Chinese Acad Sci, Inst Atmospher Phys, Key Lab Reg Climate Environm Res Temperate East A, Beijing 100029, Peoples R China</t>
  </si>
  <si>
    <t>Nanjing University of Information Science &amp; Technology; Chinese Academy of Sciences; Institute of Atmospheric Physics, CAS</t>
  </si>
  <si>
    <t>Zhao, TB (corresponding author), Chinese Acad Sci, Inst Atmospher Phys, Key Lab Reg Climate Environm Res Temperate East A, Beijing 100029, Peoples R China.</t>
  </si>
  <si>
    <t>luzc@tea.ac.cn; zhaotb@tea.ac.cn; zhwnim@nuist.edu.cn</t>
  </si>
  <si>
    <t>Zhao, Tianbao/I-4890-2015</t>
  </si>
  <si>
    <t>Zhao, Tianbao/0000-0002-8295-6537</t>
  </si>
  <si>
    <t>National Key Research and Development Program of China [2016YFA0600402, 2018YFC1507704]; Strategic Priority Research Program of Chinese Academy of Sciences [XDA20020201]; National Natural Science Foundation of China [41675094, 41975115, 41475091]</t>
  </si>
  <si>
    <t>National Key Research and Development Program of China; Strategic Priority Research Program of Chinese Academy of Sciences(Chinese Academy of Sciences); National Natural Science Foundation of China(National Natural Science Foundation of China (NSFC))</t>
  </si>
  <si>
    <t>This research was funded by the National Key Research and Development Program of China (2016YFA0600402, 2018YFC1507704), the Strategic Priority Research Program of Chinese Academy of Sciences (XDA20020201) and the National Natural Science Foundation of China (41675094, 41975115, 41475091).</t>
  </si>
  <si>
    <t>10.3390/atmos11090931</t>
  </si>
  <si>
    <t>OE7YP</t>
  </si>
  <si>
    <t>WOS:000580741800001</t>
  </si>
  <si>
    <t>Wang, HR; Klekociuk, AR; French, WJR; Alexander, SP; Warner, TA</t>
  </si>
  <si>
    <t>Wang, Haoran; Klekociuk, Andrew R.; French, W. John R.; Alexander, Simon P.; Warner, Tom A.</t>
  </si>
  <si>
    <t>Measurements of Cloud Radiative Effect across the Southern Ocean (43° S-79° S, 63° E-158° W)</t>
  </si>
  <si>
    <t>Southern Ocean; Ross Sea; cloud; shortwave radiation; longwave radiation; cloud radiative effect</t>
  </si>
  <si>
    <t>SEA-ICE; SOLAR-RADIATION; SURFACE ALBEDO; MIXED-PHASE; PART II</t>
  </si>
  <si>
    <t>The surface radiation environment over the Southern Ocean within the region bound by 42.8 degrees S to 78.7 degrees S and 62.6 degrees E to 157.7 degrees W is summarised for three austral summers. This is done using ship-based measurements with the combination of downwelling radiation sensors and a cloud imager. We focus on characterising the cloud radiative effect (CRE) under a variety of conditions, comparing observations in the open ocean with those in the sea ice zone. For comparison with our observed data, we obtained surface data from the European Centre for Medium-Range Weather Forecasts fifth reanalysis (ERA5). We found that the daily average cloud fraction was slightly lower in ERA5 compared with the observations (0.71 and 0.75, respectively). ERA5 also showed positive biases in the shortwave radiation effect and a negative bias in the longwave radiation effect. The observed mean surface CRE of -164 +/- 100 Wm(-2)was more negative than the mean surface CRE for ERA5 of -101 W m(-2).</t>
  </si>
  <si>
    <t>[Wang, Haoran] Univ Tasmania, Inst Marine &amp; Antarctic Studies, Hobart, Tas 7001, Australia; [Klekociuk, Andrew R.; French, W. John R.; Alexander, Simon P.] Antarctic Climate Program, Australian Antarctic Div, Dept Agr Water &amp; Environm, Kingston, Tas 7050, Australia; [Klekociuk, Andrew R.; French, W. John R.; Alexander, Simon P.] Inst Marine &amp; Antarctic Studies, Australian Antarctic Program Partnership, Hobart, Tas 7001, Australia; [Warner, Tom A.] ZT Res, Rapid City, SD 57702 USA</t>
  </si>
  <si>
    <t>University of Tasmania; Australian Antarctic Division; University of Tasmania</t>
  </si>
  <si>
    <t>Klekociuk, AR (corresponding author), Antarctic Climate Program, Australian Antarctic Div, Dept Agr Water &amp; Environm, Kingston, Tas 7050, Australia.;Klekociuk, AR (corresponding author), Inst Marine &amp; Antarctic Studies, Australian Antarctic Program Partnership, Hobart, Tas 7001, Australia.</t>
  </si>
  <si>
    <t>haoranw@utas.edu.au; andrew.klekociuk@awe.gov.au; john.french@awe.gov.au; simon.alexander@awe.gov.au; tom.alan.warner@gmail.com</t>
  </si>
  <si>
    <t>Klekociuk, Andrew R/A-4498-2015</t>
  </si>
  <si>
    <t>Warner, Tom/0000-0001-8589-3351; Alexander, Simon/0000-0001-6823-8857; French, John/0000-0001-9305-6190; Wang, Haoran/0000-0002-4498-6102</t>
  </si>
  <si>
    <t>10.3390/atmos11090949</t>
  </si>
  <si>
    <t>OE2JF</t>
  </si>
  <si>
    <t>WOS:000580362700001</t>
  </si>
  <si>
    <t>Golobokova, LP; Khodzher, TV; Izosimova, ON; Zenkova, PN; Pochyufarov, AO; Khuriganowa, OI; Onishyuk, NA; Marinayte, II; Polkin, VV; Radionov, VF; Sakerin, SM; Lisitzin, AP; Shevchenko, VP</t>
  </si>
  <si>
    <t>Golobokova, L. P.; Khodzher, T. V.; Izosimova, O. N.; Zenkova, P. N.; Pochyufarov, A. O.; Khuriganowa, O. I.; Onishyuk, N. A.; Marinayte, I. I.; Polkin, V. V.; Radionov, V. F.; Sakerin, S. M.; Lisitzin, A. P.; Shevchenko, V. P.</t>
  </si>
  <si>
    <t>Chemical Composition of Atmospheric Aerosol in the Arctic Region and Adjoining Seas along the Routes of Marine Expeditions in 2018-2019</t>
  </si>
  <si>
    <t>atmospheric aerosol; Arctic seas; North Atlantic; chemical composition</t>
  </si>
  <si>
    <t>HEAVY-METALS; NY-ALESUND; TERRITORY; WILDFIRES; CLIMATE; NORTH; DUST</t>
  </si>
  <si>
    <t>We consider the chemical composition (ions, elements, and polycyclic aromatic hydrocarbons) of atmospheric aerosol in different regions of the North Atlantic, European and Russian parts of the Arctic Ocean, and northern latitude and Far East seas. The studies were carried out onboard marine ships along their cruising routes (RVAkademik Tryoshnikov, RVAkademik Mstislav Keldysh, and RVProfessor Multanovsky). The air samples were collected using the method accepted in the international networks operating under the Acid Deposition Monitoring Network in East Asia (EANET) and European Monitoring and Evaluation Programme (EMEP). The average sum of ion concentrations and the concentrations of individual ions in the aerosol over the seas in the North Atlantic and in the European part of the Arctic Ocean is consistent with measurements in the Laptev and Kara Seas in 2018 and 2019. The high concnetrations of PAHs in aerosol in seas and the Arctic Ocean in the central part of the Russian Arctic coincide with high concentrations of ions and trace elements in the aerosol composition. A difference is noted in the distribution of concentrations of trace elements in aerosol composition between seas of the North Atlantic and central region of the Russian Arctic, which possibly points to different sources of these components.</t>
  </si>
  <si>
    <t>[Golobokova, L. P.; Khodzher, T. V.; Izosimova, O. N.; Khuriganowa, O. I.; Onishyuk, N. A.; Marinayte, I. I.] Russian Acad Sci, Siberian Branch, Limnol Inst, Irkutsk 664033, Russia; [Zenkova, P. N.; Pochyufarov, A. O.; Polkin, V. V.; Sakerin, S. M.] Russian Acad Sci, Siberian Branch, VE Zuev Inst Atmospher Opt, Tomsk 634055, Russia; [Radionov, V. F.] Arct &amp; Antarct Res Inst, St Petersburg 199397, Russia; [Lisitzin, A. P.; Shevchenko, V. P.] Russian Acad Sci, Shirshov Inst Oceanol, Moscow 117997, Russia</t>
  </si>
  <si>
    <t>Irkutsk Science Centre of the Russian Academy of Sciences; Russian Academy of Sciences; Limnological Institute SB RAS; Zuev Institute of Atmospheric Optics, Siberian Branch of the Russian Academy of Sciences; Russian Academy of Sciences; Russian Academy of Sciences; Shirshov Institute of Oceanology</t>
  </si>
  <si>
    <t>Golobokova, LP (corresponding author), Russian Acad Sci, Siberian Branch, Limnol Inst, Irkutsk 664033, Russia.</t>
  </si>
  <si>
    <t>lg@lin.irk.ru</t>
  </si>
  <si>
    <t>Shevchenko, Vladimir P./C-2096-2014; Radionov, Vladimir F./O-3038-2017; Sakerin, Sergey/A-6508-2014</t>
  </si>
  <si>
    <t>Zenkova, Polina/0009-0008-4294-7274</t>
  </si>
  <si>
    <t>Complex Program of Basic Research, Siberian Branch, Russian Academy of Sciences II.1 [AAAA-A17-117122190017-8, AAAA-A17-117021310142-5]; Russian Science Foundation [14-50-00095]; instrumental Center for Collective Use Ultramikroanaliz at Limnology Institute, Siberian Branch, Russian Academy of Sciences [0345-2019-0008]</t>
  </si>
  <si>
    <t>Complex Program of Basic Research, Siberian Branch, Russian Academy of Sciences II.1(Russian Academy of Sciences); Russian Science Foundation(Russian Science Foundation (RSF)); instrumental Center for Collective Use Ultramikroanaliz at Limnology Institute, Siberian Branch, Russian Academy of Sciences</t>
  </si>
  <si>
    <t>This work was carried out within the Complex Program of Basic Research, Siberian Branch, Russian Academy of Sciences II.1 (projects nos. AAAA-A17-117122190017-8 and AAAA-A17-117021310142-5); Program of works during Russian Scientific Arctic Expedition on Spitsbergen Archipelago (RAE-Sh), Federal State Budgetary Institution Arctic and Antarctic Research Institute; subprogram 4 Organization and support of works and scientific research in the Arctic and Antarctica, State program of the Russian Federation Environmental Protection for 2012-2020; and grant no. 14-50-00095 from Russian Science Foundation. Analytical works were performed within project no. 0345-2019-0008 at the instrumental Center for Collective Use Ultramikroanaliz at Limnology Institute, Siberian Branch, Russian Academy of Sciences.</t>
  </si>
  <si>
    <t>10.1134/S1024856020050085</t>
  </si>
  <si>
    <t>OD4UI</t>
  </si>
  <si>
    <t>WOS:000579847200007</t>
  </si>
  <si>
    <t>Demidov, AN; Ivanov, AA; Gippius, FN; Dobroliubov, SA</t>
  </si>
  <si>
    <t>Demidov, A. N.; Ivanov, A. A.; Gippius, F. N.; Dobroliubov, S. A.</t>
  </si>
  <si>
    <t>Transport of Deep and Bottom Waters through the Mid-Atlantic Ridge in the Vema Fracture Zone</t>
  </si>
  <si>
    <t>DOKLADY EARTH SCIENCES</t>
  </si>
  <si>
    <t>Vema Fracture Zone; Antarctic Bottom Water (AABW); transport of bottom water; reanalysis; Glorys12v1; 45th cruise of the R; VAkademik Nikolaj Strakhov; water mass transfer</t>
  </si>
  <si>
    <t>FLOW</t>
  </si>
  <si>
    <t>This paper addresses changes of Antarctic Bottom Water (AABW) transport through the Vema Fracture Zone based on direct measurements and Glorys12v1 reanalysis. Instrumental measurements of currents and other principal hydrological characteristics were carried out during the 45th cruise of the R/VAkademik Nikolaj Strakhovin November 2019. According to the current velocity measurements in 2019, the transport in the Vema Fracture Zone is 0.9 Sv. Moreover, based on the distribution of dissolved oxygen concentration, it is more correct to consider the isotherm 1.7 degrees C rather than 2 degrees C as the upper boundary of the AABW. The reanalysis showed very good agreement with direct measurements. The average transport of bottom water during the reanalysis period is 0.66 Sv. In general, there is a tendency towards an increase in both transport and temperature over the 25-year period covered by reanalysis. The measurements of the bottom water temperature during twenty successive samplings showed changes from 1.36 to 1.41 degrees C within a day. This interval almost completely covers the entire range of values observed in previous years.</t>
  </si>
  <si>
    <t>[Demidov, A. N.; Ivanov, A. A.; Gippius, F. N.; Dobroliubov, S. A.] Lomonosov Moscow State Univ, Moscow, Russia</t>
  </si>
  <si>
    <t>Lomonosov Moscow State University</t>
  </si>
  <si>
    <t>Demidov, AN (corresponding author), Lomonosov Moscow State Univ, Moscow, Russia.</t>
  </si>
  <si>
    <t>alik1@mail.ru</t>
  </si>
  <si>
    <t>Ivanov, Aleksandr A/S-3116-2017; Gippius, Fedor/JCD-9247-2023</t>
  </si>
  <si>
    <t>Gippius, Fedor/0000-0002-4834-9311</t>
  </si>
  <si>
    <t>Russian Science Foundation; RSF [19-17-00246]; Russian Science Foundation [19-17-00110] Funding Source: Russian Science Foundation</t>
  </si>
  <si>
    <t>Russian Science Foundation(Russian Science Foundation (RSF)); RSF(Russian Science Foundation (RSF)); Russian Science Foundation(Russian Science Foundation (RSF))</t>
  </si>
  <si>
    <t>Data processing and analysis were supported by the grant of the Russian Science Foundation, project no. RSF 19-17-00110, expedition data obtained with the assistance of a project no. RSF 19-17-00246.</t>
  </si>
  <si>
    <t>MAIK NAUKA/INTERPERIODICA/SPRINGER</t>
  </si>
  <si>
    <t>233 SPRING ST, NEW YORK, NY 10013-1578 USA</t>
  </si>
  <si>
    <t>1028-334X</t>
  </si>
  <si>
    <t>1531-8354</t>
  </si>
  <si>
    <t>DOKL EARTH SCI</t>
  </si>
  <si>
    <t>Dokl. Earth Sci.</t>
  </si>
  <si>
    <t>10.1134/S1028334X20090068</t>
  </si>
  <si>
    <t>OE5DX</t>
  </si>
  <si>
    <t>WOS:000580551900016</t>
  </si>
  <si>
    <t>Zucconi, L; Canini, F; Temporiti, ME; Tosi, S</t>
  </si>
  <si>
    <t>Zucconi, Laura; Canini, Fabiana; Temporiti, Marta Elisabetta; Tosi, Solveig</t>
  </si>
  <si>
    <t>Extracellular Enzymes and Bioactive Compounds from Antarctic Terrestrial Fungi for Bioprospecting</t>
  </si>
  <si>
    <t>INTERNATIONAL JOURNAL OF ENVIRONMENTAL RESEARCH AND PUBLIC HEALTH</t>
  </si>
  <si>
    <t>adaptative strategies; bioprospecting; extreme environment; soil fungi</t>
  </si>
  <si>
    <t>COLD-ADAPTED ENZYMES; ENZYMATIC-ACTIVITIES; FILDES PENINSULA; LOW-TEMPERATURE; SOIL FUNGI; SP-NOV; DIVERSITY; YEASTS; STRAIN; ANTIBACTERIAL</t>
  </si>
  <si>
    <t>Antarctica, one of the harshest environments in the world, has been successfully colonized by extremophilic, psychrophilic, and psychrotolerant microorganisms, facing a range of extreme conditions. Fungi are the most diverse taxon in the Antarctic ecosystems, including soils. Genetic adaptation to this environment results in the synthesis of a range of metabolites, with different functional roles in relation to the biotic and abiotic environmental factors, some of which with new biological properties of potential biotechnological interest. An overview on the production of cold-adapted enzymes and other bioactive secondary metabolites from filamentous fungi and yeasts isolated from Antarctic soils is here provided and considerations on their ecological significance are reported. A great number of researches have been carried out to date, based on cultural approaches. More recently, metagenomics approaches are expected to increase our knowledge on metabolic potential of these organisms, leading to the characterization of unculturable taxa. The search on fungi in Antarctica deserves to be improved, since it may represent a useful strategy for finding new metabolic pathways and, consequently, new bioactive compounds.</t>
  </si>
  <si>
    <t>[Zucconi, Laura; Canini, Fabiana] Univ Tuscia, Dept Ecol &amp; Biol Sci, I-01100 Viterbo, Italy; [Temporiti, Marta Elisabetta; Tosi, Solveig] Univ Pavia, Dept Earth &amp; Environm Sci, Via S Epifanio 14, I-27100 Pavia, Italy</t>
  </si>
  <si>
    <t>Tuscia University; University of Pavia</t>
  </si>
  <si>
    <t>Zucconi, L; Canini, F (corresponding author), Univ Tuscia, Dept Ecol &amp; Biol Sci, I-01100 Viterbo, Italy.</t>
  </si>
  <si>
    <t>zucconi@unitus.it; canini.fabiana@unitus.it; martaelisabett.temporiti01@universitadipavia.it; solveig.tosi@unipv.it</t>
  </si>
  <si>
    <t>Zucconi, L./U-9781-2018; Canini, Fabiana/ABE-4243-2020</t>
  </si>
  <si>
    <t>Zucconi, L./0000-0001-9793-2303; Canini, Fabiana/0000-0002-9626-6318; tosi, solveig/0000-0002-6769-6984; Temporiti, Marta/0000-0001-9437-0034</t>
  </si>
  <si>
    <t>Italian National Program for Antarctic Researches [PNRA14 000_132, PNRA18_00015]</t>
  </si>
  <si>
    <t>Italian National Program for Antarctic Researches</t>
  </si>
  <si>
    <t>This research was funded by the Italian National Program for Antarctic Researches (PNRA14 000_132 and PNRA18_00015).</t>
  </si>
  <si>
    <t>1660-4601</t>
  </si>
  <si>
    <t>INT J ENV RES PUB HE</t>
  </si>
  <si>
    <t>Int. J. Environ. Res. Public Health</t>
  </si>
  <si>
    <t>10.3390/ijerph17186459</t>
  </si>
  <si>
    <t>Environmental Sciences; Public, Environmental &amp; Occupational Health</t>
  </si>
  <si>
    <t>Environmental Sciences &amp; Ecology; Public, Environmental &amp; Occupational Health</t>
  </si>
  <si>
    <t>OE0CY</t>
  </si>
  <si>
    <t>WOS:000580211200001</t>
  </si>
  <si>
    <t>Blanco-Picazo, P; Roscales, G; Toribio-Avedillo, D; Gómez-Gómez, C; Avila, C; Ballesté, E; Muniesa, M; Rodríguez-Rubio, L</t>
  </si>
  <si>
    <t>Blanco-Picazo, Pedro; Roscales, Gabriel; Toribio-Avedillo, Daniel; Gomez-Gomez, Clara; Avila, Conxita; Balleste, Elisenda; Muniesa, Maite; Rodriguez-Rubio, Lorena</t>
  </si>
  <si>
    <t>Antibiotic Resistance Genes in Phage Particles from Antarctic and Mediterranean Seawater Ecosystems</t>
  </si>
  <si>
    <t>bacteriophages; shellfish; fish; transduction; ARG; horizontal gene transfer</t>
  </si>
  <si>
    <t>BACTERIOPHAGE FRACTIONS; BETA-LACTAMASE; WASTE; BACTERIAL; PERSISTENCE; SAMPLES</t>
  </si>
  <si>
    <t>Anthropogenic activities are a key factor in the development of antibiotic resistance in bacteria, a growing problem worldwide. Nevertheless, antibiotics and resistances were being generated by bacterial communities long before their discovery by humankind, and might occur in areas without human influence. Bacteriophages are known to play a relevant role in the dissemination of antibiotic resistance genes (ARGs) in aquatic environments. In this study, five ARGs (bla(TEM),bla(CTX-M-1),bla(CTX-M-9),sul1andtetW) were monitored in phage particles isolated from seawater of two different locations: (i) the Mediterranean coast, subjected to high anthropogenic pressure, and (ii) the Antarctic coast, where the anthropogenic impact is low. Although found in lower quantities, ARG-containing phage particles were more prevalent among the Antarctic than the Mediterranean seawater samples and Antarctic bacterial communities were confirmed as their source. In the Mediterranean area, ARG-containing phages from anthropogenic fecal pollution might allow ARG transmission through the food chain. ARGs were detected in phage particles isolated from fish (Mediterranean, Atlantic, farmed, and frozen), the most abundant being beta-lactamases. Some of these particles were infectious in cultures of the fecal bacteriaEscherichia coli. By serving as ARG reservoirs in marine environments, including those with low human activity, such as the Antarctic, phages could contribute to ARG transmission between bacterial communities.</t>
  </si>
  <si>
    <t>[Blanco-Picazo, Pedro; Roscales, Gabriel; Toribio-Avedillo, Daniel; Gomez-Gomez, Clara; Balleste, Elisenda; Muniesa, Maite; Rodriguez-Rubio, Lorena] Univ Barcelona, Dept Genet Microbiol &amp; Stat, Diagonal 643,Floor 0, Barcelona 08028, Spain; [Avila, Conxita] Univ Barcelona, Dept Evolutionary Biol Ecol &amp; Environm Sci BEECA, Fac Biol, Diagonal 643, Barcelona 08028, Spain; [Avila, Conxita] Univ Barcelona, Biodivers Res Inst IrBIO, Diagonal 643, Barcelona 08028, Spain</t>
  </si>
  <si>
    <t>University of Barcelona; University of Barcelona; University of Barcelona</t>
  </si>
  <si>
    <t>Rodríguez-Rubio, L (corresponding author), Univ Barcelona, Dept Genet Microbiol &amp; Stat, Diagonal 643,Floor 0, Barcelona 08028, Spain.</t>
  </si>
  <si>
    <t>p.blanco@ub.edu; gascheb@gmail.com; d.toribio.avedillo@ub.edu; claragg1995@gmail.com; conxita.avila@ub.edu; eballeste@ub.edu; mmuniesa@ub.edu; lorenarodriguez@ub.edu</t>
  </si>
  <si>
    <t>Avedillo, Daniel Toribio/ABD-7745-2020; Ballesté, Elisenda/C-1727-2013; Rodriguez-Rubio, Lorena/D-2888-2017; Avila, Conxita/B-9466-2008; Muniesa, Maite/K-4577-2014</t>
  </si>
  <si>
    <t>Avedillo, Daniel Toribio/0000-0003-4698-5485; Ballesté, Elisenda/0000-0003-2523-8464; Rodriguez-Rubio, Lorena/0000-0002-7846-4791; Avila, Conxita/0000-0002-5489-8376; Muniesa, Maite/0000-0001-5549-1394; Roscales, Gabriel/0000-0001-9663-2990</t>
  </si>
  <si>
    <t>Spanish Ministerio de Innovacion y Ciencia [AGL2016-75536-P]; Bluebio project [CTM2016-78901/ANT]; Agencia Estatal de Investigacion (AEI); Generalitat de Catalunya [2017SGR170]; Centre de Referencia en Biotecnologia (XeRBa); Spanish Ministry of Economy, Industry and Competitiveness [BES-2017-081296]; European regional fund (ERF)</t>
  </si>
  <si>
    <t>Spanish Ministerio de Innovacion y Ciencia(Spanish Government); Bluebio project; Agencia Estatal de Investigacion (AEI); Generalitat de Catalunya(Generalitat de Catalunya); Centre de Referencia en Biotecnologia (XeRBa); Spanish Ministry of Economy, Industry and Competitiveness(Spanish Government); European regional fund (ERF)</t>
  </si>
  <si>
    <t>This research was funded by the Spanish Ministerio de Innovacion y Ciencia (AGL2016-75536-P) and the Bluebio project (CTM2016-78901/ANT), the Agencia Estatal de Investigacion (AEI), the European regional fund (ERF), the Generalitat de Catalunya (2017SGR170) and the Centre de Referencia en Biotecnologia (XeRBa). P.B.-P. has a grant from the Spanish Ministry of Economy, Industry and Competitiveness (BES-2017-081296). L.R-R. is a Serra Hunter Fellow.</t>
  </si>
  <si>
    <t>10.3390/microorganisms8091293</t>
  </si>
  <si>
    <t>OD8QC</t>
  </si>
  <si>
    <t>WOS:000580110200001</t>
  </si>
  <si>
    <t>Ortiz, M; Bosch, J; Coclet, C; Johnson, J; Lebre, P; Salawu-Rotimi, A; Vikram, S; Makhalanyane, T; Cowan, D</t>
  </si>
  <si>
    <t>Ortiz, Max; Bosch, Jason; Coclet, Clement; Johnson, Jenny; Lebre, Pedro; Salawu-Rotimi, Adeola; Vikram, Surendra; Makhalanyane, Thulani; Cowan, Don</t>
  </si>
  <si>
    <t>Microbial Nitrogen Cycling in Antarctic Soils</t>
  </si>
  <si>
    <t>N-cycling; soils; Antarctic; diazotrophy; anammox; ecosystem services; bacteria; archaea; Cyanobacteria</t>
  </si>
  <si>
    <t>AMMONIA-OXIDIZING BACTERIA; SOUTHERN VICTORIA LAND; MCMURDO DRY VALLEYS; COMMUNITY STRUCTURE; NITRITE REDUCTASE; POLAR DESERT; ARCHAEAL DIVERSITY; KATABATIC WINDS; RESPONSES; ABUNDANCE</t>
  </si>
  <si>
    <t>The Antarctic continent is widely considered to be one of the most hostile biological habitats on Earth. Despite extreme environmental conditions, the ice-free areas of the continent, which constitute some 0.44% of the total continental land area, harbour substantial and diverse communities of macro-organisms and especially microorganisms, particularly in the more hospitable maritime regions. In the more extreme non-maritime regions, exemplified by the McMurdo Dry Valleys of South Victoria Land, nutrient cycling and ecosystem servicing processes in soils are largely driven by microbial communities. Nitrogen turnover is a cornerstone of ecosystem servicing. In Antarctic continental soils, specifically those lacking macrophytes, cold-active free-living diazotrophic microorganisms, particularly Cyanobacteria, are keystone taxa. The diazotrophs are complemented by heterotrophic bacterial and archaeal taxa which show the genetic capacity to perform elements of the entire N cycle, including nitrification processes such as the anammox reaction. Here, we review the current literature on nitrogen cycling genes, taxa, processes and rates from studies of Antarctic soils. In particular, we highlight the current gaps in our knowledge of the scale and contribution of these processes in south polar soils as critical data to underpin viable predictions of how such processes may alter under the impacts of future climate change.</t>
  </si>
  <si>
    <t>[Ortiz, Max; Bosch, Jason; Coclet, Clement; Johnson, Jenny; Lebre, Pedro; Salawu-Rotimi, Adeola; Vikram, Surendra; Makhalanyane, Thulani; Cowan, Don] Univ Pretoria, Dept Biochem Genet &amp; Microbiol, Ctr Microbial Ecol &amp; Gen, ZA-0002 Pretoria, South Africa</t>
  </si>
  <si>
    <t>Cowan, D (corresponding author), Univ Pretoria, Dept Biochem Genet &amp; Microbiol, Ctr Microbial Ecol &amp; Gen, ZA-0002 Pretoria, South Africa.</t>
  </si>
  <si>
    <t>emaxortiz@gmail.com; jason.bosch@up.ac.za; clement.coclet@gmail.com; jennyjohnson865@gmail.com; pedro.lebre@up.ac.za; talk2adey100@gmail.com; surendravikram1@gmail.com; thulani.makhalanyane@up.ac.za; don.cowan@up.ac.za</t>
  </si>
  <si>
    <t>Makhalanyane, Thulani P./0000-0002-8173-1678; Coclet, Clement/0000-0002-6672-148X; Ortiz, Maximiliano/0000-0002-4778-9091; Bosch, Jason/0000-0003-1027-1210; Bixirao Neto Marinho Lebre, Pedro Humberto/0000-0002-6483-0340; Vikram, Surendra/0000-0002-4721-2890</t>
  </si>
  <si>
    <t>National Research Foundation SANAP program [110717]; University of Pretoria</t>
  </si>
  <si>
    <t>National Research Foundation SANAP program; University of Pretoria</t>
  </si>
  <si>
    <t>The authors wish to thank the National Research Foundation SANAP program for project support (grant number 110717) and for postdoctoral bursary funding for M.O. We also wish to thank the University of Pretoria for postdoctoral bursary funding for C.C., J.B., S.V. and J.J. and for Senior Postdoctoral Fellowship funding for P.L.</t>
  </si>
  <si>
    <t>10.3390/microorganisms8091442</t>
  </si>
  <si>
    <t>OD7SG</t>
  </si>
  <si>
    <t>WOS:000580048200001</t>
  </si>
  <si>
    <t>Rizzo, C; Lo Giudice, A</t>
  </si>
  <si>
    <t>Rizzo, Carmen; Lo Giudice, Angelina</t>
  </si>
  <si>
    <t>The Variety and Inscrutability of Polar Environments as a Resource of Biotechnologically Relevant Molecules</t>
  </si>
  <si>
    <t>cold-adapted bacteria; cold-enzymes; biosurfactants; antibiotics; extracellular polymers; Antarctica; Arctic</t>
  </si>
  <si>
    <t>SEA-ICE BACTERIUM; ACTIVE HYDROLYTIC ENZYMES; COLD-ADAPTED ENZYMES; BIOSURFACTANT PRODUCTION; CULTURABLE BACTERIA; ANTARCTIC BACTERIA; ALPHA-AMYLASE; EXTRACELLULAR PROTEASES; PSYCHROPHILIC BACTERIUM; ANTIMICROBIAL ACTIVITY</t>
  </si>
  <si>
    <t>The application of an ever-increasing number of methodological approaches and tools is positively contributing to the development and yield of bioprospecting procedures. In this context, cold-adapted bacteria from polar environments are becoming more and more intriguing as valuable sources of novel biomolecules, with peculiar properties to be exploited in a number of biotechnological fields. This review aims at highlighting the biotechnological potentialities of bacteria from Arctic and Antarctic habitats, both biotic and abiotic. In addition to cold-enzymes, which have been intensively analysed, relevance is given to recent advances in the search for less investigated biomolecules, such as biosurfactants, exopolysaccharides and antibiotics.</t>
  </si>
  <si>
    <t>[Rizzo, Carmen] Natl Inst Biol, Dept Marine Biotechnol, Stn Zool Anton Dohrn, I-98167 Messina, Italy; [Lo Giudice, Angelina] Natl Res Council CNR ISP, Inst Polar Sci, Spianata San Raineri 86, I-98122 Messina, Italy</t>
  </si>
  <si>
    <t>Stazione Zoologica Anton Dohrn di Napoli; Consiglio Nazionale delle Ricerche (CNR); Istituto di Scienze Polari (ISP-CNR)</t>
  </si>
  <si>
    <t>Rizzo, C (corresponding author), Natl Inst Biol, Dept Marine Biotechnol, Stn Zool Anton Dohrn, I-98167 Messina, Italy.</t>
  </si>
  <si>
    <t>carmen.rizzo@szn.it; angelina.logiudice@cnr.it</t>
  </si>
  <si>
    <t>Rizzo, Carmen/S-6285-2019; Rizzo, Carmen/AAA-3075-2022</t>
  </si>
  <si>
    <t>Rizzo, Carmen/0000-0002-4340-3833</t>
  </si>
  <si>
    <t>PNRA (Programma Nazionale di Ricerche in Antartide), Italian Ministry of Education and Research [PNRA16_00020]; Stazione Zoologica Anton Dohrn</t>
  </si>
  <si>
    <t>PNRA (Programma Nazionale di Ricerche in Antartide), Italian Ministry of Education and Research; Stazione Zoologica Anton Dohrn</t>
  </si>
  <si>
    <t>This research was funded by PNRA (Programma Nazionale di Ricerche in Antartide), Italian Ministry of Education and Research (Research Project PNRA16_00020). The APC was funded by Stazione Zoologica Anton Dohrn.</t>
  </si>
  <si>
    <t>10.3390/microorganisms8091422</t>
  </si>
  <si>
    <t>OD5XO</t>
  </si>
  <si>
    <t>WOS:000579926800001</t>
  </si>
  <si>
    <t>Zaccone, R; Misic, C; Azzaro, F; Azzaro, M; Maimone, G; Mangoni, O; Fusco, G; Rappazzo, AC; La Ferla, R</t>
  </si>
  <si>
    <t>Zaccone, Renata; Misic, Cristina; Azzaro, Filippo; Azzaro, Maurizio; Maimone, Giovanna; Mangoni, Olga; Fusco, Gianna; Rappazzo, Alessandro Ciro; La Ferla, Rosabruna</t>
  </si>
  <si>
    <t>Regulation of Microbial Activity Rates by Organic Matter in the Ross Sea during the Austral Summer 2017</t>
  </si>
  <si>
    <t>Antarctic Ocean; biogeochemical cycles; prokaryotes; enzymatic activities; particulate organic matter</t>
  </si>
  <si>
    <t>EXTRACELLULAR ENZYMATIC-ACTIVITY; PHOSPHATASE-ACTIVITY; RESPIRATION; CARBON; OCEAN; AVAILABILITY; TEMPERATURE; ANTARCTICA; ENZYMES; GROWTH</t>
  </si>
  <si>
    <t>The active prokaryotic communities proliferate in the ecosystems of the Antarctic Ocean, participating in biogeochemical cycles and supporting higher trophic levels. They are regulated by several environmental and ecological forcing, such as the characteristics of the water masses subjected to global warming and particulate organic matter (POM). During summer 2017, two polynyas in the Ross Sea were studied to evaluate key-microbiological parameters (the proteasic, glucosidasic, and phosphatasic activities, the microbial respiratory rates, the prokaryotic abundance and biomass) in relation to quantitative and qualitative characteristics of POM. Results showed significant differences in the epipelagic layer between two macro-areas (Terra Nova Bay and Ross Sea offshore area). Proteins and carbohydrates were metabolized rapidly in the offshore area (as shown by turnover times), due to high enzymatic activities in this zone, indicating fresh and labile organic compounds. The lower quality of POM in Terra Nova Bay, as shown by the higher refractory fraction, led to an increase in the turnover times of proteins and carbohydrates. Salinity was the physical constraint that played a major role in the distribution of POM and microbial activities in both areas.</t>
  </si>
  <si>
    <t>[Zaccone, Renata; Azzaro, Filippo; Azzaro, Maurizio; Maimone, Giovanna; Rappazzo, Alessandro Ciro; La Ferla, Rosabruna] Natl Res Council ISP CNR, Inst Polar Sci, I-98122 Messina, Italy; [Misic, Cristina] Univ Genoa, Dept Earth Environm &amp; Life Sci, I-16132 Genoa, Italy; [Mangoni, Olga] Univ Naples Federico II, Dept Biol, I-80126 Naples, Italy; [Fusco, Gianna] Univ Parthenope Naples, Dept Sci &amp; Technol, I-80143 Naples, Italy</t>
  </si>
  <si>
    <t>Consiglio Nazionale delle Ricerche (CNR); Istituto di Scienze Polari (ISP-CNR); University of Genoa; University of Naples Federico II; Parthenope University Naples</t>
  </si>
  <si>
    <t>Zaccone, R (corresponding author), Natl Res Council ISP CNR, Inst Polar Sci, I-98122 Messina, Italy.</t>
  </si>
  <si>
    <t>renata.zaccone@cnr.it; cristina.misic@unige.it; filippo.azzaro@cnr.it; maurizio.azzaro@cnr.it; giovanna.maimone@cnr.it; olga.mangoni@unina.it; giannetta.fusco@uniparthenope.it; rappale@libero.it; rosabruna.laferla@cnr.it</t>
  </si>
  <si>
    <t>azzaro, Maurizio/AAE-6784-2019</t>
  </si>
  <si>
    <t>azzaro, Maurizio/0000-0001-7885-2340; MISIC, CRISTINA/0000-0002-2577-1800; AZZARO, FILIPPO/0000-0002-5194-3856; FUSCO, Giannetta/0000-0003-1769-2456</t>
  </si>
  <si>
    <t>Italian Ministry of Education and Research by grants from the National Antarctic Research Program (PNRA) [PNRA 2016-00207-CELEBeR, PNRA 2016-00239-P-ROSE]</t>
  </si>
  <si>
    <t>Italian Ministry of Education and Research by grants from the National Antarctic Research Program (PNRA)</t>
  </si>
  <si>
    <t>This research was funded by Italian Ministry of Education and Research by grants from the National Antarctic Research Program (PNRA), research project: PNRA 2016-00207-CELEBeR (CDW e ffects on glacial melting and on bulk of Fe in theWestern Ross Sea) and PNRA 2016-00239-P-ROSE (Plankton Biodiversity and Functioning of the Ross Sea Ecosystems in a Changing Southern Ocean).</t>
  </si>
  <si>
    <t>10.3390/microorganisms8091273</t>
  </si>
  <si>
    <t>OD7LA</t>
  </si>
  <si>
    <t>WOS:000580029400001</t>
  </si>
  <si>
    <t>Yuan, Y; Chen, LZ; Shi, WZ; Wang, ZH; Zhang, HC</t>
  </si>
  <si>
    <t>Yuan, Yuan; Chen, Luzhu; Shi, Wenzheng; Wang, Zhihe; Zhang, Hongcai</t>
  </si>
  <si>
    <t>Insight into Physicochemical, Rheological, and Antibacterial Properties of Chitosan Extracted fromAntarctic krill: A Comparative Study</t>
  </si>
  <si>
    <t>Antarctic krill; crustacean wastes; chitosan; rheology; antimicrobial activity</t>
  </si>
  <si>
    <t>ANTIMICROBIAL ACTIVITIES; CHITIN DEACETYLASE; ACETYLATION DEGREE; MOLECULAR-WEIGHT; SHRIMP WASTES; OPTIMIZATION; ANTIOXIDANT; VISCOSITY; STATE; CRAB</t>
  </si>
  <si>
    <t>In this work, physicochemical, rheological, and antibacterial properties of chitosan (CS) extracted from white shrimp (WS), giant river prawn (GP), andAntarctic krill(AK) were investigated. The results demonstrated that molecular weight (MW) of commercial chitosan (CCS), WSCS, GPCS, and AKCS were 1175.8, 2130.4, 1293.3, and 1109.3 kDa with the degree of deacetylation (DDA) of 73.5, 74.1, 82.1, and 75.9%, respectively. Fourier transform infrared (FT-IR), X-ray diffraction (XRD), differential scanning calorimetry (DSC), and scanning electron microscope (SEM) were employed to study the structural differences of CS. Moreover, storage modulus (G ') and loss modulus (G '') of AKCS were lower than that of WSCS and GPCS, respectively, but higher than that of CCS. Minimum inhibitory concentration (MIC) and minimum bacterial concentration (MBC) of CS againstEscherichia coliandStaphylococcus aureuswere investigated at concentration between 0.0125 and 1 mg/mL. These results highlighted that AKCS with low viscoelastic properties had a potential application in food and pharmaceutical application.</t>
  </si>
  <si>
    <t>[Yuan, Yuan; Chen, Luzhu; Shi, Wenzheng; Wang, Zhihe; Zhang, Hongcai] Shanghai Ocean Univ, Coll Food Sci &amp; Technol, Shanghai 201306, Peoples R China; [Shi, Wenzheng; Zhang, Hongcai] Ctr Freshwater Aquat Prod Proc Technol Shanghai, Natl R&amp;D Branch, Shanghai 201306, Peoples R China; [Wang, Zhihe; Zhang, Hongcai] Shanghai Jiao Tong Univ, Sch Agr &amp; Biol, Shanghai 200240, Peoples R China; [Zhang, Hongcai] Tongji Univ, Sch Environm Sci &amp; Engn, State Key Lab Pollut Control, Shanghai 200092, Peoples R China</t>
  </si>
  <si>
    <t>Shanghai Ocean University; Shanghai Jiao Tong University; Tongji University</t>
  </si>
  <si>
    <t>Wang, ZH; Zhang, HC (corresponding author), Shanghai Ocean Univ, Coll Food Sci &amp; Technol, Shanghai 201306, Peoples R China.;Zhang, HC (corresponding author), Ctr Freshwater Aquat Prod Proc Technol Shanghai, Natl R&amp;D Branch, Shanghai 201306, Peoples R China.;Wang, ZH; Zhang, HC (corresponding author), Shanghai Jiao Tong Univ, Sch Agr &amp; Biol, Shanghai 200240, Peoples R China.;Zhang, HC (corresponding author), Tongji Univ, Sch Environm Sci &amp; Engn, State Key Lab Pollut Control, Shanghai 200092, Peoples R China.</t>
  </si>
  <si>
    <t>yyuan@shou.edu.cn; lzchen@shou.edu.cn; wzshi1@shou.edu.cn; zhwang@shou.edu.cn; hczhang@shou.edu.cn</t>
  </si>
  <si>
    <t>Zhang, Hongcai/GNP-1430-2022</t>
  </si>
  <si>
    <t>Zhang, Hongcai/0000-0002-9769-463X</t>
  </si>
  <si>
    <t>Natural Science Foundation of Shanghai Municipal [19ZR1422900]; National Natural Science Foundation of China [41776185]</t>
  </si>
  <si>
    <t>Natural Science Foundation of Shanghai Municipal; National Natural Science Foundation of China(National Natural Science Foundation of China (NSFC))</t>
  </si>
  <si>
    <t>This work was financially supported by the Natural Science Foundation of Shanghai Municipal (19ZR1422900) and the National Natural Science Foundation of China (No: 41776185).</t>
  </si>
  <si>
    <t>10.3390/molecules25184074</t>
  </si>
  <si>
    <t>OD8CY</t>
  </si>
  <si>
    <t>WOS:000580076000001</t>
  </si>
  <si>
    <t>Cui, XB; Greenbaum, JS; Lang, SN; Zhao, X; Li, L; Guo, JX; Sun, B</t>
  </si>
  <si>
    <t>Cui, Xiangbin; Greenbaum, Jamin S.; Lang, Shinan; Zhao, Xi; Li, Lin; Guo, Jingxue; Sun, Bo</t>
  </si>
  <si>
    <t>The Scientific Operations of Snow Eagle 601 in Antarctica in the Past Five Austral Seasons</t>
  </si>
  <si>
    <t>Snow Eagle 601; aerogeophysics; Princess Elizabeth Land; ice-penetrating radar; Antarctic ice sheet</t>
  </si>
  <si>
    <t>ICE-SHEET; WIDESPREAD; BED</t>
  </si>
  <si>
    <t>The Antarctic ice sheet and the continent both play critical roles in global sea level rise and climate change but they remain poorly understood because data collection is greatly limited by the remote location and hostile conditions there. Airborne platforms have been extensively used in Antarctica due to their capabilities and flexibility and have contributed a great deal of knowledge to both the ice sheet and the continent. The Snow Eagle 601 fixed-wing airborne platform has been deployed by China for Antarctic expeditions since 2015. Scientific instruments on the airplane include an ice-penetrating radar, a gravimeter, a magnetometer, a laser altimeter, a camera and a Global Navigation Satellite System (GNSS). In the past five austral seasons, the airborne platform has been used to survey Princess Elizabeth Land, the largest data gap in Antarctica, as well as other critical areas. This paper reviews the scientific operations of Snow Eagle 601 including airborne and ground-based scientific instrumentation, aviation logistics, field data acquisition and processing and data quality control. We summarize the progress of airborne surveys to date, focusing on scientific motivations, data coverage and national and international collaborations. Finally, we discuss potential regions for applications of the airborne platform in Antarctica and developments of the airborne scientific system for future work.</t>
  </si>
  <si>
    <t>[Cui, Xiangbin; Li, Lin; Guo, Jingxue; Sun, Bo] Polar Res Inst China, Shanghai 200136, Peoples R China; [Greenbaum, Jamin S.] Univ Texas Austin, Inst Geophys, Austin, TX 78758 USA; [Lang, Shinan] Beijing Univ Technol, Fac Informat Technol, Beijing 100124, Peoples R China; [Zhao, Xi] Wuhan Univ, Chinese Antarctic Ctr Surveying, Wuhan 430072, Peoples R China</t>
  </si>
  <si>
    <t>Polar Research Institute of China; University of Texas System; University of Texas Austin; Beijing University of Technology; Wuhan University</t>
  </si>
  <si>
    <t>Guo, JX (corresponding author), Polar Res Inst China, Shanghai 200136, Peoples R China.</t>
  </si>
  <si>
    <t>cuixiangbin@pric.org.cn; jamin@utexas.edu; langshinan@bjut.edu.cn; xi.zhao@whu.edu.cn; lilin@pric.org.cn; guojingxue@pric.org.cn; sunbo@pric.org.cn</t>
  </si>
  <si>
    <t>zhao, xi/HJY-6017-2023; sun, bo/JFA-9978-2023</t>
  </si>
  <si>
    <t>Lang, Shinan/0000-0003-3909-7316; Zhao, Xi/0000-0003-2274-891X; Cui, Xiangbin/0000-0002-4269-8086</t>
  </si>
  <si>
    <t>National Natural Science Foundation of China [41941006, 41730102, 41776186]; National Key R&amp;D Program of China [2019YFC1509102, 2018YFB1307504]; G. Unger Vetlesen Foundation; NSF [PLR-1543452, PLR-1443690]; Department for Business Innovation and Skills; British Council; US State Department</t>
  </si>
  <si>
    <t>National Natural Science Foundation of China(National Natural Science Foundation of China (NSFC)); National Key R&amp;D Program of China; G. Unger Vetlesen Foundation; NSF(National Science Foundation (NSF)); Department for Business Innovation and Skills; British Council(The British Council in India); US State Department</t>
  </si>
  <si>
    <t>This work was supported by the National Natural Science Foundation of China (41941006, 41730102, 41776186), the National Key R&amp;D Program of China (2019YFC1509102, 2018YFB1307504), the G. Unger Vetlesen Foundation, NSF grants PLR-1543452 and PLR-1443690, the Department for Business Innovation and Skills, the British Council and the US State Department.</t>
  </si>
  <si>
    <t>10.3390/rs12182994</t>
  </si>
  <si>
    <t>OE0DE</t>
  </si>
  <si>
    <t>WOS:000580211800001</t>
  </si>
  <si>
    <t>Liang, S; Zeng, JY; Li, Z; Qiao, DJ; Zhang, P; Bi, HY</t>
  </si>
  <si>
    <t>Liang, Shuang; Zeng, Jiangyuan; Li, Zhen; Qiao, Dejing; Zhang, Ping; Bi, Haiyun</t>
  </si>
  <si>
    <t>Consistent Comparison of Remotely Sensed Sea Ice Concentration Products with ERA-Interim Reanalysis Data in Polar Regions</t>
  </si>
  <si>
    <t>sea ice concentration; passive microwave; ERA-Interim; polar region</t>
  </si>
  <si>
    <t>SATELLITE PASSIVE MICROWAVE; CONCENTRATION ALGORITHMS; CONCENTRATION RETRIEVAL; SHIP OBSERVATIONS; SUMMER; TEMPERATURE; VARIABILITY; PARAMETERS; TRENDS; AVHRR</t>
  </si>
  <si>
    <t>Sea ice concentration (SIC) plays a significant role in climate change research and ship's navigation in polar regions. Satellite-based SIC products have become increasingly abundant in recent years; however, the uncertainty of these products still exists and needs to be further investigated. To comprehensively evaluate the consistency of the SIC derived from different SIC algorithms in long time series and the whole polar regions, we compared four passive microwave (PM) satellite SIC products with the ERA-Interim sea ice fraction dataset during the period of 2015-2018. The PM SIC products include the SSMIS/ASI, AMSR2/BT, the Chinese FY3B/NT2, and FY3C/NT2. The results show that the remotely sensed SIC products derived from different SIC algorithms are generally in good consistency. The spatial and temporal distribution of discrepancy among satellite SIC products for both Arctic and Antarctic regions are also observed. The most noticeable difference for all the four SIC products mostly occurs in summer and at the marginal ice zone, indicating that large uncertainties exist in satellite SIC products in such period and areas. The SSMIS/ASI and AMSR2/BT show relatively better consistency with ERA-Interim in the Arctic and Antarctic, respectively, but they exhibit opposite bias (dry/wet) relative to the ERA-Interim data. The sea ice extent (SIE) and sea ice area (SIA) derived from PM and ERA-Interim SIC were also compared. It is found that the difference of PM SIE and SIA varies seasonally, which is in line with that of PM SIC, and the discrepancy between PM and ERA-Interim data is larger in Arctic than in Antarctic. We also noticed that different algorithms have different performances in different regions and periods; therefore, the hybrid of multiple algorithms is a promising way to improve the accuracy of SIC retrievals. It is expected that our findings can contribute to improving the satellite SIC algorithms and thus promote the application of these useful products in global climate change studies.</t>
  </si>
  <si>
    <t>[Liang, Shuang; Li, Zhen; Zhang, Ping] Chinese Acad Sci, Aerosp Informat Res Inst, Key Lab Digital Earth Sci, Beijing 100094, Peoples R China; [Liang, Shuang] Univ Chinese Acad Sci, Beijing 100049, Peoples R China; [Zeng, Jiangyuan] Chinese Acad Sci, Aerosp Informat Res Inst, State Key Lab Remote Sensing Sci, Beijing 100101, Peoples R China; [Qiao, Dejing] North China Univ Water Resources &amp; Elect Power, Coll Surveying &amp; Geoinformat, Zhengzhou 450045, Henan, Peoples R China; [Bi, Haiyun] China Earthquake Adm, Inst Geol, State Key Lab Earthquake Dynam, Beijing 100029, Peoples R China</t>
  </si>
  <si>
    <t>Chinese Academy of Sciences; Aerospace Information Research Institute, CAS; Chinese Academy of Sciences; University of Chinese Academy of Sciences, CAS; Chinese Academy of Sciences; Aerospace Information Research Institute, CAS; North China University of Water Resources &amp; Electric Power; China Earthquake Administration</t>
  </si>
  <si>
    <t>Zeng, JY (corresponding author), Chinese Acad Sci, Aerosp Informat Res Inst, State Key Lab Remote Sensing Sci, Beijing 100101, Peoples R China.</t>
  </si>
  <si>
    <t>liangpr@radi.ac.cn; zengjy@radi.ac.cn; lizhen@radi.ac.cn; djqiao@stu.xust.edu.cn; zhangping@radi.ac.cn; bihaiyun@ies.ac.cn</t>
  </si>
  <si>
    <t>Zeng, Jiangyuan/AAJ-8512-2020; liang, shuang/JOK-5869-2023</t>
  </si>
  <si>
    <t>Zeng, Jiangyuan/0000-0002-5039-6774;</t>
  </si>
  <si>
    <t>National Key Research and Development Program of China [2018YFA0605403]; Youth Innovation Promotion Association CAS [2018082]</t>
  </si>
  <si>
    <t>National Key Research and Development Program of China; Youth Innovation Promotion Association CAS</t>
  </si>
  <si>
    <t>This research was funded by the National Key Research and Development Program of China (No. 2018YFA0605403). Jiangyuan Zeng was supported by the Youth Innovation Promotion Association CAS (No. 2018082).</t>
  </si>
  <si>
    <t>10.3390/rs12182880</t>
  </si>
  <si>
    <t>OE2BV</t>
  </si>
  <si>
    <t>WOS:000580343500001</t>
  </si>
  <si>
    <t>Levy, H; Fontenele, RS; Harding, C; Suazo, C; Kraberger, S; Schmidlin, K; Djurhuus, A; Black, CE; Hart, T; Smith, AL; Varsani, A</t>
  </si>
  <si>
    <t>Levy, Hila; Fontenele, Rafaela S.; Harding, Ciara; Suazo, Crystal; Kraberger, Simona; Schmidlin, Kara; Djurhuus, Anni; Black, Caitlin E.; Hart, Tom; Smith, Adrian L.; Varsani, Arvind</t>
  </si>
  <si>
    <t>Identification and Distribution of Novel Cressdnaviruses and Circular Molecules in Four Penguin Species in South Georgia and the Antarctic Peninsula</t>
  </si>
  <si>
    <t>VIRUSES-BASEL</t>
  </si>
  <si>
    <t>Cressdnaviricota; circular molecules; penguins; viruses; Antarctica; Pygoscelis antarcticus; Pygoscelis adeliae; Pygoscelis papua</t>
  </si>
  <si>
    <t>ENZYMOLOGY WEB TOOLS; DNA VIRUSES; PYGOSCELIS-ADELIAE; ALIGNMENT; GENOME; DIVERSITY; MODELS; LAKE</t>
  </si>
  <si>
    <t>There is growing interest in uncovering the viral diversity present in wild animal species. The remote Antarctic region is home to a wealth of uncovered microbial diversity, some of which is associated with its megafauna, including penguin species, the dominant avian biota. Penguins interface with a number of other biota in their roles as marine mesopredators and several species overlap in their ranges and habitats. To characterize the circular single-stranded viruses related to those in the phylumCressdnaviricotafrom these environmental sentinel species, cloacal swabs (n= 95) were obtained from King Penguins in South Georgia, and congeneric Adelie Penguins, Chinstrap Penguins, and Gentoo Penguins across the South Shetland Islands and Antarctic Peninsula. Using a combination of high-throughput sequencing, abutting primers-based PCR recovery of circular genomic elements, cloning, and Sanger sequencing, we detected 97 novel sequences comprising 40 ssDNA viral genomes and 57 viral-like circular molecules from 45 individual penguins. We present their detection patterns, with Chinstrap Penguins harboring the highest number of new sequences. The novel Antarctic viruses identified appear to be host-specific, while one circular molecule was shared between sympatric Chinstrap and Gentoo Penguins. We also report viral genotype sharing between three adult-chick pairs, one in each Pygoscelid species. Sequence similarity network approaches coupled with Maximum likelihood phylogenies of the clusters indicate the 40 novel viral genomes do not fall within any known viral families and likely fall within the recently established phylumCressdnaviricotabased on their replication-associated protein sequences. Similarly, 83 capsid protein sequences encoded by the viruses or viral-like circular molecules identified in this study do not cluster with any of those encoded by classified viral groups. Further research is warranted to expand knowledge of the Antarctic virome and would help elucidate the importance of viral-like molecules in vertebrate host evolution.</t>
  </si>
  <si>
    <t>[Levy, Hila; Hart, Tom; Smith, Adrian L.] Univ Oxford, Dept Zool, South Parks Rd, Oxford OX1 3SZ, England; [Fontenele, Rafaela S.; Harding, Ciara; Suazo, Crystal; Kraberger, Simona; Schmidlin, Kara; Varsani, Arvind] Arizona State Univ, Sch Life Sci, Biodesign Ctr Fundamental &amp; Appl Microbi, Ctr Evolut &amp; Med, Tempe, AZ 85287 USA; [Djurhuus, Anni] Univ Faroe Islands, Fac Sci &amp; Technol, Vestarabryggja 15, FO-100 Torshavn, Faroe Islands; [Black, Caitlin E.] Univ Zurich, Dept Evolutionary Biol &amp; Environm Studies, Winterthurerstr 190, CH-8057 Zurich, Switzerland; [Varsani, Arvind] Univ Cape Town, Dept Integrat Biomed Sci, Struct Biol Res Unit, ZA-7701 Cape Town, South Africa</t>
  </si>
  <si>
    <t>University of Oxford; Arizona State University; Arizona State University-Tempe; University of the Faroe Islands; University of Zurich; University of Cape Town</t>
  </si>
  <si>
    <t>Smith, AL (corresponding author), Univ Oxford, Dept Zool, South Parks Rd, Oxford OX1 3SZ, England.;Varsani, A (corresponding author), Arizona State Univ, Sch Life Sci, Biodesign Ctr Fundamental &amp; Appl Microbi, Ctr Evolut &amp; Med, Tempe, AZ 85287 USA.;Varsani, A (corresponding author), Univ Cape Town, Dept Integrat Biomed Sci, Struct Biol Res Unit, ZA-7701 Cape Town, South Africa.</t>
  </si>
  <si>
    <t>hila.levy@zoo.ox.ac.uk; rafasfontenele@asu.edu; chardin5@asu.edu; csuazo@asu.edu; simona.kraberger@asu.edu; Kara.Schmidlin@asu.edu; anni.djurhuus@gmail.com; caitlin.black@uzh.ch; tom.hart@zoo.ox.ac.uk; adrian.smith@zoo.ox.ac.uk; arvind.varsani@asu.edu</t>
  </si>
  <si>
    <t>Varsani, Arvind/JOZ-5299-2023</t>
  </si>
  <si>
    <t>Varsani, Arvind/0000-0003-4111-2415; Salgado Fontenele, Rafaela/0000-0001-5638-7134; Hart, Tom/0000-0002-4527-5046; Levy, Hila/0000-0001-9204-6417; Djurhuus, Anni/0000-0002-3517-7522; Smith, Adrian/0000-0002-7657-6191</t>
  </si>
  <si>
    <t>Penguin Watch project at the University of Oxford [DPLUS002]; Center of Evolution and Medicine Venture Fund (Center of Evolution and Medicine, Arizona State University, U.S.A.); University of Oxford Clarendon Fund Scholarship; BBSRC [BB/K004468/1] Funding Source: UKRI</t>
  </si>
  <si>
    <t>Penguin Watch project at the University of Oxford; Center of Evolution and Medicine Venture Fund (Center of Evolution and Medicine, Arizona State University, U.S.A.); University of Oxford Clarendon Fund Scholarship; BBSRC(UK Research &amp; Innovation (UKRI)Biotechnology and Biological Sciences Research Council (BBSRC))</t>
  </si>
  <si>
    <t>We thank Quark Expeditions for logistical and financial support provided the Penguin Watch project at the University of Oxford, much of the sampling was carried out under Darwin Funding (DPLUS002) awarded to TH. The molecular work described in this study was supported by the Center of Evolution and Medicine Venture Fund (Center of Evolution and Medicine, Arizona State University, U.S.A.) grant awarded to AV. HL's work was supported by a University of Oxford Clarendon Fund Scholarship.</t>
  </si>
  <si>
    <t>1999-4915</t>
  </si>
  <si>
    <t>Viruses-Basel</t>
  </si>
  <si>
    <t>10.3390/v12091029</t>
  </si>
  <si>
    <t>OE0HG</t>
  </si>
  <si>
    <t>WOS:000580222400001</t>
  </si>
  <si>
    <t>Fu, WX; Li, XW; Wang, M; Liang, L</t>
  </si>
  <si>
    <t>Fu, Wenxue; Li, Xinwu; Wang, Meng; Liang, Lei</t>
  </si>
  <si>
    <t>Delineation of Radar Glacier Zones in the Antarctic Peninsula Using Polarimetric SAR</t>
  </si>
  <si>
    <t>WATER</t>
  </si>
  <si>
    <t>Antarctic Peninsula; snow melt; radar glacier zones; polarimetric synthetic aperture radar (SAR)</t>
  </si>
  <si>
    <t>MICROWAVE SATELLITE-OBSERVATIONS; SNOW COVER; WET SNOW; DECOMPOSITION; ICE; DRY; POLARIZATION; BACKSCATTER</t>
  </si>
  <si>
    <t>Climate change is a cause of the expansion of snowmelt phenomena in the Antarctic, and shifts in position of wet and dry snow lines have been considered as good indicators of climate changes. The impacts of climate change are observable by the delineation of significant position change of glacier zones. The principal limitation of current glacier zone classification methods by synthetic aperture radar (SAR) image is that it is difficult to discriminate dry-snow and wet-snow zones using only single-polarimetric radar backscattering intensity. This study tried to solve the problem using polarimetric SAR (PolSAR). Analysis indicates that polarimetric decomposition elements could be efficient characteristics to delineate radar glacier zones by recognition of principal backscatter patterns. Further, two radar glacier zone classification processes for polarimetric SAR are proposed: a supervised support vector machine (SVM) classification process and a simple decision-tree classification method. These methods enable reliable delineation of radar glacier zones in the Antarctic Peninsula. Polarimetric SAR, which provides more information about the scattering processes and target structure, proves to be an efficient tool for delineating radar glacier zones and snowmelt detection.</t>
  </si>
  <si>
    <t>[Fu, Wenxue; Li, Xinwu; Wang, Meng; Liang, Lei] Chinese Acad Sci, Aerosp Informat Res Inst, Key Lab Digital Earth Sci, Beijing 100094, Peoples R China</t>
  </si>
  <si>
    <t>Chinese Academy of Sciences; Aerospace Information Research Institute, CAS</t>
  </si>
  <si>
    <t>Fu, WX (corresponding author), Chinese Acad Sci, Aerosp Informat Res Inst, Key Lab Digital Earth Sci, Beijing 100094, Peoples R China.</t>
  </si>
  <si>
    <t>fuwx@radi.ac.cn; lixw@radi.ac.cn; wangmeng01@radi.ac.cn; lianglei@radi.ac.cn</t>
  </si>
  <si>
    <t>fu, wx/HNI-3150-2023; wang, yi/JYO-8193-2024</t>
  </si>
  <si>
    <t>National Key Research and Development Program of China [2016YFB0501501]; Strategic Priority Research Program of the Chinese Academy of Sciences [XDA19070102]</t>
  </si>
  <si>
    <t>National Key Research and Development Program of China; Strategic Priority Research Program of the Chinese Academy of Sciences(Chinese Academy of Sciences)</t>
  </si>
  <si>
    <t>This work was supported by the National Key Research and Development Program of China (2016YFB0501501) and by the Strategic Priority Research Program of the Chinese Academy of Sciences (XDA19070102).</t>
  </si>
  <si>
    <t>2073-4441</t>
  </si>
  <si>
    <t>WATER-SUI</t>
  </si>
  <si>
    <t>Water</t>
  </si>
  <si>
    <t>10.3390/w12092620</t>
  </si>
  <si>
    <t>OF0MB</t>
  </si>
  <si>
    <t>WOS:000580912400001</t>
  </si>
  <si>
    <t>Anielak, AM; Lominska-Platek, D; Krylow, M</t>
  </si>
  <si>
    <t>Anielak, Anna M.; Lominska-Platek, Dominika; Krylow, Malgorzata</t>
  </si>
  <si>
    <t>Origin and characteristics of fulvic acids - precursors of oxidation and disinfection by-products</t>
  </si>
  <si>
    <t>DESALINATION AND WATER TREATMENT</t>
  </si>
  <si>
    <t>14th Conference on Microcontaminants in Human Environment</t>
  </si>
  <si>
    <t>SEP 04-06, 2019</t>
  </si>
  <si>
    <t>Czestochowa, POLAND</t>
  </si>
  <si>
    <t>Fulvic acids; Humic acids; Humic substances; Leachate; Micropollutants</t>
  </si>
  <si>
    <t>HUMIC ACIDS; LANDFILL; TRIHALOMETHANES; ADSORPTION; LEACHATE; BEHAVIOR</t>
  </si>
  <si>
    <t>The work presents characteristics of humic substances (HSs), including water-soluble fulvic acids (FAs). FAs act as carriers of micropollutants and precursors of organic, carcinogenic, mutagenic, and teratogenic chloro compounds, during oxidation and disinfection of surface water. HSs can be found in the soils, peat bogs as well in surface and groundwaters. In the research, FAs was extracted from municipal wastewater (raw and treated) as well as from landfill leachates. Next subsequently subjected to qualitative and quantitative analysis. Their quantitative elemental composition included determination of O, C, H and N mass, O/C, H/C, and N/C atomic ratios, a micropollutant content, and an infrared spectrum. Based on a literature review and author's research, FAs characteristics, as well as, properties were presented and next compared with discussed substances originating from other sources, such as the waste landfill in Shanghai and Beijing in China, Antarctic soil, sewage sludge from Japan and the Suwannee River water. It was shown that municipal facilities, such as landfills and wastewater treatment plants, were important sources of the FAs formation. In Poland, approximately 15.6 tons of FAs/d (as dry solids) are discharged to surface waters. A detailed analysis of the infrared spectrum indicates that FAs extracted from leachates and treated wastewater has a convergent chemical structure. These are aromatic hydrocarbons with alkyl groups and carboxylic acid groups. The degree of FAs aromatization depends on their humification time and the place of origin. HSs undergoes a biochemical and chemical transformation in the environment. Their content of inorganic substances (ash) varies with their origin, the highest amount of microorganic impurities can be found in FAs extracted from raw sewage, sewage sludge, and landfill leachate.</t>
  </si>
  <si>
    <t>[Anielak, Anna M.; Lominska-Platek, Dominika; Krylow, Malgorzata] Cracow Univ Technol, Fac Environm Engn, Dept Environm Technol, Warszawska 24, PL-31155 Krakow, Poland</t>
  </si>
  <si>
    <t>Cracow University of Technology</t>
  </si>
  <si>
    <t>Anielak, AM (corresponding author), Cracow Univ Technol, Fac Environm Engn, Dept Environm Technol, Warszawska 24, PL-31155 Krakow, Poland.</t>
  </si>
  <si>
    <t>aanielak@pk.edu.pl; dominika.lominska@pk.edu.pl; gosiak@wis.pk.edu.pl</t>
  </si>
  <si>
    <t>Małgorzata, Monika Kryłów/ABD-8083-2020</t>
  </si>
  <si>
    <t>Anielak, Anna Maria/0000-0001-8965-936X; Lominska-Platek, Dominika/0000-0001-9377-5590; Krylow, Malgorzata/0000-0003-2528-7266</t>
  </si>
  <si>
    <t>DESALINATION PUBL</t>
  </si>
  <si>
    <t>HOPKINTON</t>
  </si>
  <si>
    <t>36 WALCOTT VALLEY DRIVE,, HOPKINTON, MA 01748 USA</t>
  </si>
  <si>
    <t>1944-3994</t>
  </si>
  <si>
    <t>1944-3986</t>
  </si>
  <si>
    <t>DESALIN WATER TREAT</t>
  </si>
  <si>
    <t>Desalin. Water Treat.</t>
  </si>
  <si>
    <t>10.5004/dwt.2020.25903</t>
  </si>
  <si>
    <t>Engineering, Chemical; Water Resources</t>
  </si>
  <si>
    <t>Engineering; Water Resources</t>
  </si>
  <si>
    <t>OC3DR</t>
  </si>
  <si>
    <t>WOS:000579039100046</t>
  </si>
  <si>
    <t>de la Higuera, I; Kasun, GW; Torrance, EL; Pratt, AA; Maluenda, A; Colombet, J; Bisseux, M; Ravet, V; Dayaram, A; Stainton, D; Kraberger, S; Zawar-Reza, P; Goldstien, S; Briskie, JV; White, R; Taylor, H; Gomez, C; Ainley, DG; Harding, JS; Fontenele, RS; Schreck, J; Ribeiro, SG; Oswald, SA; Arnold, JM; Enault, F; Varsani, A; Stedman, KM</t>
  </si>
  <si>
    <t>de la Higuera, Ignacio; Kasun, George W.; Torrance, Ellis L.; Pratt, Alyssa A.; Maluenda, Amberlee; Colombet, Jonathan; Bisseux, Maxime; Ravet, Viviane; Dayaram, Anisha; Stainton, Daisy; Kraberger, Simona; Zawar-Reza, Peyman; Goldstien, Sharyn; Briskie, James, V; White, Robyn; Taylor, Helen; Gomez, Christopher; Ainley, David G.; Harding, Jon S.; Fontenele, Rafaela S.; Schreck, Joshua; Ribeiro, Simone G.; Oswald, Stephen A.; Arnold, Jennifer M.; Enault, Francois; Varsani, Arvind; Stedman, Kenneth M.</t>
  </si>
  <si>
    <t>Unveiling Crucivirus Diversity by Mining Metagenomic Data</t>
  </si>
  <si>
    <t>MBIO</t>
  </si>
  <si>
    <t>crucivirus; CRESS-DNA viruses; gene transfer; recombination; virus evolution; environmental virology</t>
  </si>
  <si>
    <t>SINGLE-STRANDED-DNA; BUSHY STUNT VIRUS; ROLLING-CIRCLE REPLICATION; CUCUMBER-NECROSIS-VIRUS; PORCINE CIRCOVIRUS; BACTERIOPHAGE-PHI-X174 GENE; SEQUENCE ALIGNMENTS; INITIATOR PROTEIN; REP PROTEINS; AMINO-ACIDS</t>
  </si>
  <si>
    <t>The discovery of cruciviruses revealed the most explicit example of a common protein homologue between DNA and RNA viruses to date. Cruciviruses are a novel group of circular Rep-encoding single-stranded DNA (ssDNA) (CRESS-DNA) viruses that encode capsid proteins that are most closely related to those encoded by RNA viruses in the family Tombusviridae. The apparent chimeric nature of the two core proteins encoded by crucivirus genomes suggests horizontal gene transfer of capsid genes between DNA and RNA viruses. Here, we identified and characterized 451 new crucivirus genomes and 10 capsid-encoding circular genetic elements through de novo assembly and mining of metagenomic data. These genomes are highly diverse, as demonstrated by sequence comparisons and phylogenetic analysis of subsets of the protein sequences they encode. Most of the variation is reflected in the replication-associated protein (Rep) sequences, and much of the sequence diversity appears to be due to recombination. Our results suggest that recombination tends to occur more frequently among groups of cruciviruses with relatively similar capsid proteins and that the exchange of Rep protein domains between cruciviruses is rarer than intergenic recombination. Additionally, we suggest members of the stramenopiles/alveolates/Rhizaria supergroup as possible crucivirus hosts. Altogether, we provide a comprehensive and descriptive characterization of cruciviruses. IMPORTANCE Viruses are the most abundant biological entities on Earth. In addition to their impact on animal and plant health, viruses have important roles in ecosystem dynamics as well as in the evolution of the biosphere. Circular Rep-encoding single-stranded (CRESS) DNA viruses are ubiquitous in nature, many are agriculturally important, and they appear to have multiple origins from prokaryotic plasmids. A subset of CRESS-DNA viruses, the cruciviruses, have homologues of capsid proteins encoded by RNA viruses. The genetic structure of cruciviruses attests to the transfer of capsid genes between disparate groups of viruses. However, the evolutionary history of cruciviruses is still unclear. By collecting and analyzing cruciviral sequence data, we provide a deeper insight into the evolutionary intricacies of cruciviruses. Our results reveal an unexpected diversity of this virus group, with frequent recombination as an important determinant of variability.</t>
  </si>
  <si>
    <t>[de la Higuera, Ignacio; Kasun, George W.; Torrance, Ellis L.; Pratt, Alyssa A.; Maluenda, Amberlee; Stedman, Kenneth M.] Portland State Univ, Dept Biol, Ctr Life Extreme Environm, Portland, OR 97207 USA; [Colombet, Jonathan; Bisseux, Maxime; Enault, Francois] Univ Clermont Auvergne, CNRS, Lab Microorganismes Genome &amp; Environm, UMR 6023, Clermont Ferrand, France; [Ravet, Viviane] Charite, Inst Neurophysiol, Berlin, Germany; [Dayaram, Anisha] Univ Arkansas Syst, Dept Entomol &amp; Plant Pathol, Div Agr, Fayetteville, AR USA; [Stainton, Daisy; Fontenele, Rafaela S.; Schreck, Joshua; Varsani, Arvind] Arizona State Univ, Sch Life Sci, Biodesign Ctr Fundamental &amp; Appl Microbi, Ctr Evolut &amp; Med, Tempe, AZ USA; [Kraberger, Simona] Univ Canterbury, Sch Earth &amp; Environm, Christchurch, New Zealand; [Zawar-Reza, Peyman; Goldstien, Sharyn; Briskie, James, V; Ainley, David G.; Harding, Jon S.; Varsani, Arvind] Univ Canterbury, Sch Biol Sci, Christchurch, New Zealand; [White, Robyn] Univ Otago, Dept Anat, Dunedin, New Zealand; [Taylor, Helen] Kobe Univ, Grad Sch Maritime Sci, Lab Sediment Hazards &amp; Disaster Risk, Kobe, Hyogo, Japan; [Gomez, Christopher] HT Harvey &amp; Associates, Los Gatos, CA USA; [Ribeiro, Simone G.] Embrapa Recursos Genet &amp; Biotecnol, Brasilia, DF, Brazil; [Oswald, Stephen A.; Arnold, Jennifer M.] Penn State Univ, Div Sci, Reading, PA USA; [Varsani, Arvind] Univ Cape Town, Dept Clin Lab Sci, Struct Biol Res Unit, Cape Town, South Africa</t>
  </si>
  <si>
    <t>Portland State University; Centre National de la Recherche Scientifique (CNRS); CNRS - Institute of Ecology &amp; Environment (INEE); Universite Clermont Auvergne (UCA); Free University of Berlin; Humboldt University of Berlin; Charite Universitatsmedizin Berlin; Arizona State University; Arizona State University-Tempe; University of Canterbury; University of Canterbury; University of Otago; Kobe University; Empresa Brasileira de Pesquisa Agropecuaria (EMBRAPA); Pennsylvania Commonwealth System of Higher Education (PCSHE); Pennsylvania State University; University of Cape Town</t>
  </si>
  <si>
    <t>Stedman, KM (corresponding author), Portland State Univ, Dept Biol, Ctr Life Extreme Environm, Portland, OR 97207 USA.</t>
  </si>
  <si>
    <t>kstedman@pdx.edu</t>
  </si>
  <si>
    <t>Varsani, Arvind/JOZ-5299-2023; 神戸ベアー, クリス/Q-8402-2019; de la Higuera, Ignacio/HSG-4071-2023</t>
  </si>
  <si>
    <t>Varsani, Arvind/0000-0003-4111-2415; 神戸ベアー, クリス/0000-0002-1738-2434; de la Higuera, Ignacio/0000-0002-5457-9789; White, Robyn/0000-0002-4479-0695; Pratt, Alyssa/0000-0001-5366-9590; Taylor, Helen/0000-0001-7951-0772; Viviane, RAVET/0000-0001-7574-992X</t>
  </si>
  <si>
    <t>NASA Exobiology Program [80NSSC17K0301]; NIH BUILD EXITO Program; National Institutes of Health [UL1GM118964, RL5GM118963, TL4GM118965]; Portland State University Ronald E. McNair Scholars Program; U.S. Department of Education and Portland State University; US National Science Foundation (NSF) [ANT-0944411]; American New Zealand Association (USA) [UC-E6007]; EU-s Horizon 2020 Framework Program for Research and Innovation ('Virus-X') [685778]; Brian Mason Scientific &amp; Technical Trust of New Zealand; H2020 - Industrial Leadership [685778] Funding Source: H2020 - Industrial Leadership</t>
  </si>
  <si>
    <t>NASA Exobiology Program(National Aeronautics &amp; Space Administration (NASA)); NIH BUILD EXITO Program(United States Department of Health &amp; Human ServicesNational Institutes of Health (NIH) - USA); National Institutes of Health(United States Department of Health &amp; Human ServicesNational Institutes of Health (NIH) - USA); Portland State University Ronald E. McNair Scholars Program; U.S. Department of Education and Portland State University; US National Science Foundation (NSF)(National Science Foundation (NSF)); American New Zealand Association (USA); EU-s Horizon 2020 Framework Program for Research and Innovation ('Virus-X'); Brian Mason Scientific &amp; Technical Trust of New Zealand; H2020 - Industrial Leadership(European Union (EU)H2020 - Industrial Leadership)</t>
  </si>
  <si>
    <t>This work was supported by the NASA Exobiology Program, grant 80NSSC17K0301 (I.D.L.H., G.W.K., E.L.T., A.A.P., and K.M.S.) and the NIH BUILD EXITO Program (A.M.). BUILD EXITO was supported by grants from the National Institutes of Health (UL1GM118964, RL5GM118963, and TL4GM118965) and the Portland State University Ronald E. McNair Scholars Program (E.L.T.), supported by grants from the U.S. Department of Education and Portland State University. The Antarctic field work was supported by the US National Science Foundation (NSF) under grant ANT-0944411, with logistics supplied by the US Antarctic Program. The freshwater work in New Zealand was supported by a grant (UC-E6007) from the American New Zealand Association (USA) awarded to P.Z.-R., C.G., J.S.H., and A.V. The green-lipped mussel work was supported by a grant from the Brian Mason Scientific &amp; Technical Trust of New Zealand awarded to S.G. and A.V. EU-s Horizon 2020 Framework Program for Research and Innovation ('Virus-X', project no. 685778) supported F.E.</t>
  </si>
  <si>
    <t>2150-7511</t>
  </si>
  <si>
    <t>mBio</t>
  </si>
  <si>
    <t>SEP-OCT</t>
  </si>
  <si>
    <t>e01410-20</t>
  </si>
  <si>
    <t>10.1128/mBio.01410-20</t>
  </si>
  <si>
    <t>OC9VF</t>
  </si>
  <si>
    <t>WOS:000579503600013</t>
  </si>
  <si>
    <t>Lei, RB; Gui, DW; Yuan, ZL; Pang, XP; Tao, D; Zhai, MX</t>
  </si>
  <si>
    <t>Lei, Ruibo; Gui, Dawei; Yuan, Zhouli; Pang, Xiaoping; Tao, Ding; Zhai, Mengxi</t>
  </si>
  <si>
    <t>Characterization of the unprecedented polynya events north of Greenland in 2017/2018 using remote sensing and reanalysis data</t>
  </si>
  <si>
    <t>ACTA OCEANOLOGICA SINICA</t>
  </si>
  <si>
    <t>sea ice; ice concentration; ice motion; polynya; Greenland; Arctic Ocean</t>
  </si>
  <si>
    <t>SEA-ICE; ARCTIC-OCEAN; UNCERTAINTY; SENTINEL-1; THICKNESS; IMPACTS</t>
  </si>
  <si>
    <t>Based on an ice concentration threshold of 90%, it has been identified that two polynya events occurred in the region north of Greenland during the 2017/2018 ice season. The winter event lasted from February 20 to March 3, 2018 and the summer event persisted from August 2 to September 5, 2018. The minimum ice concentration derived from Advanced Microwave Scanning Radiometer 2 (AMSR2) observations was 72% and 65% during the winter and summer events, respectively. The occurrence of both events can be related to strengthened southerly winds associated with an increased east-west zonal surface level air pressure gradient across the north Greenland due to perturbation of mid-troposphere polar vortex. The relatively warm air temperature during the 2017/2018 freezing season in comparison with previous years, together with the occurrence of the winter polynya, formed favourable pre-conditions for ice field fracturing in summer, which promoted the formation of the summer polynya. Diminished southerly winds and increased cover of new ice over the open water were the dominant factors for the disappearance of the winter polynya, whereas increased ice inflow from the north was the primary factor behind the closure of the summer polynya. Sentinel-1 Synthetic Aperture Radar (SAR) images were found better suited than AMSR2 observations for quantification of a new ice product during the polynya event because the SAR images have high potential for mapping of different sea ice regimes with finely spatial resolution. The unprecedented polynya events north of Greenland in 2017/2018 are important from the perspective of Arctic sea ice loss because they occurred in a region that could potentially be the last Arctic sea ice refuge in future summers.</t>
  </si>
  <si>
    <t>[Lei, Ruibo; Gui, Dawei; Yuan, Zhouli; Tao, Ding; Zhai, Mengxi] Polar Res Inst China, MNR Key Lab Polar Sci, Shanghai 200136, Peoples R China; [Gui, Dawei; Pang, Xiaoping] Wuhan Univ, Chinese Antarctic Ctr Surveying &amp; Mapping, Wuhan 430072, Peoples R China</t>
  </si>
  <si>
    <t>Polar Research Institute of China; Wuhan University</t>
  </si>
  <si>
    <t>Lei, RB (corresponding author), Polar Res Inst China, MNR Key Lab Polar Sci, Shanghai 200136, Peoples R China.</t>
  </si>
  <si>
    <t>0253-505X</t>
  </si>
  <si>
    <t>1869-1099</t>
  </si>
  <si>
    <t>ACTA OCEANOL SIN</t>
  </si>
  <si>
    <t>Acta Oceanol. Sin.</t>
  </si>
  <si>
    <t>10.1007/s13131-020-1643-8</t>
  </si>
  <si>
    <t>NZ1BX</t>
  </si>
  <si>
    <t>WOS:000576828000002</t>
  </si>
  <si>
    <t>Hinkelman, LM; Marchand, R</t>
  </si>
  <si>
    <t>Hinkelman, Laura M.; Marchand, Roger</t>
  </si>
  <si>
    <t>Evaluation of CERES and CloudSat Surface Radiative Fluxes Over Macquarie Island, the Southern Ocean</t>
  </si>
  <si>
    <t>EARTHS ENERGY-BALANCE; CMIP5 MODELS; VALIDATION; BIASES; SIMULATION; ATMOSPHERE; TOP; AGE</t>
  </si>
  <si>
    <t>Many studies involving surface radiative fluxes rely on surface fluxes retrieved by the Clouds and the Earth's Radiant Energy System (CERES) project or derived from spaceborne cloud radar and lidar observations (CloudSat-CALIPSO). In particular, most climate models that participated in the Coupled Model Intercomparison Project Phase 5 (CMIP5) were found to have too little shortwave (SW) radiation being reflected back to space and excessive SW radiation reaching the surface over the Southern Ocean-an error with significant consequences for predicting both regional and global climate. There have been few evaluations of CERES or CloudSat retrievals over the Southern Ocean. In this article, CERES and CloudSat retrieved surface SW and longwave (LW) downwelling fluxes are evaluated using surface observations collected over the Southern Ocean during the Macquarie Island Cloud and Radiation Experiment (MICRE). Overall, biases (CERES-surface observations) in the CERES-surface fluxes are found to be slightly larger over Macquarie Island than most other regions, approximately +10 W m(-2) for the SW and -10 W m(-2) for the LW in the annual mean, but with significant seasonal and diurnal variations. If the Macquarie observations are representative of the larger SO, these results imply that CMIP5 model errors in SW surface fluxes are (if anything) somewhat larger than previous evaluation studies suggest. The bias in LW surface flux shows a marked increase at night, which explains most of the total LW bias. The nighttime bias is due to poor representation of cloud base associated with low clouds. Plain Language Summary We compare satellite estimates for the amount of sunlight (solar) and thermal (infrared) energy reaching the surface, with surface observations collected at Macquarie Island. Macquarie Island is located in the Southern Ocean (SO) about halfway between New Zealand and Antarctica. The satellite-based estimates have seen little evaluation over the SO. This is a concern because climate models, when compared with the satellite estimates, have too much sunlight reaching the surface, which has important implications for simulating the current climate and climate changes. The comparison shows that the satellite estimates are reasonably good, but the differences between the satellite estimates and the surface measurements are somewhat larger at Macquarie than at most other locations. The data suggest that (if anything) the model errors with respect to having too much sunlight reaching the surface are slightly larger than current studies suggest. The amount of infrared energy coming from the atmosphere is also critical to the surface temperature (surface energy balance). In the infrared, the satellite errors are of similar magnitude and are due to a systematic overestimation of the altitude of cloud base at night. In general, the satellite errors in both the solar and infrared flux estimates have strong seasonal and diurnal variations that need to be addressed.</t>
  </si>
  <si>
    <t>[Hinkelman, Laura M.] Univ Washington, Joint Inst Study Atmosphere &amp; Ocean, Seattle, WA 98195 USA; [Marchand, Roger] Univ Washington, Dept Atmospher Sci, Seattle, WA 98195 USA</t>
  </si>
  <si>
    <t>University of Washington; University of Washington Seattle; University of Washington; University of Washington Seattle</t>
  </si>
  <si>
    <t>Marchand, R (corresponding author), Univ Washington, Dept Atmospher Sci, Seattle, WA 98195 USA.</t>
  </si>
  <si>
    <t>rojmarch@u.washington.edu</t>
  </si>
  <si>
    <t>Hinkelman, Laura/L-8964-2016; Keyes, Dennis/AAZ-9285-2021</t>
  </si>
  <si>
    <t>NASA [NNX16AM05G]; NASA [900724, NNX16AM05G] Funding Source: Federal RePORTER</t>
  </si>
  <si>
    <t>Thank you to Seiji Kato, David Rutan, and Fred Rose for your very helpful comments and explanations. Thank you also to the many individual at the Australian Antarctic Division (AAD), Australian Bureau of Meteorology (BoM), and U.S. DOE ARM Program, especially Simon Alexander (AAD), Alain Protat (BoM), Kim Nitschke (DOE), and Heath Powers (DOE) that make MICRE possible. This work was supported by NASA through Grant NNX16AM05G.</t>
  </si>
  <si>
    <t>e2020EA001224</t>
  </si>
  <si>
    <t>10.1029/2020EA001224</t>
  </si>
  <si>
    <t>WOS:000576647500019</t>
  </si>
  <si>
    <t>Robson, J; Aksenov, Y; Bracegirdle, TJ; Dimdore-Miles, O; Griffiths, PT; Grosvenor, DP; Hodson, DLR; Keeble, J; MacIntosh, C; Megann, A; Osprey, S; Povey, AC; Schröder, D; Yang, MX; Archibald, AT; Carslaw, KS; Gray, L; Jones, C; Kerridge, B; Knappett, D; Kuhlbrodt, T; Russo, M; Sellar, A; Siddans, R; Sinha, B; Sutton, R; Walton, J; Wilcox, LJ</t>
  </si>
  <si>
    <t>Robson, Jon; Aksenov, Yevgeny; Bracegirdle, Thomas J.; Dimdore-Miles, Oscar; Griffiths, Paul T.; Grosvenor, Daniel P.; Hodson, Daniel L. R.; Keeble, James; MacIntosh, Claire; Megann, Alex; Osprey, Scott; Povey, Adam C.; Schroder, David; Yang, Mingxi; Archibald, Alexander T.; Carslaw, Ken S.; Gray, Lesley; Jones, Colin; Kerridge, Brian; Knappett, Diane; Kuhlbrodt, Till; Russo, Maria; Sellar, Alistair; Siddans, Richard; Sinha, Bablu; Sutton, Rowan; Walton, Jeremy; Wilcox, Laura J.</t>
  </si>
  <si>
    <t>The Evaluation of the North Atlantic Climate System in UKESM1 Historical Simulations for CMIP6</t>
  </si>
  <si>
    <t>North Atlantic; Earth system model; CMIP6; model evaluation</t>
  </si>
  <si>
    <t>MERIDIONAL OVERTURNING CIRCULATION; SEA-SURFACE TEMPERATURE; CLOUD OPTICAL-THICKNESS; LIQUID WATER; FRESH-WATER; MULTIDECADAL VARIABILITY; ATMOSPHERIC RESPONSE; EFFECTIVE RADIUS; ICE THICKNESS; INTERNAL VARIABILITY</t>
  </si>
  <si>
    <t>Earth system models enable a broad range of climate interactions that physical climate models are unable to simulate. However, the extent to which adding Earth system components changes or improves the simulation of the physical climate is not well understood. Here we present a broad multivariate evaluation of the North Atlantic climate system in historical simulations of the UK Earth System Model (UKESM1) performed for CMIP6. In particular, we focus on the mean state and the decadal time scale evolution of important variables that span the North Atlantic climate system. In general, UKESM1 performs well and realistically simulates many aspects of the North Atlantic climate system. Like the physical version of the model, we find that changes in external forcing, and particularly aerosol forcing, are an important driver of multidecadal change in UKESM1, especially for Atlantic Multidecadal Variability and the Atlantic Meridional Overturning Circulation. However, many of the shortcomings identified are similar to common biases found in physical climate models, including the physical climate model that underpins UKESM1. For example, the summer jet is too weak and too far poleward; decadal variability in the winter jet is underestimated; intraseasonal stratospheric polar vortex variability is poorly represented; and Arctic sea ice is too thick. Forced shortwave changes may be also too strong in UKESM1, which, given the important role of historical aerosol forcing in shaping the evolution of the North Atlantic in UKESM1, motivates further investigation. Therefore, physical model development, alongside Earth system development, remains crucial in order to improve climate simulations.</t>
  </si>
  <si>
    <t>[Robson, Jon; Hodson, Daniel L. R.; Kuhlbrodt, Till; Sutton, Rowan; Wilcox, Laura J.] Univ Reading, Natl Ctr Atmospher Sci, Dept Meteorol, Reading, Berks, England; [Aksenov, Yevgeny; Megann, Alex; Sinha, Bablu] Natl Oceanog Ctr, Southampton, Hants, England; [Bracegirdle, Thomas J.] British Antarctic Survey, Cambridge, England; [Dimdore-Miles, Oscar] Univ Oxford, Dept Phys, Oxford, England; [Griffiths, Paul T.; Keeble, James; Archibald, Alexander T.; Russo, Maria] Univ Cambridge, Natl Ctr Atmospher Sci, Dept Chem, Cambridge, England; [Grosvenor, Daniel P.; Jones, Colin] Univ Leeds, Natl Ctr Atmospher Sci, Sch Earth &amp; Environm, Leeds, W Yorkshire, England; [MacIntosh, Claire] Univ Reading, Natl Ctr Earth Observat, Dept Meteorol, Reading, Berks, England; [Osprey, Scott; Gray, Lesley] Univ Oxford, Natl Ctr Atmospher Sci, Dept Phys, Oxford, England; [Povey, Adam C.] Univ Oxford, Natl Ctr Earth Observat, Dept Phys, Oxford, England; [Schroder, David] Univ Reading, Ctr Polar Observat &amp; Modelling, Dept Meteorol, Reading, Berks, England; [Yang, Mingxi] Plymouth Marine Lab, Plymouth, Devon, England; [Carslaw, Ken S.] Univ Leeds, Sch Earth &amp; Environm, Leeds, W Yorkshire, England; [Kerridge, Brian; Knappett, Diane; Siddans, Richard] STFC Rutherford Appleton Lab, Natl Ctr Earth Observat, Remote Sensing Grp, Chilton, England; [Sellar, Alistair; Walton, Jeremy] Hadley Ctr, Met Off, Exeter, Devon, England</t>
  </si>
  <si>
    <t>UK Research &amp; Innovation (UKRI); Natural Environment Research Council (NERC); NERC National Centre for Atmospheric Science; University of Reading; NERC National Oceanography Centre; UK Research &amp; Innovation (UKRI); Natural Environment Research Council (NERC); NERC British Antarctic Survey; University of Oxford; University of Cambridge; UK Research &amp; Innovation (UKRI); Natural Environment Research Council (NERC); NERC National Centre for Atmospheric Science; UK Research &amp; Innovation (UKRI); Natural Environment Research Council (NERC); NERC National Centre for Atmospheric Science; University of Leeds; University of Reading; UK Research &amp; Innovation (UKRI); Natural Environment Research Council (NERC); NERC National Centre for Earth Observation; University of Oxford; UK Research &amp; Innovation (UKRI); Natural Environment Research Council (NERC); NERC National Centre for Atmospheric Science; University of Oxford; University of Reading; Plymouth Marine Laboratory; University of Leeds; UK Research &amp; Innovation (UKRI); Science &amp; Technology Facilities Council (STFC); STFC Rutherford Appleton Laboratory; Met Office - UK; Hadley Centre</t>
  </si>
  <si>
    <t>Robson, J (corresponding author), Univ Reading, Natl Ctr Atmospher Sci, Dept Meteorol, Reading, Berks, England.</t>
  </si>
  <si>
    <t>j.i.robson@reading.ac.uk</t>
  </si>
  <si>
    <t>Hodson, Dan LR/A-5563-2012; Povey, Adam Charles/J-2399-2012; Keyes, Dennis/AAZ-9285-2021; Carslaw, Ken S/C-8514-2009; Archibald, Alexander/GRR-5452-2022; Osprey, Scott/S-7908-2019; Osprey, Scott/P-6621-2016; Robson, Jon/A-7677-2012; Osprey, Scott/GQI-3483-2022; Yang, Mingxi/ABC-7118-2020; Wilcox, Laura J/F-3394-2013; Griffiths, Paul/E-8592-2010</t>
  </si>
  <si>
    <t>Povey, Adam Charles/0000-0002-4109-9639; Carslaw, Ken S/0000-0002-6800-154X; Osprey, Scott/0000-0002-8751-1211; Osprey, Scott/0000-0002-8751-1211; Robson, Jon/0000-0002-3467-018X; Osprey, Scott/0000-0002-8751-1211; Yang, Mingxi/0000-0002-8321-5984; Sutton, Rowan/0000-0001-8345-8583; Russo, Maria/0000-0003-1061-7007; Griffiths, Paul/0000-0002-1089-340X; Knappett, Diane/0000-0002-7596-6729; Bracegirdle, Thomas/0000-0002-8868-4739; Aksenov, Yevgeny/0000-0001-6132-3434; Keeble, James/0000-0003-2714-1084; Grosvenor, Daniel/0000-0002-4919-7751</t>
  </si>
  <si>
    <t>National Environmental Research Council (NERC) national capability grant for the North Atlantic Climate System: Integrated study (ACSIS) program [NE/N018001/1, NE/N018044/1, NE/N018028/1, NE/N018052/1]; NERC national capability grant for the UK Earth System Modelling project [NE/N017951/1]; EU Horizon 2020 Research Programme CRESCENDO project [641816]; NERC's support of the National Centre for Earth Observation [PR140015]; NERC APEAR project [NE/R012865/1]; NERC UK Earth System Modelling project [NE/N018036/1]; EU Horizon 2020 Reserach Program COMFORT project [820989]; Met Office Hadley Centre Climate Programme - BEIS; Defra; NERC [NE/T009470/1, bas0100032, NE/N018036/1, NE/N010965/1, NE/R000085/2, NE/N018052/1, cpom30001, NE/R012865/2, ncas10014, NE/N018001/1, NE/R012865/1, NE/N018028/1, NE/T000260/1, noc010010, NE/N018079/1, NE/N017978/1, NE/P006779/1, NE/R000085/1, NE/N018044/1] Funding Source: UKRI</t>
  </si>
  <si>
    <t>National Environmental Research Council (NERC) national capability grant for the North Atlantic Climate System: Integrated study (ACSIS) program; NERC national capability grant for the UK Earth System Modelling project; EU Horizon 2020 Research Programme CRESCENDO project; NERC's support of the National Centre for Earth Observation; NERC APEAR project; NERC UK Earth System Modelling project; EU Horizon 2020 Reserach Program COMFORT project; Met Office Hadley Centre Climate Programme - BEIS; Defra(Department for Environment, Food &amp; Rural Affairs (DEFRA)); NERC(UK Research &amp; Innovation (UKRI)Natural Environment Research Council (NERC))</t>
  </si>
  <si>
    <t>We thank Leon Chafik and an anonymous reviewer for their comments that helped improve the clarity of the paper. This article was written with support from National Environmental Research Council (NERC) national capability grant for the North Atlantic Climate System: Integrated study (ACSIS) program (Grants NE/N018001/1, NE/N018044/1, NE/N018028/1, and NE/N018052/1). C. J., T. K., and A. P. were funded by the NERC national capability grant for the UK Earth System Modelling project (Grant NE/N017951/1). C. J. and T. K. were also supported by the EU Horizon 2020 Research Programme CRESCENDO project, Grant Agreement 641816. A. P. was funded as part of NERC's support of the National Centre for Earth Observation, contract PR140015. Y. A. was additionally supported by the NERC APEAR project (Grant NE/R012865/1) as part of the Changing Arctic Ocean program, the NERC UK Earth System Modelling project (Grant NE/N018036/1), and the EU Horizon 2020 Reserach Program COMFORT project (Grant Agreement 820989). A. S. and J. W. were supported by the Met Office Hadley Centre Climate Programme funded by BEIS and Defra. The work reflects only the authors' view; the European Commission and their executive agency are not responsible for any use that may be made of the information the work contains. Support for the Twentieth Century Reanalysis Project data set is provided by the U. S. Department of Energy, Office of Science Innovative and Novel Computational Impact on Theory and Experiment (DOE INCITE) program, Office of Biological and Environmental Research (BER), and by the National Oceanic and Atmospheric Administration Climate Program Office.</t>
  </si>
  <si>
    <t>e2020MS002126</t>
  </si>
  <si>
    <t>10.1029/2020MS002126</t>
  </si>
  <si>
    <t>NY8NO</t>
  </si>
  <si>
    <t>WOS:000576640100023</t>
  </si>
  <si>
    <t>Bett, DT; Holland, PR; Garabato, ACN; Jenkins, A; Dutrieux, P; Kimura, S; Fleming, A</t>
  </si>
  <si>
    <t>Bett, David T.; Holland, Paul R.; Garabato, Alberto C. Naveira; Jenkins, Adrian; Dutrieux, Pierre; Kimura, Satoshi; Fleming, Andrew</t>
  </si>
  <si>
    <t>The Impact of the Amundsen Sea Freshwater Balance on Ocean Melting of the West Antarctic Ice Sheet</t>
  </si>
  <si>
    <t>Amundsen Sea; West Antarctica; freshwater; grounded icebergs</t>
  </si>
  <si>
    <t>CIRCUMPOLAR DEEP-WATER; GLACIAL MELTWATER; VARIABILITY; SHELF; CIRCULATION; EMBAYMENT</t>
  </si>
  <si>
    <t>The Amundsen Sea has the highest thinning rates of ice shelves in Antarctica. This imbalance is caused by changes in ocean melting induced by warm Circumpolar Deep Water (CDW) intrusions. The resulting changing freshwater balance could affect the on-shelf currents and mixing. However, a clear understanding of the sources and sinks of freshwater in the region is lacking. Here we use a model of the Amundsen Sea, with passive freshwater tracers, to investigate the relative magnitudes and spatial distributions of the different freshwater components. In the surface layer and as a depth average, all freshwater tracer concentrations are of comparable magnitude, though on a depth average, sea ice and ice shelf are largest. The total freshwater tracer distribution is similar to that of the ice-shelf tracer field. This implies a potential for ice-shelf meltwater feedbacks, whereby abundant ice-shelf meltwater alters the ocean circulation and stratification, affecting melting. Ice-shelf and sea-ice freshwater fluxes have the largest interannual variability. The effect of including grounded icebergs and iceberg freshwater flux are studied in detail. The presence of icebergs increases CDW intrusions that reach the base of ice shelves. This suggests another possible feedback mechanism, whereby more icebergs induce greater ice-shelf melting and hence more icebergs. However, the strength of this potential feedback is dependent on poorly constrained sea-ice model parameters. These results imply that poorly constrained parameters relating to the ocean freshwater balance, such as those relating to icebergs and sea ice, impact predictions for melting of the West Antarctic Ice Sheet.</t>
  </si>
  <si>
    <t>[Bett, David T.; Holland, Paul R.; Jenkins, Adrian; Fleming, Andrew] British Antarctic Survey, Cambridge, England; [Bett, David T.; Garabato, Alberto C. Naveira] Univ Southampton, Ocean &amp; Earth Sci, Southampton, Hants, England; [Jenkins, Adrian] Northumbria Univ, Geog &amp; Environm Sci, Newcastle, England; [Dutrieux, Pierre] Columbia Univ, Lamont Doherty Earth Observ, Palisades, NY USA; [Kimura, Satoshi] Japan Agcy Marine Earth Sci &amp; Technol, Yokosuka, Kanagawa, Japan</t>
  </si>
  <si>
    <t>UK Research &amp; Innovation (UKRI); Natural Environment Research Council (NERC); NERC British Antarctic Survey; University of Southampton; Northumbria University; Columbia University; Japan Agency for Marine-Earth Science &amp; Technology (JAMSTEC)</t>
  </si>
  <si>
    <t>Bett, DT (corresponding author), British Antarctic Survey, Cambridge, England.;Bett, DT (corresponding author), Univ Southampton, Ocean &amp; Earth Sci, Southampton, Hants, England.</t>
  </si>
  <si>
    <t>d.bett@bas.ac.uk</t>
  </si>
  <si>
    <t>Garabato, Alberto Naveira/AAQ-1114-2020; Holland, Paul R/G-2796-2012; Jenkins, Adrian/IUN-2406-2023; Dutrieux, Pierre/GVS-2890-2022</t>
  </si>
  <si>
    <t>Garabato, Alberto Naveira/0000-0001-6071-605X; Dutrieux, Pierre/0000-0002-8066-934X; Bett, David/0000-0003-3118-9902; Jenkins, Adrian/0000-0002-9117-0616; Kimura, Satoshi/0000-0003-1689-1605</t>
  </si>
  <si>
    <t>Natural Environment Research Council [NE/L002531/1]; Royal Society; Wolfson Foundation; FIC [NE/S011994/1] Funding Source: UKRI; NERC [NE/J005770/1, bas0100033, NE/J005746/1, NE/N01801X/1, bas010011] Funding Source: UKRI</t>
  </si>
  <si>
    <t>Natural Environment Research Council(UK Research &amp; Innovation (UKRI)Natural Environment Research Council (NERC)); Royal Society(Royal Society); Wolfson Foundation; FIC; NERC(UK Research &amp; Innovation (UKRI)Natural Environment Research Council (NERC))</t>
  </si>
  <si>
    <t>This work was supported by the Natural Environment Research Council (Grant NE/L002531/1). A. C. N. G. was supported by the Royal Society and the Wolfson Foundation. The authors thank the two anonymous reviewers for their careful reading of our manuscript and their constructive and helpful comments and suggestions.</t>
  </si>
  <si>
    <t>e2020JC016305</t>
  </si>
  <si>
    <t>10.1029/2020JC016305</t>
  </si>
  <si>
    <t>NY8FW</t>
  </si>
  <si>
    <t>WOS:000576619900038</t>
  </si>
  <si>
    <t>Fearon, G; Herbette, S; Veitch, J; Cambon, G; Lucas, AJ; Lemarié, F; Vichi, M</t>
  </si>
  <si>
    <t>Fearon, Giles; Herbette, Steven; Veitch, Jennifer; Cambon, Gildas; Lucas, Andrew J.; Lemarie, Florian; Vichi, Marcello</t>
  </si>
  <si>
    <t>Enhanced Vertical Mixing in Coastal Upwelling Systems Driven by Diurnal-Inertial Resonance: Numerical Experiments</t>
  </si>
  <si>
    <t>inertial oscillations; land-sea breeze; diurnal-inertial resonance; coastal upwelling; diapycnal mixing; phytoplankton blooms</t>
  </si>
  <si>
    <t>FORCED-OSCILLATIONS; CRITICAL LATITUDE; ENERGY FLUX; SEA-BREEZE; WIND; SURFACE; PHYTOPLANKTON; GENERATION; MOTIONS; SHELF</t>
  </si>
  <si>
    <t>The land-sea breeze is resonant with the inertial response of the ocean at the critical latitude of 30 degrees N/S. 1-D vertical numerical experiments were undertaken to study the key drivers of enhanced diapycnal mixing in coastal upwelling systems driven by diurnal-inertial resonance near the critical latitude. The effect of the land boundary was implicitly included in the model through the Craig approximation for first-order cross-shore surface elevation gradient response. The model indicates that for shallow water depths (</t>
  </si>
  <si>
    <t>[Fearon, Giles; Herbette, Steven; Vichi, Marcello] Univ Cape Town, Dept Oceanog, Rondebosch, South Africa; [Herbette, Steven; Cambon, Gildas] Univ Brest, IFREMER, Lab Oceanog Phys &amp; Spatiale LOPS, IUEM,IRD,CNRS, Brest, France; [Fearon, Giles; Veitch, Jennifer] South African Environm Observat Network, Egagasini Node, Cape Town, South Africa; [Veitch, Jennifer] Univ Cape Town, Nansen Tutu Ctr, Marine Res Inst, Dept Oceanog, Rondebosch, South Africa; [Lucas, Andrew J.] Univ Calif San Diego, Scripps Inst Oceanog, La Jolla, CA 92093 USA; [Lemarie, Florian] Univ Grenoble Alpes, INRIA, CNRS, Grenoble INP,LJK, Grenoble, France; [Vichi, Marcello] Univ Cape Town, Marine &amp; Antarctic Res Ctr Innovat &amp; Sustainabil, Rondebosch, South Africa</t>
  </si>
  <si>
    <t>University of Cape Town; Ifremer; Institut de Recherche pour le Developpement (IRD); Universite de Bretagne Occidentale; Institut Universitaire Europeen de la Mer (IUEM); Centre National de la Recherche Scientifique (CNRS); National Research Foundation - South Africa; South African Environmental Observation Network (SAEON); University of Cape Town; University of California System; University of California San Diego; Scripps Institution of Oceanography; Inria; Centre National de la Recherche Scientifique (CNRS); Communaute Universite Grenoble Alpes; Universite Grenoble Alpes (UGA); Institut National Polytechnique de Grenoble; University of Cape Town</t>
  </si>
  <si>
    <t>Fearon, G (corresponding author), Univ Cape Town, Dept Oceanog, Rondebosch, South Africa.;Fearon, G (corresponding author), South African Environm Observat Network, Egagasini Node, Cape Town, South Africa.</t>
  </si>
  <si>
    <t>gfearon11@gmail.com</t>
  </si>
  <si>
    <t>Vichi, Marcello/GLR-9823-2022; Cambon, Gildas/A-1882-2016; Herbette, Steven/L-4140-2015</t>
  </si>
  <si>
    <t>Vichi, Marcello/0000-0002-0686-9634; Cambon, Gildas/0000-0002-3899-1204; Herbette, Steven/0000-0002-7349-5572; Fearon, Giles/0000-0002-4658-2507; Lucas, Andrew/0000-0001-7722-7252</t>
  </si>
  <si>
    <t>South African Environmental Observation Network (SAEON); Whales and Climate Research Program; US Office of Naval Research [N00014-17-1-2987]; ICEMASA; LabexMER; French Embassy in South Africa</t>
  </si>
  <si>
    <t>South African Environmental Observation Network (SAEON)(National Research Foundation - South Africa); Whales and Climate Research Program; US Office of Naval Research(Office of Naval Research); ICEMASA; LabexMER; French Embassy in South Africa</t>
  </si>
  <si>
    <t>The financial assistance of the South African Environmental Observation Network (SAEON) toward this research is acknowledged. Opinions expressed and conclusions arrived at are those of the author(s) and are not necessarily to be attributed to SEAON. GF further acknowledges grants from ICEMASA, LabexMER and the French Embassy in South Africa which greatly facilitated this research. GF and MV received funding from an anonymous donor as part of the Whales and Climate Research Program (https://www.whalesandclimate.org/). AJL was supported by the US Office of Naval Research Grant N00014-17-1-2987 and specifically thanks Theresa Paluszkiewicz for her support. We thank the Climate Systems Analysis Group (CSAG) for the provision of their WRF atmospheric model output and the South African Navy Hydrographic Office (SANHO) for the provision of bathymetric data. The study benefitted from computational facilities provided by the University of Cape Town's ICTS High Performance Computing team (hpc.uct. ac.za).</t>
  </si>
  <si>
    <t>e2020JC016208</t>
  </si>
  <si>
    <t>10.1029/2020JC016208</t>
  </si>
  <si>
    <t>WOS:000576619900026</t>
  </si>
  <si>
    <t>Lower-Spies, EE; Whitney, NM; Wanamaker, AD; Griffin, SM; Introne, DS; Kreutz, KJ</t>
  </si>
  <si>
    <t>Lower-Spies, Erin E.; Whitney, Nina M.; Wanamaker, Alan D.; Griffin, Shelly M.; Introne, Douglas S.; Kreutz, Karl J.</t>
  </si>
  <si>
    <t>A 250-Year, Decadally Resolved, Radiocarbon Time History in the Gulf of Maine Reveals a Hydrographic Regime Shift at the End of the Little Ice Age</t>
  </si>
  <si>
    <t>Gulf of Maine; water masses; Little Ice Age; proxy; radiocarbon; ocean circulation</t>
  </si>
  <si>
    <t>NORTH-ATLANTIC; ARCTICA-ISLANDICA; SHELL GROWTH; INTERANNUAL VARIABILITY; CALANUS-FINMARCHICUS; CLIMATE VARIABILITY; BOMB RADIOCARBON; SCOTIAN SHELF; WATER SOURCES; OF-MAINE</t>
  </si>
  <si>
    <t>In order to document relative changes in water mass contributions in the Gulf of Maine (GoM), we used the shell material of the long-lived ocean quahog (Arctica islandica). A multicentury, crossdated master shell growth chronology facilitated the reconstruction of a radiocarbon Delta C-14 history prior to the radiocarbon bomb-pulse of the 1950s. This reconstruction reveals a highly variable Delta C-14 series (mean = -56.6 +/- 8.0 parts per thousand (1 sigma);N = 34) from CE 1685 to 1935. Delta C-14 values indicate a rapid shift ca. 1860 CE in source waters to the GoM. From CE 1685 to 1860, GoM waters were dominated by an admixture of Warm Slope Water primarily composed of tropical Atlantic surface waters/Gulf Stream Waters, and Scotian Shelf Water. This water regime was followed by a rapid Delta C-14 transition to a Labrador Slope Water endmember after CE 1860, with an apparent decrease in Scotian Shelf Water. Together, this shift is likely related to broader changes in the Arctic and the Labrador Sea, and a short-term strengthening of the Atlantic meridional overturning circulation. Labrador Slope Water dominating GoM hydrography in the 1900s is verified by the similarities between this record and other coral- and shell-derived Delta C-14 records influenced by waters with Labrador Sea origin. This suggests that GoM radiocarbon variability broadly reflects large-scale ocean circulation processes in the Northwestern Atlantic. The lack of Delta C-14 values much below the Labrador Slope Water endmember suggests that the interior GoM gets very little to no Antarctic Intermediate Water as other studies had previously suggested.</t>
  </si>
  <si>
    <t>[Lower-Spies, Erin E.; Whitney, Nina M.; Wanamaker, Alan D.; Griffin, Shelly M.] Iowa State Univ, Dept Geol &amp; Atmospher Sci, Ames, IA 50011 USA; [Introne, Douglas S.; Kreutz, Karl J.] Univ Maine, Sch Earth &amp; Climate Sci, Orono, ME USA; [Introne, Douglas S.; Kreutz, Karl J.] Univ Maine, Climate Change Inst, Orono, ME USA</t>
  </si>
  <si>
    <t>Iowa State University; University of Maine System; University of Maine Orono; University of Maine System; University of Maine Orono</t>
  </si>
  <si>
    <t>Wanamaker, AD (corresponding author), Iowa State Univ, Dept Geol &amp; Atmospher Sci, Ames, IA 50011 USA.</t>
  </si>
  <si>
    <t>adw@iasiate.edu</t>
  </si>
  <si>
    <t>Introne, Douglas/0000-0002-3632-3704; Whitney, Nina/0000-0003-2746-6583; Wanamaker, Alan/0000-0002-6560-6420</t>
  </si>
  <si>
    <t>National Science Foundation [OCE 1003438, OCE 1003423]</t>
  </si>
  <si>
    <t>This work is funded by the National Science Foundation (OCE 1003438 and OCE 1003423) to ADW and KJK. We thank John Pinkham for (F.V. Nothin' Serious III) for his expertise in collecting shells and Robert Russell (Maine Department of Marine Resources) for sampling permits and assistance. We thank J. R. Toggweiler and T. P. Guilderson for their substantial comments and advice that greatly improved this manuscript.</t>
  </si>
  <si>
    <t>e2020JC016579</t>
  </si>
  <si>
    <t>10.1029/2020JC016579</t>
  </si>
  <si>
    <t>WOS:000576619900002</t>
  </si>
  <si>
    <t>Matano, RP; Combes, V; Young, EF; Meredith, MP</t>
  </si>
  <si>
    <t>Matano, R. P.; Combes, V; Young, E. F.; Meredith, M. P.</t>
  </si>
  <si>
    <t>Modeling the Impact of Ocean Circulation on Chlorophyll Blooms Around South Georgia, Southern Ocean</t>
  </si>
  <si>
    <t>South Georgia circulation; southern ocean blooms; upwelling and mixing; shelf; deep ocean exchanges; chlorophyll-a blooms</t>
  </si>
  <si>
    <t>KRILL EUPHAUSIA-SUPERBA; PHYTOPLANKTON BLOOM; HIGH-NUTRIENT; SCOTIA SEA; VARIABILITY; TRANSPORT; IRON; NORTHWEST; DYNAMICS; FRONT</t>
  </si>
  <si>
    <t>The northeast periphery of the Scotia Sea hosts one of the largest chlorophyll-a blooms of the Southern Ocean. This bloom peaks to the northwest of the island of South Georgia, extending eastward for hundreds of kilometers. Although the Southern Ocean has many islands of similar size, South Georgia is ecologically one of the most significant: It not only sustains one of the Southern Ocean's largest and most diverse ecosystems but also constitutes its single most important region for biological carbon sequestration. While the exceptional nature of South Georgia's blooms has been recognized widely, both the physical processes that contribute to their fertilization and the reasons why these blooms are larger than those of other similar regions (e.g., Kerguelen or Crozet Islands) are poorly understood. We use the results of a high-resolution ocean model to investigate the physical processes that mediate the entrainment of deep, iron-rich waters into the surface layers of the South Georgia region. We show that the Southern Antarctic Circumpolar Current Front, the southernmost jet of the Antarctic Circumpolar Current (ACC), pumps iron-enriched waters from the deep ocean onto the bottom layers of South Georgia's shelf. These waters are upwelled along the northern coast of the island and are then exported into the Georgia Basin, where topographically steered circulation shields them from the dispersive effects of local currents and eddies, thus allowing the bloom development.</t>
  </si>
  <si>
    <t>[Matano, R. P.; Combes, V] Oregon State Univ, Coll Earth Ocean &amp; Atmos Sc, Corvallis, OR 97331 USA; [Young, E. F.; Meredith, M. P.] British Antarctic Survey, Cambridge, England</t>
  </si>
  <si>
    <t>Oregon State University; UK Research &amp; Innovation (UKRI); Natural Environment Research Council (NERC); NERC British Antarctic Survey</t>
  </si>
  <si>
    <t>Matano, RP (corresponding author), Oregon State Univ, Coll Earth Ocean &amp; Atmos Sc, Corvallis, OR 97331 USA.</t>
  </si>
  <si>
    <t>rmatano@coas.oregonstate.edu</t>
  </si>
  <si>
    <t>combes, vincent/AAA-2343-2020</t>
  </si>
  <si>
    <t>combes, vincent/0000-0002-0416-1827; Young, Emma/0000-0002-7069-6109; Matano, Ricardo/0000-0001-5177-4610; Meredith, Michael/0000-0002-7342-7756</t>
  </si>
  <si>
    <t>National Science Foundation [OCE-1830856]; Natural Environment Research Council [NE/N018095/1]; NERC [NE/N018095/1, bas0100033] Funding Source: UKRI</t>
  </si>
  <si>
    <t>National Science Foundation(National Science Foundation (NSF)); Natural Environment Research Council(UK Research &amp; Innovation (UKRI)Natural Environment Research Council (NERC)); NERC(UK Research &amp; Innovation (UKRI)Natural Environment Research Council (NERC))</t>
  </si>
  <si>
    <t>We thank the kind and insightful comments and suggestions of two anonymous reviewers. R. Matano and V. Combes acknowledge the National Science Foundation support through grant OCE-1830856. The participation of M. Meredith and E. Young was funded by the Natural Environment Research Council via the BAS Polar Oceans program, including award NE/N018095/1 (ORCHESTRA).</t>
  </si>
  <si>
    <t>e2020JC016391</t>
  </si>
  <si>
    <t>10.1029/2020JC016391</t>
  </si>
  <si>
    <t>WOS:000576619900039</t>
  </si>
  <si>
    <t>Aldama-Campino, A; Fransner, F; Ödalen, M; Groeskamp, S; Yool, A; Döös, K; Nycander, J</t>
  </si>
  <si>
    <t>Aldama-Campino, Aitor; Fransner, Filippa; Odalen, Malin; Groeskamp, Sjoerd; Yool, Andrew; Doos, Kristofer; Nycander, Jonas</t>
  </si>
  <si>
    <t>Meridional Ocean Carbon Transport</t>
  </si>
  <si>
    <t>Ocean carbon transport; Stream function; Carbon decomposition</t>
  </si>
  <si>
    <t>OVERTURNING CIRCULATION; REPRESENTATION; LATITUDE; DIOXIDE; CLOSURE; SINK</t>
  </si>
  <si>
    <t>The ocean's ability to take up and store CO(2)is a key factor for understanding past and future climate variability. However, qualitative and quantitative understanding of surface-to-interior pathways, and how the ocean circulation affects the CO(2)uptake, is limited. Consequently, how changes in ocean circulation may influence carbon uptake and storage and therefore the future climate remains ambiguous. Here we quantify the roles played by ocean circulation and various water masses in the meridional redistribution of carbon. We do so by calculating streamfunctions defined in dissolved inorganic carbon (DIC) and latitude coordinates, using output from a coupled biogeochemical-physical model. By further separating DIC into components originating from the solubility pump and a residual including the biological pump, air-sea disequilibrium, and anthropogenic CO2, we are able to distinguish the dominant pathways of how carbon enters particular water masses. With this new tool, we show that the largest meridional carbon transport occurs in a pole-to-equator transport in the subtropical gyres in the upper ocean. We are able to show that this pole-to-equator DIC transport and the Atlantic meridional overturning circulation (AMOC)-related DIC transport are mainly driven by the solubility pump. By contrast, the DIC transport associated with deep circulation, including that in Antarctic bottom water and Pacific deep water, is mostly driven by the biological pump. As these two pumps, as well as ocean circulation, are widely expected to be impacted by anthropogenic changes, these findings have implications for the future role of the ocean as a climate-buffering carbon reservoir.</t>
  </si>
  <si>
    <t>[Aldama-Campino, Aitor; Odalen, Malin; Doos, Kristofer; Nycander, Jonas] Stockholm Univ, Dept Meteorol, Stockholm, Sweden; [Aldama-Campino, Aitor; Odalen, Malin; Doos, Kristofer; Nycander, Jonas] Stockholm Univ, Bolin Ctr Climate Res, Stockholm, Sweden; [Fransner, Filippa] Univ Bergen, Inst Geophys, Bergen, Norway; [Fransner, Filippa] Bjerknes Ctr Climate Res, Bergen, Norway; [Odalen, Malin] Univ Arizona, Dept Geosci, Tucson, AZ 85721 USA; [Groeskamp, Sjoerd] NIOZ Royal Netherlands Inst Sea Res, Dept Ocean Syst, Texel, Netherlands; [Groeskamp, Sjoerd] Univ Utrecht, Texel, Netherlands; [Yool, Andrew] Natl Oceanog Ctr, Southampton, Hants, England</t>
  </si>
  <si>
    <t>Stockholm University; University of Bergen; Bjerknes Centre for Climate Research; University of Arizona; Utrecht University; Royal Netherlands Institute for Sea Research (NIOZ); Utrecht University; NERC National Oceanography Centre</t>
  </si>
  <si>
    <t>Aldama-Campino, A (corresponding author), Stockholm Univ, Dept Meteorol, Stockholm, Sweden.;Aldama-Campino, A (corresponding author), Stockholm Univ, Bolin Ctr Climate Res, Stockholm, Sweden.</t>
  </si>
  <si>
    <t>aitor.aldama@outlook.com</t>
  </si>
  <si>
    <t>Fransner, Filippa/AAZ-6647-2020; Nycander, Jonas/E-1334-2011; Yool, Andrew/B-4799-2012; Doos, Kristofer/H-2838-2012</t>
  </si>
  <si>
    <t>Fransner, Filippa/0000-0001-8280-4018; Nycander, Jonas/0000-0002-4414-6859; Aldama-Campino, Aitor/0000-0001-8453-4322; Yool, Andrew/0000-0002-9879-2776; Doos, Kristofer/0000-0002-1309-5921; Groeskamp, Sjoerd/0000-0002-7898-3030</t>
  </si>
  <si>
    <t>Bolin Centre for Climate Research; Bolin Center for Climate Research, research area 1 (Oceans atmosphere dynamics and climate); Australian Research Council [FL150100090]; NERC National Capability funding; Regional Ocean Modelling project (ROAM) [NE/H017372/1]; Bolin Center for Climate Research, research area 4 (Biogeochemical cycles and climate); NERC [NE/N018036/1, noc010010] Funding Source: UKRI</t>
  </si>
  <si>
    <t>Bolin Centre for Climate Research; Bolin Center for Climate Research, research area 1 (Oceans atmosphere dynamics and climate); Australian Research Council(Australian Research Council); NERC National Capability funding(UK Research &amp; Innovation (UKRI)Natural Environment Research Council (NERC)); Regional Ocean Modelling project (ROAM); Bolin Center for Climate Research, research area 4 (Biogeochemical cycles and climate); NERC(UK Research &amp; Innovation (UKRI)Natural Environment Research Council (NERC))</t>
  </si>
  <si>
    <t>This work has been financially supported by the Bolin Centre for Climate Research. F.F. wants to acknowledge Bolin Center for Climate Research, research areas 1 (Oceans atmosphere dynamics and climate) and 4 (Biogeochemical cycles and climate), for funding. SG acknowledge support from the Australian Research Council Grant FL150100090. The modeling component of this work used the ARCHER UK National Supercomputing Service (http://www.archer.ac.uk) and was primarily supported by NERC National Capability funding and the Regional Ocean Modelling project (ROAM; grant NE/H017372/1). The analysis and storage of data were performed on resources provided by the Swedish National Infrastructure for Computing (SNIC) at the National Centre at Linkoping University (NSC). This manuscript has benefited from discussions with Kevin I. C. Oliver, Gurvan Madec, Casimir de Lavergne, and David Ferreira, and the authors would like to thank them for their useful comments. The authors also would like to thank the two anonymous reviewers that substantially improved themanuscript.</t>
  </si>
  <si>
    <t>e2019GB006336</t>
  </si>
  <si>
    <t>10.1029/2019GB006336</t>
  </si>
  <si>
    <t>NY5CH</t>
  </si>
  <si>
    <t>WOS:000576406900010</t>
  </si>
  <si>
    <t>Grasse, P; Closset, I; Jones, JL; Geilert, S; Brzezinski, MA</t>
  </si>
  <si>
    <t>Grasse, P.; Closset, I.; Jones, J. L.; Geilert, S.; Brzezinski, M. A.</t>
  </si>
  <si>
    <t>Controls on Dissolved Silicon Isotopes Along the US GEOTRACES Eastern Pacific Zonal Transect (GP16)</t>
  </si>
  <si>
    <t>GEOTRACES; GP16; silicon isotopes; oxygen minimum zone; East Pacific Rise; Pacific</t>
  </si>
  <si>
    <t>SOUTHERN-OCEAN; BIOGENIC SILICA; OVERTURNING CIRCULATION; STABLE-ISOTOPES; UPTAKE KINETICS; MARINE DIATOMS; SI CYCLE; FRACTIONATION; IRON; DISSOLUTION</t>
  </si>
  <si>
    <t>The distribution of dissolved silicon isotopes (delta Si-30) was examined along the U.S. GEOTRACES East Pacific Zonal Transect (GP16) extending from Peru to Tahiti (10 degrees S and 15 degrees S latitude). Surface waters in the subtropical gyre displayed high delta Si-30 due to strong utilization of silicic acid (DSi). In contrast, surface waters close to the Peruvian coast where upwelling prevailed were less depleted and only moderately fractionated. delta Si-30 of water masses along the transect was compared with the results of an Optimum Multiparameter Analysis that quantified the fractional contributions of end-member water masses in each sample. Strong admixture of intermediate waters obscured the expected heavy isotopic signatures of Subantarctic Mode Water and Antarctic Intermediate Water. Isotope values were nearly homogenous below 2,000 m (average: +1.3 +/- 0.1 parts per thousand, 1 s.d.) despite the 25 mu mol kg(-1)range in the DSi content among water masses. This homogeneity confirms prior observations and model results that predict nearly constant delta Si-30 values of +1.0 parts per thousand to +1.2 parts per thousand for Pacific deep waters with [DSi] &gt; 100 mu mol kg(-1). Waters above the East Pacific Rise (EPR) influenced by hydrothermal activity showed a small increase in [DSi] together with dissolved iron, but overall stations close to the EPR were slightly depleted in [DSi] (3 to 6 mu mol kg(-1)) with no significant shift in delta Si-30 compared to adjacent waters. Hydrothermal [DSi] appears to precipitate within the conduit of the EPR or upon contact with cold seawater resulting in a negligible influence of hydrothermal fluids on delta Si-30 in deep water.</t>
  </si>
  <si>
    <t>[Grasse, P.] German Ctr integrat Biodivers Res iDiv, Leipzig, Germany; [Grasse, P.; Geilert, S.] Helmholtz Ctr Ocean Res Kiel, GEOMAR, Ocean Circulat &amp; Climate Dynam, Kiel, Germany; [Closset, I.; Jones, J. L.; Brzezinski, M. A.] Univ Calif Santa Barbara, Inst Marine Sci, Santa Barbara, CA 93106 USA; [Closset, I.; Jones, J. L.; Brzezinski, M. A.] Univ Calif Santa Barbara, Dept Ecol Evolut &amp; Marine Biol, Santa Barbara, CA 93106 USA</t>
  </si>
  <si>
    <t>Helmholtz Association; GEOMAR Helmholtz Center for Ocean Research Kiel; University of California System; University of California Santa Barbara; University of California System; University of California Santa Barbara</t>
  </si>
  <si>
    <t>Grasse, P (corresponding author), German Ctr integrat Biodivers Res iDiv, Leipzig, Germany.;Grasse, P (corresponding author), Helmholtz Ctr Ocean Res Kiel, GEOMAR, Ocean Circulat &amp; Climate Dynam, Kiel, Germany.;Brzezinski, MA (corresponding author), Univ Calif Santa Barbara, Inst Marine Sci, Santa Barbara, CA 93106 USA.;Brzezinski, MA (corresponding author), Univ Calif Santa Barbara, Dept Ecol Evolut &amp; Marine Biol, Santa Barbara, CA 93106 USA.</t>
  </si>
  <si>
    <t>patricia.grasse@idiv.de; mark.brzezinski@lifesci.uscb.edu</t>
  </si>
  <si>
    <t>Grasse, Patricia/AAJ-6483-2020</t>
  </si>
  <si>
    <t>Grasse, Patricia/0000-0002-1745-4418; Closset, Ivia/0000-0002-6286-3296; Geilert, Sonja/0000-0002-8971-5867</t>
  </si>
  <si>
    <t>National Science Foundation (NSF) [OCE-1233028]; Deutsche Forschungsgemeinschaft (DFG) [SFB 754, 754]</t>
  </si>
  <si>
    <t>National Science Foundation (NSF)(National Science Foundation (NSF)); Deutsche Forschungsgemeinschaft (DFG)(German Research Foundation (DFG))</t>
  </si>
  <si>
    <t>We greatly thank Captain Russ DeVaney and the crew of the R/V Thomas G. Thompson, as well as the Chief Scientists Jim Moffett and Chris German, for a successful cruise. This work was made possible by funding from the National Science Foundation (NSF) OCE-1233028 as well as funding from the funding by the Collaborative Research Centre 754 Climate-Biogeochemistry Interactions in the Tropical Ocean (www.sfb754.de), supported by the Deutsche Forschungsgemeinschaft (DFG; SFB 754).</t>
  </si>
  <si>
    <t>e2020GB006538</t>
  </si>
  <si>
    <t>10.1029/2020GB006538</t>
  </si>
  <si>
    <t>WOS:000576406900004</t>
  </si>
  <si>
    <t>Ryu, Y; Ahn, J; Yang, JW; Brook, EJ; Timmermann, A; Blunier, T; Hur, S; Kim, SJ</t>
  </si>
  <si>
    <t>Ryu, Y.; Ahn, J.; Yang, J. -W.; Brook, E. J.; Timmermann, A.; Blunier, T.; Hur, S.; Kim, S. -J.</t>
  </si>
  <si>
    <t>Atmospheric Nitrous Oxide Variations on Centennial Time Scales During the Past Two Millennia</t>
  </si>
  <si>
    <t>nitrous oxide; paleoclimate; ice core</t>
  </si>
  <si>
    <t>ASIAN SOUTHWEST MONSOON; GREENLAND ICE CORE; SUMMER MONSOON; N2O EMISSIONS; NORTHERN-HEMISPHERE; VICTORIA LAND; STYX GLACIER; HOLOCENE; CLIMATE; VARIABILITY</t>
  </si>
  <si>
    <t>The continuous growth of atmospheric nitrous oxide (N2O) is of concern for its potential role in global warming and future stratospheric ozone destruction. Climate feedbacks that enhance N2O emissions in response to global warming are not well understood, and past records of N2O from ice cores are not sufficiently well resolved to examine the underlying climate-N2O feedbacks on societally relevant time scales. Here, we present a new high-resolution and high-precision N2O reconstruction obtained from the Greenland NEEM (North Greenland Eemian Ice Drilling) and the Antarctic Styx Glacier ice cores. Covering the N2O history of the past two millennia, our reconstruction shows a centennial-scale variability of similar to 10 ppb. A pronounced minimum at similar to 600 CE coincides with the reorganizations of tropical hydroclimate and ocean productivity changes. Comparisons with proxy records suggest association of centennial- to millennial-scale variations in N2O with changes in tropical and subtropical land hydrology and marine productivity. Plain Language Summary Nitrous oxide (N2O) is a greenhouse and ozone-depleting gas. The growing level of N2O in the atmosphere is of global concern, and records of past N2O variations can provide an important context for understanding the links between N2O and climate change. In this study, we report new, high-quality N2O records covering the last two millennia using ice cores obtained from Greenland and Antarctica. Our N2O records show rapid centennial-scale changes in atmospheric N2O and confirm a pronounced minimum near 600 CE. Comparison with climate records suggests that hydroclimate change on land and changes in marine productivity contribute to centennial- to millennial-scale N2O variations.</t>
  </si>
  <si>
    <t>[Ryu, Y.; Ahn, J.; Yang, J. -W.] Seoul Natl Univ, Sch Earth &amp; Environm Sci, Seoul, South Korea; [Ryu, Y.] Princeton Univ, Dept Geosci, Princeton, NJ 08544 USA; [Yang, J. -W.] Univ Paris Saclay, CNRS, CEA, UVSQ,Lab Sci Climat &amp; Environm,Inst Pierre Simon, Gif Sur Yvette, France; [Brook, E. J.] Oregon State Univ, Coll Earth Ocean &amp; Atmospher Sci, Corvallis, OR 97331 USA; [Timmermann, A.] Inst Basic Sci, Ctr Climate Phys, Pusan, South Korea; [Timmermann, A.] Pusan Natl Univ, Pusan, South Korea; [Blunier, T.] Univ Copenhagen, Niels Bohr Inst, Copenhagen, Denmark; [Hur, S.; Kim, S. -J.] Korea Polar Res Inst, Incheon, South Korea</t>
  </si>
  <si>
    <t>Seoul National University (SNU); Princeton University; CEA; Centre National de la Recherche Scientifique (CNRS); Universite Paris Saclay; Universite Paris Cite; Oregon State University; Institute for Basic Science - Korea (IBS); Pusan National University; University of Copenhagen; Niels Bohr Institute; Korea Polar Research Institute (KOPRI)</t>
  </si>
  <si>
    <t>Ahn, J (corresponding author), Seoul Natl Univ, Sch Earth &amp; Environm Sci, Seoul, South Korea.</t>
  </si>
  <si>
    <t>jinhoahn@snu.ac.kr</t>
  </si>
  <si>
    <t>Timmermann, Axel/F-4977-2011; Yang, Ji-Woong/KHW-8273-2024; Brook, Edward/AAB-7807-2021; Blunier, Thomas/M-4609-2014</t>
  </si>
  <si>
    <t>Yang, Ji-Woong/0000-0001-8397-9274; Blunier, Thomas/0000-0002-6065-7747; Kim, Seong-joong/0000-0002-6232-8082</t>
  </si>
  <si>
    <t>Basic Science Research Program through the National Research Foundation of Korea (NRF) [NRF-2018R1A2B3003256]; Institute for Basic Science [IBS-R028-D1]</t>
  </si>
  <si>
    <t>Basic Science Research Program through the National Research Foundation of Korea (NRF)(National Research Foundation of Korea); Institute for Basic Science</t>
  </si>
  <si>
    <t>We thank Soonil An and Seok-Woo Son for valuable comments. Financial support was provided by the Basic Science Research Program through the National Research Foundation of Korea (NRF) (NRF-2018R1A2B3003256). A. T. was supported by the Institute for Basic Science (Project Code IBS-R028-D1).</t>
  </si>
  <si>
    <t>e2020GB006568</t>
  </si>
  <si>
    <t>10.1029/2020GB006568</t>
  </si>
  <si>
    <t>WOS:000576406900012</t>
  </si>
  <si>
    <t>Bergstrom, A; Gooseff, MN; Singley, JG; Cohen, MJ; Welch, KA</t>
  </si>
  <si>
    <t>Bergstrom, A.; Gooseff, M. N.; Singley, J. G.; Cohen, M. J.; Welch, K. A.</t>
  </si>
  <si>
    <t>Nutrient Uptake in the Supraglacial Stream Network of an Antarctic Glacier</t>
  </si>
  <si>
    <t>JOURNAL OF GEOPHYSICAL RESEARCH-BIOGEOSCIENCES</t>
  </si>
  <si>
    <t>McMurdo Dry Valleys; nutrient tracers; nutrient uptake; supraglacial streams; nitrogen; sediments</t>
  </si>
  <si>
    <t>MCMURDO DRY VALLEYS; SOUTHERN VICTORIA LAND; TAYLOR VALLEY; MELTWATER STREAMS; CRYOCONITE HOLES; CANADA GLACIER; AEOLIAN FLUX; ICE-SHEET; PHOSPHORUS; RETENTION</t>
  </si>
  <si>
    <t>In polar regions, where many glaciers are cold based (frozen to their beds), biological communities on the glacier surface can modulate and transform nutrients, controlling downstream delivery. However, it remains unclear whether supraglacial streams are nutrient sinks or sources and the rates of nutrient processing. In order to test this, we conducted tracer injections in three supraglacial streams (62 to 123 m long) on Canada Glacier in the Taylor Valley, of the McMurdo Dry Valleys, Antarctica. We conducted a series of additions including nitrate (N), N + phosphate (P), N + P + glucose (C), and N + C. In two reaches, N-only additions resulted in N uptake. The third reach showed net N release during the N-only addition, but high N uptake in the N + P addition, indicating P-limitation or N + P colimitation. Coinjecting C did not increase N-uptake. Additionally, in these systems at low N concentrations the streams can be a net source of nitrogen. We confirmed these findings using laboratory-based nutrient incubation experiments on sediment collected from stream channels on Canada Glacier and two other glaciers in the Taylor Valley. Together, these results suggest there is active biological processing of nutrients occurring in these supraglacial streams despite low sediment cover, high flow velocities, and cold temperatures, modifying the input signals to proglacial streams. As glaciers worldwide undergo rapid change, these findings further our understanding of how melt generated on glacier surfaces set the initial nutrient signature for subglacial and downstream environments.</t>
  </si>
  <si>
    <t>[Bergstrom, A.] Univ Colorado, Dept Geol Sci, Boulder, CO 80309 USA; [Bergstrom, A.; Gooseff, M. N.; Singley, J. G.; Welch, K. A.] Univ Colorado, Inst Arctic &amp; Alpine Res, Boulder, CO 80309 USA; [Gooseff, M. N.] Univ Colorado, Dept Civil Environm &amp; Architectural Engn, Boulder, CO 80309 USA; [Singley, J. G.] Univ Colorado, Environm Studies Program, Boulder, CO 80309 USA; [Cohen, M. J.] Univ Florida, Sch Forest Resources &amp; Conservat, Gainesville, FL 32611 USA</t>
  </si>
  <si>
    <t>University of Colorado System; University of Colorado Boulder; University of Colorado System; University of Colorado Boulder; University of Colorado System; University of Colorado Boulder; University of Colorado System; University of Colorado Boulder; State University System of Florida; University of Florida</t>
  </si>
  <si>
    <t>Bergstrom, A (corresponding author), Univ Colorado, Dept Geol Sci, Boulder, CO 80309 USA.;Bergstrom, A (corresponding author), Univ Colorado, Inst Arctic &amp; Alpine Res, Boulder, CO 80309 USA.</t>
  </si>
  <si>
    <t>anna.bergstrom@colorado.edu</t>
  </si>
  <si>
    <t>Gooseff, Michael N/N-6087-2015</t>
  </si>
  <si>
    <t>Gooseff, Michael N/0000-0003-4322-8315; Bergstrom, Anna/0000-0002-9684-4018; Cohen, Matthew/0000-0001-5674-1850; Singley, Joel/0000-0002-7906-8491; Welch, Kathleen/0000-0003-1028-3086</t>
  </si>
  <si>
    <t>National Science Foundation [1637708]</t>
  </si>
  <si>
    <t>The authors would like to acknowledge Michael Finnegan, the civilian contractors, and Petroleum Helicopters, Inc., who have supported the U.S. Antarctic Program to make this data collection possible. This research is a part of the McMurdo LTER, funded by the National Science Foundation Grant 1637708. Any opinions, finding, conclusions, or recommendations expressed in the material are those of the authors and do not necessarily reflect the views of the National Science Foundation.</t>
  </si>
  <si>
    <t>2169-8953</t>
  </si>
  <si>
    <t>2169-8961</t>
  </si>
  <si>
    <t>J GEOPHYS RES-BIOGEO</t>
  </si>
  <si>
    <t>J. Geophys. Res.-Biogeosci.</t>
  </si>
  <si>
    <t>e2020JG005679</t>
  </si>
  <si>
    <t>10.1029/2020JG005679</t>
  </si>
  <si>
    <t>Environmental Sciences; Geosciences, Multidisciplinary</t>
  </si>
  <si>
    <t>NY5DJ</t>
  </si>
  <si>
    <t>WOS:000576409700027</t>
  </si>
  <si>
    <t>Hamlington, BD; Gardner, AS; Ivins, E; Lenaerts, JTM; Reager, JT; Trossman, DS; Zaron, ED; Adhikari, S; Arendt, A; Aschwanden, A; Beckley, BD; Bekaert, DPS; Blewitt, G; Caron, L; Chambers, DP; Chandanpurkar, HA; Christianson, K; Csatho, B; Cullather, RI; DeConto, RM; Fasullo, JT; Frederikse, T; Freymueller, JT; Gilford, DM; Girotto, M; Hammond, WC; Hock, R; Holschuh, N; Kopp, RE; Landerer, F; Larour, E; Menemenlis, D; Merrifield, M; Mitrovica, JX; Nerem, RS; Nias, IJ; Nieves, V; Nowicki, S; Pangaluru, K; Piecuch, CG; Ray, RD; Rounce, DR; Schlegel, NJ; Seroussi, H; Shirzaei, M; Sweet, WV; Velicogna, I; Vinogradova, N; Wahl, T; Wiese, DN; Willis, MJ</t>
  </si>
  <si>
    <t>Hamlington, Benjamin D.; Gardner, Alex S.; Ivins, Erik; Lenaerts, Jan T. M.; Reager, J. T.; Trossman, David S.; Zaron, Edward D.; Adhikari, Surendra; Arendt, Anthony; Aschwanden, Andy; Beckley, Brian D.; Bekaert, David P. S.; Blewitt, Geoffrey; Caron, Lambert; Chambers, Don P.; Chandanpurkar, Hrishikesh A.; Christianson, Knut; Csatho, Beata; Cullather, Richard, I; DeConto, Robert M.; Fasullo, John T.; Frederikse, Thomas; Freymueller, Jeffrey T.; Gilford, Daniel M.; Girotto, Manuela; Hammond, William C.; Hock, Regine; Holschuh, Nicholas; Kopp, Robert E.; Landerer, Felix; Larour, Eric; Menemenlis, Dimitris; Merrifield, Mark; Mitrovica, Jerry X.; Nerem, R. Steven; Nias, Isabel J.; Nieves, Veronica; Nowicki, Sophie; Pangaluru, Kishore; Piecuch, Christopher G.; Ray, Richard D.; Rounce, David R.; Schlegel, Nicole-Jeanne; Seroussi, Helene; Shirzaei, Manoochehr; Sweet, William, V; Velicogna, Isabella; Vinogradova, Nadya; Wahl, Thomas; Wiese, David N.; Willis, Michael J.</t>
  </si>
  <si>
    <t>Understanding of Contemporary Regional Sea-Level Change and the Implications for the Future</t>
  </si>
  <si>
    <t>REVIEWS OF GEOPHYSICS</t>
  </si>
  <si>
    <t>sea level; satellite observations; remote sensing</t>
  </si>
  <si>
    <t>VERTICAL LAND MOTION; SURFACE MASS-BALANCE; ANTARCTIC ICE-SHEET; OCEAN HEAT-CONTENT; PINE ISLAND GLACIER; MODEL INTERCOMPARISON PROJECT; NINO-SOUTHERN-OSCILLATION; GROUNDING-LINE MIGRATION; RAPID BEDROCK UPLIFT; SOLID-EARTH RESPONSE</t>
  </si>
  <si>
    <t>Global sea level provides an important indicator of the state of the warming climate, but changes in regional sea level are most relevant for coastal communities around the world. With improvements to the sea-level observing system, the knowledge of regional sea-level change has advanced dramatically in recent years. Satellite measurements coupled with in situ observations have allowed for comprehensive study and improved understanding of the diverse set of drivers that lead to variations in sea level in space and time. Despite the advances, gaps in the understanding of contemporary sea-level change remain and inhibit the ability to predict how the relevant processes may lead to future change. These gaps arise in part due to the complexity of the linkages between the drivers of sea-level change. Here we review the individual processes which lead to sea-level change and then describe how they combine and vary regionally. The intent of the paper is to provide an overview of the current state of understanding of the processes that cause regional sea-level change and to identify and discuss limitations and uncertainty in our understanding of these processes. Areas where the lack of understanding or gaps in knowledge inhibit the ability to provide the needed information for comprehensive planning efforts are of particular focus. Finally, a goal of this paper is to highlight the role of the expanded sea-level observation network-particularly as related to satellite observations-in the improved scientific understanding of the contributors to regional sea-level change.</t>
  </si>
  <si>
    <t>[Hamlington, Benjamin D.; Gardner, Alex S.; Ivins, Erik; Reager, J. T.; Adhikari, Surendra; Bekaert, David P. S.; Caron, Lambert; Chandanpurkar, Hrishikesh A.; Frederikse, Thomas; Landerer, Felix; Larour, Eric; Menemenlis, Dimitris; Schlegel, Nicole-Jeanne; Seroussi, Helene; Wiese, David N.] CALTECH, Jet Prop Lab, Pasadena, CA 91125 USA; [Lenaerts, Jan T. M.] Univ Colorado, Dept Atmospher &amp; Ocean Sci, Boulder, CO 80309 USA; [Trossman, David S.] Univ Texas Austin, Oden Inst Computat Engn &amp; Sci, Austin, TX 78712 USA; [Zaron, Edward D.] Portland State Univ, Dept Civil &amp; Environm Engn, Portland, OR 97207 USA; [Arendt, Anthony] Univ Washington, Appl Phys Lab, Seattle, WA 98195 USA; [Aschwanden, Andy] Univ Alaska, Inst Geophys, Fairbanks, AK USA; [Beckley, Brian D.] NASA, KBR Inc, Goddard Space Flight Ctr, Houston, TX USA; [Blewitt, Geoffrey; Hammond, William C.] Univ Nevada, Nevada Bur Mines &amp; Geol, Reno, NV 89557 USA; [Chambers, Don P.] Univ S Florida, Coll Marine Sci, St Petersburg, FL USA; [Christianson, Knut; Holschuh, Nicholas] Univ Washington, Dept Earth &amp; Space Sci, Seattle, WA 98195 USA; [Csatho, Beata] Univ Buffalo, Dept Earth Sci, Buffalo, NY USA; [Cullather, Richard, I; Nias, Isabel J.] Univ Maryland, Earth Syst Sci Interdisciplinary Ctr, College Pk, MD 20742 USA; [DeConto, Robert M.] Univ Massachusetts, Dept Geosci, Amherst, MA 01003 USA; [Fasullo, John T.] Natl Ctr Atmospher Res, POB 3000, Boulder, CO 80307 USA; [Freymueller, Jeffrey T.] Michigan State Univ, Dept Earth &amp; Environm Sci, E Lansing, MI 48824 USA; [Gilford, Daniel M.] Rutgers State Univ, Inst Earth Ocean &amp; Atmospher Sci, New Brunswick, NJ USA; [Girotto, Manuela; Kopp, Robert E.] Univ Calif Berkeley, Dept Environm Sci &amp; Policy Management, Berkeley, CA 94720 USA; [Hock, Regine; Rounce, David R.] Univ Alaska Fairbanks, Geophys Inst, College, AK USA; [Merrifield, Mark] Univ Calif San Diego, Scripps Inst Oceanog, La Jolla, CA 92093 USA; [Mitrovica, Jerry X.] Harvard Univ, Dept Earth &amp; Planetary Sci, 20 Oxford St, Cambridge, MA 02138 USA; [Nerem, R. Steven; Nias, Isabel J.; Nowicki, Sophie; Ray, Richard D.; Willis, Michael J.] Univ Colorado, CIRES, Boulder, CO 80309 USA; [Nerem, R. Steven; Nias, Isabel J.; Nowicki, Sophie; Ray, Richard D.] Univ Colorado, CCAR, Boulder, CO 80309 USA; [Nieves, Veronica; Velicogna, Isabella] Inst Marine Sci, Dept Phys Oceanog, Barcelona, Spain; [Pangaluru, Kishore] Univ Calif Irvine, Earth Syst Sci, Irvine, CA USA; [Piecuch, Christopher G.] Woods Hole Oceanog Inst, Dept Phys Oceanog, Woods Hole, MA 02543 USA; [Shirzaei, Manoochehr] Arizona State Univ, Sch Earth &amp; Space Explorat, Tempe, AZ USA; [Sweet, William, V] NOAA, Ctr Operat Oceanog Prod &amp; Serv, Silver Spring, MD USA; [Vinogradova, Nadya] NASA Headquarters, Sci Mission Directorate, Washington, DC USA; [Wahl, Thomas] Univ Cent Florida, Civil Environm &amp; Construct Engn, Orlando, FL 32816 USA; [Wahl, Thomas] Univ Cent Florida, Natl Ctr Integrated Coastal Res, Orlando, FL 32816 USA</t>
  </si>
  <si>
    <t>California Institute of Technology; National Aeronautics &amp; Space Administration (NASA); NASA Jet Propulsion Laboratory (JPL); University of Colorado System; University of Colorado Boulder; University of Texas System; University of Texas Austin; Portland State University; University of Washington; University of Washington Seattle; University of Alaska System; University of Alaska Fairbanks; National Aeronautics &amp; Space Administration (NASA); NASA Johnson Space Center; NASA Goddard Space Flight Center; Nevada System of Higher Education (NSHE); University of Nevada Reno; State University System of Florida; University of South Florida; University of Washington; University of Washington Seattle; State University of New York (SUNY) System; State University of New York (SUNY) Buffalo; University System of Maryland; University of Maryland College Park; University of Massachusetts System; University of Massachusetts Amherst; National Center Atmospheric Research (NCAR) - USA; Michigan State University; Rutgers University System; Rutgers University New Brunswick; University of California System; University of California Berkeley; University of Alaska System; University of Alaska Fairbanks; University of California System; University of California San Diego; Scripps Institution of Oceanography; Harvard University; University of Colorado System; University of Colorado Boulder; University of Colorado System; University of Colorado Boulder; Consejo Superior de Investigaciones Cientificas (CSIC); CSIC - Centro Mediterraneo de Investigaciones Marinas y Ambientales (CMIMA); CSIC - Instituto de Ciencias del Mar (ICM); University of California System; University of California Irvine; Woods Hole Oceanographic Institution; Arizona State University; Arizona State University-Tempe; National Oceanic Atmospheric Admin (NOAA) - USA; National Aeronautics &amp; Space Administration (NASA); Mary W. Jackson NASA Headquarters; State University System of Florida; University of Central Florida; State University System of Florida; University of Central Florida</t>
  </si>
  <si>
    <t>Hamlington, BD (corresponding author), CALTECH, Jet Prop Lab, Pasadena, CA 91125 USA.</t>
  </si>
  <si>
    <t>bhamling@jpl.nasa.gov</t>
  </si>
  <si>
    <t>Seroussi, Helene/AAX-5342-2021; Caron, Lambert/AAO-9863-2021; Wahl, Thomas/ABE-6405-2020; Menemenlis, Dimitris/G-8091-2017; Lenaerts, Jan/D-9423-2012; Csatho, Beata/KGK-9301-2024; Fasullo, John/H-4552-2019; Ivins, Erik R/C-2416-2011; Landerer, Felix W/ABG-2849-2021; Girotto, Manuela/AAK-2193-2021; NIEVES, VERONICA/A-7859-2018; Kopp, Robert E/B-8822-2008; Hock, Regine/C-6179-2013; Hock, Regine/JTT-4089-2023; sweet, william/D-4310-2019</t>
  </si>
  <si>
    <t>Seroussi, Helene/0000-0001-9201-1644; Menemenlis, Dimitris/0000-0001-9940-8409; Lenaerts, Jan/0000-0003-4309-4011; Fasullo, John/0000-0003-1216-892X; Landerer, Felix W/0000-0003-2678-095X; Girotto, Manuela/0000-0003-2795-2063; NIEVES, VERONICA/0000-0003-0024-8383; Adhikari, Surendra/0000-0003-1021-6860; Frederikse, Thomas/0000-0002-5024-0163; Ivins, Erik/0000-0003-0148-357X; Zaron, Edward/0000-0002-7799-2883; Reager, JT/0000-0001-7575-2520; Schlegel, Nicole-Jeanne/0000-0001-8035-448X; Arendt, Anthony/0000-0003-0429-6905; Hock, Regine/0000-0001-8336-9441; Nias, Isabel/0000-0002-5657-8691; sweet, william/0000-0002-0149-8336; Freymueller, Jeffrey/0000-0003-0614-0306</t>
  </si>
  <si>
    <t>National Aeronautics and Space Administration; National Aeronautics and Space Administration [80NSSC17K0565, 80NSSC170567, 80NSSC17K0566, 80NSSC17K0564, NNX17AB27G]; GRACE/GRACEFO Science Team [NNH15ZDA001N-GRACE]; National Aeronautics and Space Administration (NASA) [80NSSC18K0743]; J. Lamar Worzel Assistant Scientist Fund; Penzance Endowed Fund in Support of Assistant Scientists at the Woods Hole Oceanographic Institution</t>
  </si>
  <si>
    <t>National Aeronautics and Space Administration(National Aeronautics &amp; Space Administration (NASA)); National Aeronautics and Space Administration(National Aeronautics &amp; Space Administration (NASA)); GRACE/GRACEFO Science Team; National Aeronautics and Space Administration (NASA)(National Aeronautics &amp; Space Administration (NASA)); J. Lamar Worzel Assistant Scientist Fund; Penzance Endowed Fund in Support of Assistant Scientists at the Woods Hole Oceanographic Institution</t>
  </si>
  <si>
    <t>The research was carried out in part at the Jet Propulsion Laboratory, California Institute of Technology, under a contract with the National Aeronautics and Space Administration. The authors acknowledge support from the National Aeronautics and Space Administration under Grants 80NSSC17K0565, 80NSSC170567, 80NSSC17K0566, 80NSSC17K0564, and NNX17AB27G. A. A. acknowledges support under GRACE/GRACEFO Science Team Grant (NNH15ZDA001N-GRACE). T. W. acknowledges support by the National Aeronautics and Space Administration (NASA) under the New (Early Career) Investigator Program in Earth Science (Grant: 80NSSC18K0743). C. G. P was supported by the J. Lamar Worzel Assistant Scientist Fund and the Penzance Endowed Fund in Support of Assistant Scientists at the Woods Hole Oceanographic Institution.</t>
  </si>
  <si>
    <t>8755-1209</t>
  </si>
  <si>
    <t>1944-9208</t>
  </si>
  <si>
    <t>REV GEOPHYS</t>
  </si>
  <si>
    <t>Rev. Geophys.</t>
  </si>
  <si>
    <t>e2019RG000672</t>
  </si>
  <si>
    <t>10.1029/2019RG000672</t>
  </si>
  <si>
    <t>NY5DE</t>
  </si>
  <si>
    <t>WOS:000576409200005</t>
  </si>
  <si>
    <t>Wright, NM; Seton, M; Williams, SE; Whittaker, JM; Müller, RD</t>
  </si>
  <si>
    <t>Wright, Nicky M.; Seton, Maria; Williams, Simon E.; Whittaker, Joanne M.; Mueller, R. Dietmar</t>
  </si>
  <si>
    <t>Sea-level fluctuations driven by changes in global ocean basin volume following supercontinent break-up</t>
  </si>
  <si>
    <t>Sea level; Plate tectonics; Ocean basins; Seafloor spreading; Paleobathymetry</t>
  </si>
  <si>
    <t>HEAT-FLOW; DYNAMIC TOPOGRAPHY; SEDIMENT THICKNESS; RECONSTRUCTIONS; LITHOSPHERE; PACIFIC; PLATEAU; DEPTH; SUBDUCTION; MODEL</t>
  </si>
  <si>
    <t>Long-term variations in eustatic sea level in an ice-free world, which existed through most of the Mesozoic and early Cenozoic eras, are partly driven by changes in the volume of ocean basins. Previous studies have determined ocean basin volume changes from plate tectonic reconstructions since the Mesozoic; however, these studies have not considered a number of important elements that contribute to ocean basin volume, such as regional differences in sedimentation, or uncertainties within the plate tectonic model itself, such as spreading asymmetries and the incomplete representation of back-arc basins in the Mesozoic. Additionally, studies on long-term changes in sea level related to the extension and rifting of passive margins have not been performed on a global-scale and likely significantly underestimated the influence of this process. In order to improve reconstructions of sea level on geologic time scales and assess the uncertainty in deriving the volume of ocean basins based on a global plate kinematic model, we investigate the influence of back-arc basins, spreading asymmetry, large igneous provinces (LIPs), sediment thickness, and passive margins on ocean basin volume since 200 Ma. We find that less-constrained plate tectonic elements, such as the presence of back-arc basins or spreading asymmetry, may contribute up to similar to 120 m or similar to 150 m to sea level respectively. Changes in the sea level related to sedimentation and LIPs are respectively similar to 75-165 m and similar to 45 m. Changes in sea level associated with passive margin formation are almost negligible at present day, though were much larger in the Cretaceous, and the assumed sedimentation style strongly influences the rate and magnitude of sea-level change. We incorporate predictions for these components during times where ocean basins are predominantly synthetic reconstructions and find that sea level driven by fluctuating ocean basin volume has changed by similar to 200 m since the Jurassic, which is comparable to previous estimates. Our revised estimates will need to be combined with other processes driving long-term sea-level change, including mantle convection-driven dynamic topography and glacio-eustasy for constructing a complete eustatic sea-level curve. Understanding and quantifying the uncertainties in the volume of ocean basins has implications for modelling subduction flux, the oceanic carbon cycle, and heatflow, and is important for exploring Earths evolutionary cycles, especially during times in the geologic past where much of the ocean basin history has been lost.</t>
  </si>
  <si>
    <t>[Wright, Nicky M.; Seton, Maria; Williams, Simon E.; Mueller, R. Dietmar] Univ Sydney, Sch Geosci, EarthByte Grp, Sydney, NSW, Australia; [Whittaker, Joanne M.] Univ Tasmania, Inst Marine &amp; Antarctic Studies, Hobart, Tas, Australia; [Wright, Nicky M.] Australian Natl Univ, ARC Ctr Excellence Climate Extremes, Canberra, ACT, Australia; [Wright, Nicky M.] Australian Natl Univ, Res Sch Earth Sci, Canberra, ACT, Australia; [Williams, Simon E.] Northwest Univ, Dept Geol, State Key Lab Continental Dynam, Xian, Peoples R China</t>
  </si>
  <si>
    <t>University of Sydney; University of Tasmania; Australian National University; Australian National University; Northwest University Xi'an</t>
  </si>
  <si>
    <t>Wright, NM (corresponding author), Univ Sydney, Sch Geosci, EarthByte Grp, Sydney, NSW, Australia.;Wright, NM (corresponding author), Australian Natl Univ, ARC Ctr Excellence Climate Extremes, Canberra, ACT, Australia.;Wright, NM (corresponding author), Australian Natl Univ, Res Sch Earth Sci, Canberra, ACT, Australia.</t>
  </si>
  <si>
    <t>nicky.wright@anu.edu.au</t>
  </si>
  <si>
    <t>Seton, Maria/H-8272-2013; Muller, Dietmar/P-8164-2018; Whittaker, Joanne/B-3695-2010</t>
  </si>
  <si>
    <t>Seton, Maria/0000-0001-8541-1367; Muller, Dietmar/0000-0002-3334-5764; Williams, Simon/0000-0003-4670-8883; Wright, Nicky/0000-0002-5600-3193; Whittaker, Joanne/0000-0002-3170-3935</t>
  </si>
  <si>
    <t>Australian Postgraduate Award; Australian Research Council [FT130101564, DP200100966, IH130200012, DP180102280, SR140300001]; Australian Research Council [FT130101564, DP200100966] Funding Source: Australian Research Council</t>
  </si>
  <si>
    <t>Australian Postgraduate Award(Australian Government); Australian Research Council(Australian Research Council); Australian Research Council(Australian Research Council)</t>
  </si>
  <si>
    <t>We thank Michelle Kominz and an anonymous reviewer for their constructive comments which improved the manuscript. NMW was supported by an Australian Postgraduate Award. We would like to acknowledge funding from the Australian Research Council through grants FT130101564 (MS), DP200100966 (MS and SEW), IH130200012 (RDM), DP180102280 (JMW and SEW) and SR140300001 (JMW). Supplementary material can be downloaded from: ftp://ftp.earthbyte.org/Data_Collections/Wright_etal_2020_ESR/.</t>
  </si>
  <si>
    <t>10.1016/j.earscirev.2020.103293</t>
  </si>
  <si>
    <t>NX6VY</t>
  </si>
  <si>
    <t>WOS:000575847500006</t>
  </si>
  <si>
    <t>Sadai, S; Condron, A; DeConto, R; Pollard, D</t>
  </si>
  <si>
    <t>Sadai, Shaina; Condron, Alan; DeConto, Robert; Pollard, David</t>
  </si>
  <si>
    <t>Future climate response to Antarctic Ice Sheet melt caused by anthropogenic warming</t>
  </si>
  <si>
    <t>FRESH-WATER; SEA-ICE; SOUTHERN-OCEAN; MELTWATER; SHELVES; TRENDS; IMPACT</t>
  </si>
  <si>
    <t>Meltwater and ice discharge from a retreating Antarctic Ice Sheet could have important impacts on future global climate. Here, we report on multi-century (present-2250) climate simulations performed using a coupled numerical model integrated under future greenhouse-gas emission scenarios IPCC RCP4.5 and RCP8.5, with meltwater and ice discharge provided by a dynamic-thermodynamic ice sheet model. Accounting for Antarctic discharge raises subsurface ocean temperatures by &gt;1 degrees C at the ice margin relative to simulations ignoring discharge. In contrast, expanded sea ice and 2 degrees to 10 degrees C cooler surface air and surface ocean temperatures in the Southern Ocean delay the increase of projected global mean anthropogenic warming through 2250. In addition, the proj-ected loss of Arctic winter sea ice and weakening of the Atlantic Meridional Overturning Circulation are delayed by several decades. Our results demonstrate a need to accurately account for meltwater input from ice sheets in order to make confident climate predictions.</t>
  </si>
  <si>
    <t>[Sadai, Shaina; DeConto, Robert] Univ Massachusetts, Climate Syst Res Ctr, Dept Geosci, Amherst, MA 01003 USA; [Condron, Alan] Woods Hole Oceanog Inst, Dept Geol &amp; Geophys, Woods Hole, MA 02543 USA; [Pollard, David] Penn State Univ, Earth &amp; Environm Syst Inst, Coll Earth &amp; Mineral Sci, University Pk, PA 16802 USA</t>
  </si>
  <si>
    <t>University of Massachusetts System; University of Massachusetts Amherst; Woods Hole Oceanographic Institution; Pennsylvania Commonwealth System of Higher Education (PCSHE); Pennsylvania State University; Pennsylvania State University - University Park</t>
  </si>
  <si>
    <t>Sadai, S (corresponding author), Univ Massachusetts, Climate Syst Res Ctr, Dept Geosci, Amherst, MA 01003 USA.</t>
  </si>
  <si>
    <t>srogstad@geo.umass.edu</t>
  </si>
  <si>
    <t>Condron, Alan/0000-0002-7337-1713; Sadai, Shaina/0000-0002-6723-6531</t>
  </si>
  <si>
    <t>NSF Office of Polar Programs through NSF [1443347]; Biological and Environmental Research (BER) division of the U.S. Department of Energy [DE-SC0019263]; NSF through ICER [1664013]; [80NSSC17K0698]; U.S. Department of Energy (DOE) [DE-SC0019263] Funding Source: U.S. Department of Energy (DOE); Office of Polar Programs (OPP); Directorate For Geosciences [1443347] Funding Source: National Science Foundation</t>
  </si>
  <si>
    <t>NSF Office of Polar Programs through NSF; Biological and Environmental Research (BER) division of the U.S. Department of Energy(United States Department of Energy (DOE)); NSF through ICER; ; U.S. Department of Energy (DOE)(United States Department of Energy (DOE)); Office of Polar Programs (OPP); Directorate For Geosciences(National Science Foundation (NSF)NSF - Directorate for Geosciences (GEO))</t>
  </si>
  <si>
    <t>This research was supported by the NSF Office of Polar Programs through NSF grant 1443347, the Biological and Environmental Research (BER) division of the U.S. Department of Energy through grant DE-SC0019263, the NSF through ICER 1664013, and by a grant to the NASA Sea Level Science Team 80NSSC17K0698. Author contributions: S.S. performed all the numerical simulations with help from A.C., R.D., and D.P. and analyzed all the data. A.C. and R.D. conceived the original idea for the project and obtained funding through the NSF. S.S. wrote the manuscript with input from A.C., R.D., and D.P. Competing interests: The authors declare that they have no competing interests.</t>
  </si>
  <si>
    <t>eaaz1169</t>
  </si>
  <si>
    <t>10.1126/sciadv.aaz1169</t>
  </si>
  <si>
    <t>NX2FX</t>
  </si>
  <si>
    <t>WOS:000575531700002</t>
  </si>
  <si>
    <t>Holochová, P; Maslanová, I; Sedlácek, I; Svec, P; Králová, S; Kovarovic, V; Busse, HJ; Stanková, E; Barták, M; Pantucek, R</t>
  </si>
  <si>
    <t>Holochova, Pavla; Maslanova, Ivana; Sedlacek, Ivo; Svec, Pavel; Kralova, Stanislava; Kovarovic, Vojtech; Busse, Hans-Juergen; Stankova, Eva; Bartak, Milos; Pantucek, Roman</t>
  </si>
  <si>
    <t>Description of Massilia rubra sp. nov., Massilia aquatica sp. nov., Massilia mucilaginosa sp. nov., Massilia frigida sp. nov., and one Massilia genomospecies isolated from Antarctic streams, lakes and regoliths</t>
  </si>
  <si>
    <t>SYSTEMATIC AND APPLIED MICROBIOLOGY</t>
  </si>
  <si>
    <t>Massilia; Oxalobacteraceae; Polyphasic taxonomy; Whole-genome sequence; Antarctica; Psychrophilic bacteria</t>
  </si>
  <si>
    <t>PROPOSED MINIMAL STANDARDS; COMPLETE GENOME SEQUENCE; EMENDED DESCRIPTION; DEGRADING BACTERIUM; LIPID-COMPOSITION; SOIL; BIOSYNTHESIS; DIVERSITY; STRAIN; GENUS</t>
  </si>
  <si>
    <t>Bacteria of the genus Massilia often colonize extreme ecosystems, however, a detailed study of the massilias from the Antarctic environment has not yet been performed. Here, sixty-four Gram-stain-negative, aerobic, motile rods isolated from different environmental samples on James Ross Island (Antarctica) were subjected to a polyphasic taxonomic study. The psychrophilic isolates exhibited slowly growing, moderately slimy colonies revealing bold pink-red pigmentation on R2A agar. The set of strains exhibited the highest 16S rRNA gene sequence similarities (99.5-99.9%) to Massilia violaceinigra B2(T) and Massilia atriviolacea SODT and formed several phylogenetic groups based on the analysis of gyrB and lepA genes. Phenotypic characteristics allowed four of them to be distinguished from each other and from their closest relatives. Compared to the nearest phylogenetic neighbours the set of six genomesequenced representatives exhibited considerable phylogenetic distance at the whole-genome level. Bioinformatic analysis of the genomic sequences revealed a high number of putative genes involved in oxidative stress response, heavy-metal resistance, bacteriocin production, the presence of putative genes involved in nitrogen metabolism and auxin biosynthesis. The identification of putative genes encoding aromatic dioxygenases suggests the biotechnology potential of the strains. Based on these results four novel species and one genomospecies of the genus Massilia are described and named Massilia rubra sp. nov. (P3094(T) = CCM 8692(T) = LMG 31213(T)), Massilia aquatica sp. nov. (P3165T = CCM 8693T = LMG 31211T), Massilia mucilaginosa sp. nov. (P5902(T) = CCM 8733(T) = LMG 31210(T)), and Massilia frigida sp. nov. (P5534(T) = CCM 8695(T) = LMG 31212(T)). (C) 2020 Elsevier GmbH. All rights reserved.</t>
  </si>
  <si>
    <t>[Holochova, Pavla; Sedlacek, Ivo; Svec, Pavel; Kralova, Stanislava; Stankova, Eva] Masaryk Univ, Fac Sci, Dept Expt Biol, Czech Collect Microorganisms, Brno 62500, Czech Republic; [Maslanova, Ivana; Kovarovic, Vojtech; Pantucek, Roman] Masaryk Univ, Fac Sci, Dept Expt Biol, Sect Genet &amp; Mol Biol, Brno 61137, Czech Republic; [Busse, Hans-Juergen] Vet Med Univ Wien, Inst Mikrobiol, A-1210 Vienna, Austria; [Bartak, Milos] Masaryk Univ, Fac Sci, Dept Expt Biol, Sect Expt Plant Biol, Brno 62500, Czech Republic</t>
  </si>
  <si>
    <t>Masaryk University Brno; Masaryk University Brno; University of Veterinary Medicine Vienna; Masaryk University Brno</t>
  </si>
  <si>
    <t>Pantucek, R (corresponding author), Masaryk Univ, Fac Sci, Dept Expt Biol, Sect Genet &amp; Mol Biol, Brno 61137, Czech Republic.</t>
  </si>
  <si>
    <t>pantucek@sci.muni.cz</t>
  </si>
  <si>
    <t>Svec, Pavel/B-1209-2008; Maslanova, Ivana/A-3081-2014; Pantůček, Roman/P-6758-2014; Sedlacek, Ivo/IWU-8828-2023; Barták, Miloš/F-4714-2019; Kralova, Stanislava/AAW-4815-2021; Kovařovic, Vojtěch/JRX-4609-2023</t>
  </si>
  <si>
    <t>Svec, Pavel/0000-0002-1051-5177; Maslanova, Ivana/0000-0002-2597-2848; Pantůček, Roman/0000-0002-3950-675X; Kralova, Stanislava/0000-0003-3384-5328;</t>
  </si>
  <si>
    <t>Ministry of Education, Youth and Sports of the Czech Republic (MEYS CR) project CzechPolar2 [LM2015078]; Ministry of Education, Youth and Sports of the Czech Republic (MEYS CR) project ECOPOLARIS [CZ.02.1.01/0.0/0.0/16_013/0001708]; Grant Agency of Masaryk University [MUNI/A/1127/2019]; NCMG research infrastructure - MEYS CR [LM2015091]</t>
  </si>
  <si>
    <t>Ministry of Education, Youth and Sports of the Czech Republic (MEYS CR) project CzechPolar2; Ministry of Education, Youth and Sports of the Czech Republic (MEYS CR) project ECOPOLARIS; Grant Agency of Masaryk University; NCMG research infrastructure - MEYS CR</t>
  </si>
  <si>
    <t>This study was supported by the Ministry of Education, Youth and Sports of the Czech Republic (MEYS CR) projects CzechPolar2 (LM2015078) and ECOPOLARIS (CZ.02.1.01/0.0/0.0/16_013/0001708). We gratefully acknowledge the Genomics Core Facility at CEITEC MU supported by the NCMG research infrastructure funded by MEYS CR (LM2015091) for their support with obtaining the scientific data presented in this paper. Students involved in this study were supported by the Grant Agency of Masaryk University (MUNI/A/1127/2019).</t>
  </si>
  <si>
    <t>0723-2020</t>
  </si>
  <si>
    <t>1618-0984</t>
  </si>
  <si>
    <t>SYST APPL MICROBIOL</t>
  </si>
  <si>
    <t>Syst. Appl. Microbiol.</t>
  </si>
  <si>
    <t>10.1016/j.syapm.2020.126112</t>
  </si>
  <si>
    <t>Biotechnology &amp; Applied Microbiology; Microbiology</t>
  </si>
  <si>
    <t>NW2ZS</t>
  </si>
  <si>
    <t>WOS:000574879000017</t>
  </si>
  <si>
    <t>Kudinova, AG; Petrova, MA; Dolgikh, AV; Soina, VS; Lysak, LV; Maslova, OA</t>
  </si>
  <si>
    <t>Kudinova, A. G.; Petrova, M. A.; Dolgikh, A. V.; Soina, V. S.; Lysak, L. V.; Maslova, O. A.</t>
  </si>
  <si>
    <t>Taxonomic Diversity of Bacteria and Their Filterable Forms in the Soils of Eastern Antarctica (Larsemann Hills and Bunger Hills)</t>
  </si>
  <si>
    <t>MICROBIOLOGY</t>
  </si>
  <si>
    <t>bacteria of extreme biotopes; amplicon sequencing; analysis of the 16S rRNA gene libraries</t>
  </si>
  <si>
    <t>ULTRAMICROBACTERIA; PERMAFROST; COMMUNITY; BIOMASS</t>
  </si>
  <si>
    <t>Increasing interest in microbial communities of Arctic and Antarctic extreme environments, their taxonomic diversity, and forms and mechanisms of adaptation of inhabitants of Antarctic biotopes to extreme conditions determined the goal of the present work. Next generation sequencing of the 16S rRNA gene fragments was used to determine the taxonomic structure of microbial communities in soil samples from the Larsemann Hills and Bunger Hills. Revealed differences in the composition of predominant bacterial phyla and genera indicate that the type of the biotope developing on the soil surface and a combination of various physicochemical factors play a major role in formation of Antarctic microbial communities. High number of filterable forms of prokaryotes (FFP) was found in the communities. Analysis of the libraries of the 16S rRNA gene clones revealed that the FFP from three Larsemann Hills samples belonged to the phylumProteobacteria.In all three samples, the dominant FFP group exhibited the highest similarity (99%) to an uncultured bacterial clone of the class Deltaproteobacteria revealed by assessment of bacterial diversity of rocks and groundwater of the Donghai County, China. The FFP capable of growth of standard nutrient media belonged to the phylaActinobacteria,Bacteroidetes,Deinococcus-Thermus,Firmicutes, andProteobacteria. Taking into account the data of high FFP number in the samples and their taxonomic composition, their significant contribution to stability of the bacterial composition of Antarctic soils may be suggested. The FFP fraction was mainly represented by bacterial dormant forms able to revert to active growth under favorable conditions. Rapid transition of a vegetative part of the population to small dormant forms under unfavorable conditions is probably one of the strategies enabling their survival in extreme environments. The FFP fraction also contained the cells belonging to novel bacterial species, probably ultramicrobacteria.</t>
  </si>
  <si>
    <t>[Kudinova, A. G.; Petrova, M. A.; Maslova, O. A.] Natl Res Ctr Kurchatov Inst, Inst Mol Genet, Moscow 123182, Russia; [Dolgikh, A. V.] Russian Acad Sci, Inst Geog, Moscow 119017, Russia; [Soina, V. S.; Lysak, L. V.] Moscow MV Lomonosov State Univ, Fac Soil Sci, Moscow 119991, Russia</t>
  </si>
  <si>
    <t>National Research Centre - Kurchatov Institute; Russian Academy of Sciences; Institute of Geography, Russian Academy of Sciences; Lomonosov Moscow State University</t>
  </si>
  <si>
    <t>Kudinova, AG (corresponding author), Natl Res Ctr Kurchatov Inst, Inst Mol Genet, Moscow 123182, Russia.</t>
  </si>
  <si>
    <t>alina-kudinova91@mail.ru</t>
  </si>
  <si>
    <t>Dolgikh, Andrey/D-2575-2015; Petrova, Mayya A/J-5386-2018; Kudinova, Alina/ABC-7359-2021; Maslova, Olga A./D-3327-2019</t>
  </si>
  <si>
    <t>Dolgikh, Andrey/0000-0002-9316-9440; Maslova, Olga A./0000-0002-4301-8783</t>
  </si>
  <si>
    <t>Russian Foundation for Basic Research [18-34-00658]; Institute of Geography, Russian Academy of Sciences [0148-2019-0006]</t>
  </si>
  <si>
    <t>Russian Foundation for Basic Research(Russian Foundation for Basic Research (RFBR)Spanish Government); Institute of Geography, Russian Academy of Sciences</t>
  </si>
  <si>
    <t>The work was supported by the Russian Foundation for Basic Research, project no. 18-34-00658. Samples were taken within the framework of State Order no. 0148-2019-0006 (Institute of Geography, Russian Academy of Sciences) with the logistical support of the Russian Antarctic Expedition.</t>
  </si>
  <si>
    <t>0026-2617</t>
  </si>
  <si>
    <t>1608-3237</t>
  </si>
  <si>
    <t>MICROBIOLOGY+</t>
  </si>
  <si>
    <t>10.1134/S0026261720050136</t>
  </si>
  <si>
    <t>NV3PW</t>
  </si>
  <si>
    <t>WOS:000574239100008</t>
  </si>
  <si>
    <t>Godet, C; Robuchon, M; Leroy, B; Cotté, C; Baudena, A; Da Silva, O; Fabri-Ruiz, S; Lo Monaco, C; Sergi, S; Koubbi, P</t>
  </si>
  <si>
    <t>Godet, Claire; Robuchon, Marine; Leroy, Boris; Cotte, Cedric; Baudena, Alberto; Da Silva, Ophelie; Fabri-Ruiz, Salome; Lo Monaco, Claire; Sergi, Sara; Koubbi, Philippe</t>
  </si>
  <si>
    <t>Matching zooplankton abundance and environment in the South Indian Ocean and Southern Ocean</t>
  </si>
  <si>
    <t>Bioregionalization; Southern Ocean; Indian Ocean; Pelagic ecosystem; Zooplankton; Continuous plankton recorder</t>
  </si>
  <si>
    <t>CONTINUOUS PLANKTON RECORDER; LARGE-SCALE CIRCULATION; DISTRIBUTION PATTERNS; PHYTOPLANKTON BLOOM; SEASONAL SUCCESSION; FRONTAL STRUCTURE; CLIMATE-CHANGE; CROZET BASIN; IRON; SECTOR</t>
  </si>
  <si>
    <t>Distinguishing regions based on the geographic distribution of both abiotic factors and living organisms is an old but still actual central issue for biogeographers. In the Southern Ocean, the few existing regionalization studies have been carried out either at very large scales or on the relatively small region around the Sub-Antarctic islands of Kerguelen and the Crozet archipelagos. However, regionalization studies at meso-scales (100-300 km) covering the Indian part of the Southern Ocean and adjacent South Indian Ocean are scarce. These waters, ranging from the Subtropical to the polar region, are home to large populations of well-studied top predators that depend on the biomass of less known mid-trophic level species such as zooplankton. To fill those gaps, our study aims at conducting bioregional analyses of this transition area at the meso-scale based on the distribution of abiotic factors and chlorophyll-a, and to investigate how the abundance of zooplankton varies across the bioregions identified. To that end, we first characterized epipelagic bioregions 30 degrees S in the South Indian Ocean to 65 degrees S in the Southern Ocean and from 40 degrees to 85 degrees E including the islands of Crozet, Kerguelen, Saint-Paul and New Amsterdam. We then determined whether these bioregions correspond to variations in the abundance of zooplankton collected by a Continuous Plankton Recorder. Finally, we analyzed which environmental parameters influence zooplankton abundance. Our analyses evidenced six regions, providing a synthetic overview of a contrasting environment. The spatial variability of zooplankton abundance was explained by most of the environmental variables used in the bioregionalisation and, to a lesser extent, by the bioregions. Copepods are abundant in the colder and physically-energetic regions associated with the Antarctic Circumpolar Current (ACC). Limacina and euphausids are both abundant in regions characterized by a high concentration of chlorophyll-a, although euphausids are also abundant in the subtropical region. This work represents a crucial step forward in the integration of living organism distribution in the regionalization of the Indian part of Southern Ocean and adjacent South Indian Ocean. This can, ultimately contribute to the optimization of marine conservation strategies.</t>
  </si>
  <si>
    <t>[Godet, Claire; Robuchon, Marine; Leroy, Boris] Sorbonne Univ, Univ Caen Normandie, Univ Antilles, Museum Natl Hist Nat,CNRS,IRD,Lab Biol Organismes, CP 26,57 Rue Cuvier, F-75005 Paris, France; [Robuchon, Marine] Sorbonne Univ, Ctr Ecol &amp; Sci Conservat CESCO, CNRS, Museum Natl dHist Nat, CP 135,57 Rue Cuvier, F-75005 Paris, France; [Robuchon, Marine] European Commiss, Directorate Sustainable Resources, Joint Res Ctr JRC, Via E Fermi 2749, I-21027 Ispra, VA, Italy; [Cotte, Cedric; Baudena, Alberto; Lo Monaco, Claire; Sergi, Sara] Sorbonne Univ, LOCEAN IPSL, UMR CNRS IRD MNHN 7159, F-75005 Paris, France; [Baudena, Alberto; Da Silva, Ophelie; Fabri-Ruiz, Salome] UMR 7093 CNRS UPMC, Lab Oceanog Villefranche Sur Mer, 181 Chemin Lazaret, F-06230 Villefranche Sur Mer, France; [Da Silva, Ophelie] Sorbonne Univ, Univ Antilles, Inst Systemat Evolut Biodiversite ISYEB, Museum Natl Hist Nat,CNRS,EPHE, CP 50,57 Rue Cuvier, F-75005 Paris, France; [Koubbi, Philippe] Sorbonne Univ, Environm, Terre UFR918, Biodiversite, 4 Pl Jussieu, F-75252 Paris 05, France; [Koubbi, Philippe] IFREMER Ctr Manche Mer Nord, 150 Quai Gambetta, F-62200 Boulogne Sur Mer, France</t>
  </si>
  <si>
    <t>Centre National de la Recherche Scientifique (CNRS); Universite de Caen Normandie; Sorbonne Universite; Institut de Recherche pour le Developpement (IRD); Museum National d'Histoire Naturelle (MNHN); Centre National de la Recherche Scientifique (CNRS); Sorbonne Universite; Museum National d'Histoire Naturelle (MNHN); European Commission Joint Research Centre; EC JRC ISPRA Site; Sorbonne Universite; Museum National d'Histoire Naturelle (MNHN); Sorbonne Universite; Centre National de la Recherche Scientifique (CNRS); Sorbonne Universite; Universite PSL; Ecole Pratique des Hautes Etudes (EPHE); Museum National d'Histoire Naturelle (MNHN); Sorbonne Universite; Ifremer</t>
  </si>
  <si>
    <t>Robuchon, M (corresponding author), European Commiss, Directorate Sustainable Resources, Joint Res Ctr JRC, Via E Fermi 2749, I-21027 Ispra, VA, Italy.</t>
  </si>
  <si>
    <t>marine.robuchon@ec.europa.eu</t>
  </si>
  <si>
    <t>Koubbi, Philippe/D-5873-2015; Cotté, Cédric/Z-3243-2019; Cotté, Cédric/AAX-6120-2021; Cotte, Cedric/C-3296-2013; Robuchon, Marine/D-4019-2018</t>
  </si>
  <si>
    <t>Cotté, Cédric/0000-0002-8307-6435; Cotté, Cédric/0000-0002-8307-6435; Da Silva, Ophelie/0000-0003-0240-2954; Baudena, Alberto/0000-0002-8890-4324; Sergi, Sara/0000-0002-0886-6410; Robuchon, Marine/0000-0001-5873-2915</t>
  </si>
  <si>
    <t>IPEV; Flotte Oceanographique Francaise, Zone Atelier Antarctique - CNRS; European H2020 International Cooperation project MESOPP [692173]; TAAF (Southern Lands and Antarctic French Territories) natural reserve; H2020 Societal Challenges Programme [692173] Funding Source: H2020 Societal Challenges Programme</t>
  </si>
  <si>
    <t>IPEV; Flotte Oceanographique Francaise, Zone Atelier Antarctique - CNRS; European H2020 International Cooperation project MESOPP; TAAF (Southern Lands and Antarctic French Territories) natural reserve; H2020 Societal Challenges Programme(Horizon 2020European Union (EU)H2020 Societal Challenges Programme)</t>
  </si>
  <si>
    <t>This work was supported by IPEV, the Flotte Oceanographique Francaise, Zone Atelier Antarctique - CNRS, the European H2020 International Cooperation project MESOPP [grant number 692173] and the TAAF (Southern Lands and Antarctic French Territories) natural reserve. It is related to the SCAR Southern Ocean CPR programme and the Global Alliance CPR Surveys We thank the IPEV teams who were in charge of logistics during the oceanographic surveys, as well as the crew members of the R/V Marion Dufresne. We warmly thank Chloe Mignard and Baptiste Serandour for participating in processing and identification of samples, and Patrice Pruvost for taking in charge the zooplankton sampling during the 2016 survey.</t>
  </si>
  <si>
    <t>10.1016/j.dsr.2020.103347</t>
  </si>
  <si>
    <t>NT8ZC</t>
  </si>
  <si>
    <t>Green Published, Green Submitted, hybrid</t>
  </si>
  <si>
    <t>WOS:000573225400002</t>
  </si>
  <si>
    <t>Rigual-Hernández, AS; Sánchez-Santos, JM; Eriksen, R; Moy, AD; Sierro, FJ; Flores, JA; Abrantes, F; Bostock, H; Nodder, SD; González-Lanchas, A; Trull, TW</t>
  </si>
  <si>
    <t>Rigual-Hernandez, A. S.; Sanchez-Santos, J. M.; Eriksen, R.; Moy, A. D.; Sierro, F. J.; Flores, J. A.; Abrantes, F.; Bostock, H.; Nodder, S. D.; Gonzalez-Lanchas, A.; Trull, T. W.</t>
  </si>
  <si>
    <t>Limited variability in the phytoplankton Emiliania huxleyi since the pre-industrial era in the Subantarctic Southern Ocean</t>
  </si>
  <si>
    <t>ANTHROPOCENE</t>
  </si>
  <si>
    <t>CO2 emissions; acidification; environmental change; Southern Ocean; coccolithophores; Emiliania huxleyi</t>
  </si>
  <si>
    <t>CHANGING CARBONATE CHEMISTRY; CALCAREOUS NANNOPLANKTON; REDUCED CALCIFICATION; AUSTRALIAN SECTOR; SURFACE SEDIMENTS; FRONTS SOUTH; COCCOLITHOPHORE; SEA; ACIDIFICATION; MORPHOTYPES</t>
  </si>
  <si>
    <t>The Southern Ocean is warming faster than the average global ocean and is particularly vulnerable to ocean acidification due to its low temperatures and moderate alkalinity. Coccolithophores are the most productive calcifying phytoplankton and an important component of Southern Ocean ecosystems. Laboratory observations on the most abundant coccolithophore, Emiliania huxleyi, suggest that this species is susceptible to variations in seawater carbonate chemistry, with consequent impacts in the carbon cycle. Whether anthropogenic environmental change during the industrial era has modified coccolithophore populations in the Southern Ocean, however, remains uncertain. This study analysed the coccolithophore assemblage composition and morphometric parameters of E. huxleyi coccoliths of a suite of Holocene-aged sediment samples from south of Tasmania. The analysis suggests that dissolution diminished the mass and length of E. huxleyi coccoliths in the sediments, but the thickness of the coccoliths was decoupled from dissolution allowing direct comparison of samples with different degree of preservation. The latitudinal distribution pattern of coccolith thickness mirrors the latitudinal environmental gradient in the surface layer, highlighting the importance of the geographic distribution of E. huxleyi morphotypes on the control of coccolith morphometrics. Additionally, comparison of the E. huxleyi coccolith assemblages in the sediments with those of annual subantarctic sediment trap records found that modern E. huxleyi coccoliths are similar to 2% thinner than those from the pre-industrial era. The subtle variation in coccolith thickness contrasts sharply with earlier work that documented a pronounced reduction in shell calcification and consequent shell-weight decrease of similar to 30-35% on the planktonic foraminifera Globigerina bulloides induced by ocean acidification. Results of this study underscore the varying sensitivity of different marine calcifying plankton groups to ongoing environmental change. (C) 2020 The Authors. Published by Elsevier Ltd.</t>
  </si>
  <si>
    <t>[Rigual-Hernandez, A. S.; Sierro, F. J.; Flores, J. A.; Gonzalez-Lanchas, A.] Univ Salamanca, Dept Geol, Area Paleontol, Salamanca 37008, Spain; [Sanchez-Santos, J. M.] Univ Salamanca, Dept Estadist, Salamanca 37008, Spain; [Eriksen, R.; Trull, T. W.] CSIRO Oceans &amp; Atmosphere, Hobart, Tas 7001, Australia; [Eriksen, R.; Trull, T. W.] Univ Tasmania, Inst Marine &amp; Antarctic Studies, Private Bag 129, Hobart, Tas 7001, Australia; [Moy, A. D.; Trull, T. W.] Univ Tasmania, Antarctic Climate &amp; Ecosyst Cooperat Res Ctr, Hobart, Tas 7001, Australia; [Moy, A. D.; Trull, T. W.] Univ Tasmania, Australian Antarctic Program Partnership, Hobart, Tas 7001, Australia; [Moy, A. D.] Australian Antarctic Div, Channel Highway, Kingston, Tas 7050, Australia; [Abrantes, F.] Portuguese Inst Sea &amp; Atmosphere IPMA, Div Geol Marinha DivGM, Rua Alferedo Magalhaes Ramalho 6, Lisbon, Portugal; [Abrantes, F.] Univ Algarve, Ctr Ciencias Mar, CCMAR, Campus Gambelas, P-8005139 Faro, Portugal; [Bostock, H.] Univ Queensland, Sch Earth &amp; Environm Sci, Brisbane, Qld 4072, Australia; [Nodder, S. D.] Natl Inst Water &amp; Atmospher Res, Wellington 6021, New Zealand</t>
  </si>
  <si>
    <t>University of Salamanca; University of Salamanca; Commonwealth Scientific &amp; Industrial Research Organisation (CSIRO); University of Tasmania; University of Tasmania; Antarctic Climate &amp; Ecosystems Cooperative Research Centre (ACE CRC); University of Tasmania; Australian Antarctic Division; Instituto Portugues do Mar e da Atmosfera; Universidade do Algarve; University of Queensland; National Institute of Water &amp; Atmospheric Research (NIWA) - New Zealand</t>
  </si>
  <si>
    <t>Rigual-Hernández, AS (corresponding author), Univ Salamanca, Dept Geol, Area Paleontol, Salamanca 37008, Spain.</t>
  </si>
  <si>
    <t>Sánchez Santos, José Manuel/D-9445-2018; Sierro, Francisco/A-4714-2008; Flores, José-Abel/D-4218-2009; Rigual-Hernández, Andrés/E-2041-2018; Abrantes, Fatima/B-5985-2013; Eriksen, Ruth/J-7760-2014</t>
  </si>
  <si>
    <t>Sánchez Santos, José Manuel/0000-0002-7434-7598; Sierro, Francisco/0000-0002-8647-456X; Flores, José-Abel/0000-0003-1909-293X; Rigual-Hernández, Andrés/0000-0003-1521-3896; Gonzalez-Lanchas, Alba/0000-0003-1282-3744; Abrantes, Fatima/0000-0002-9110-0212; Eriksen, Ruth/0000-0002-5184-2465</t>
  </si>
  <si>
    <t>European Union [748690 - SONAR-CO2]; FCT [UIDB/04326/2020]; New Zealand Strategic Science Investment Fund</t>
  </si>
  <si>
    <t>European Union(European Union (EU)); FCT(Fundacao para a Ciencia e a Tecnologia (FCT)); New Zealand Strategic Science Investment Fund</t>
  </si>
  <si>
    <t>This project has received funding from the European Union's Horizon 2020 research and innovation programme under the Marie Sklodowska-Curie grant agreement number 748690 - SONAR-CO2 (ARH, JAF and FA). FA acknowledges FCT funding support through project UIDB/04326/2020. SN and HB were funded via the New Zealand Strategic Science Investment Fund to the `Marine Geological Processes' programme in NIWA. The authors acknowledge the assistance of Vito Clerico and Enrique Diez (USAL-NANOLAB) in SEM analyses. Authors wish to thank Jose Ignacio Martin and Miguel Angel Fuertes for their assistance in nannoplankton sample preparation and calibration of C-Calcita software, respectively. Authors would like to express our sincere thanks to two anonymous reviewers and editor Anne Chin for valuable comments that helped to improve the paper.</t>
  </si>
  <si>
    <t>2213-3054</t>
  </si>
  <si>
    <t>Anthropocene</t>
  </si>
  <si>
    <t>10.1016/j.ancene.2020.100254</t>
  </si>
  <si>
    <t>NT5MN</t>
  </si>
  <si>
    <t>WOS:000572985000006</t>
  </si>
  <si>
    <t>Robinson, BO; Barnes, DKA; Morley, SA</t>
  </si>
  <si>
    <t>Robinson, Ben J. O.; Barnes, David K. A.; Morley, Simon A.</t>
  </si>
  <si>
    <t>Disturbance, dispersal and marine assemblage structure: A case study from the nearshore Southern Ocean</t>
  </si>
  <si>
    <t>Disturbance; Dispersal; Ice scour; Assemblage structure; Benthos; Antarctica</t>
  </si>
  <si>
    <t>ICE SCOUR DISTURBANCE; LARVAL DISPERSAL; ANTARCTIC PENINSULA; SIGNY ISLAND; DIVERSITY; COMMUNITY; BENTHOS; COLONIZATION; GROWTH; BIODIVERSITY</t>
  </si>
  <si>
    <t>Disturbance is a key factor in most natural environments and, globally, disturbance regimes are changing, driven by increased anthropogenic influences, including climate change. There is, however, still a lack of understanding about how disturbance interacts with species dispersal capacity to shape marine assemblage structure. We examined the impact of ice scour disturbance history (2009-2016) on the nearshore seafloor in a highly disturbed region of the Western Antarctic Peninsula by contrasting the response of two groups with different dispersal capacities: one consisting of high-dispersal species (mobile with pelagic larvae) and one of low-dispersal species (sessile with benthic larvae). Piecewise Structural Equation Models were constructed to test multi-factorial predictions of the underlying mechanisms, based on hypothesised responses to disturbance for the two groups. At least two or three disturbance factors, acting at different spatial scales, drove assemblage composition. A comparison between both high- and low-dispersal models demonstrated that these mechanisms are dispersal dependent. Disturbance should not be treated as a single metric, but should incorporate remote and direct disturbance events with consideration of taxa-dispersal and disturbance legacy. These modelling approaches can provide insights into how disturbance shapes assemblages in other disturbance regimes, such as fire-prone forests and trawl fisheries.</t>
  </si>
  <si>
    <t>[Robinson, Ben J. O.] Univ Southampton, Natl Oceanog Ctr Southampton, European Way, Southampton SO14 3ZH, Hants, England; [Robinson, Ben J. O.; Barnes, David K. A.; Morley, Simon A.] British Antarctic Survey, Nat Environm Res Council, Madingley Rd, Cambridge CB3 OET, England</t>
  </si>
  <si>
    <t>University of Southampton; NERC National Oceanography Centre; UK Research &amp; Innovation (UKRI); Natural Environment Research Council (NERC); NERC British Antarctic Survey</t>
  </si>
  <si>
    <t>Robinson, BO (corresponding author), Univ Southampton, Natl Oceanog Ctr Southampton, European Way, Southampton SO14 3ZH, Hants, England.</t>
  </si>
  <si>
    <t>benson@bas.ac.uk</t>
  </si>
  <si>
    <t>Robinson, Ben/0000-0002-7450-686X</t>
  </si>
  <si>
    <t>Natural Environment Research Council (NERC); NERC Doctoral Training Program SPITFIRE, through the University of Southampton; NERC [bas0100036, dml011000] Funding Source: UKRI</t>
  </si>
  <si>
    <t>Natural Environment Research Council (NERC)(UK Research &amp; Innovation (UKRI)Natural Environment Research Council (NERC)); NERC Doctoral Training Program SPITFIRE, through the University of Southampton(UK Research &amp; Innovation (UKRI)Natural Environment Research Council (NERC)); NERC(UK Research &amp; Innovation (UKRI)Natural Environment Research Council (NERC))</t>
  </si>
  <si>
    <t>This study was funded by Natural Environment Research Council (NERC) core funding to the Biodiversity and Adaptations Team of the British Antarctic Survey, and BR was also funded via the NERC Doctoral Training Program SPITFIRE, through the University of Southampton. We thank summer and wintering teams at Rothera Research Station (2009-2016) for their support. Thanks also to Dr Jon Lefcheck and Dr Ann Thornton for their advice on structural equation modelling, and to Dr Laura Grange, Prof. Martin Solan, Dr Peter Convey and all reviewers for providing support and feedback.</t>
  </si>
  <si>
    <t>10.1016/j.marenvres.2020.105025</t>
  </si>
  <si>
    <t>NS5VK</t>
  </si>
  <si>
    <t>WOS:000572328400001</t>
  </si>
  <si>
    <t>Alizadeh-Birjandi, E; Tavakoli-Dastjerdi, F; St Leger, J; Faull, KF; Davis, SH; Rothstein, JP; Kavehpour, HP</t>
  </si>
  <si>
    <t>Alizadeh-Birjandi, Elaheh; Tavakoli-Dastjerdi, Faryar; Leger, Judy St.; Faull, Kym F.; Davis, Stephen H.; Rothstein, Jonathan P.; Pirouz Kavehpour, H.</t>
  </si>
  <si>
    <t>Delay of ice formation on penguin feathers</t>
  </si>
  <si>
    <t>EUROPEAN PHYSICAL JOURNAL-SPECIAL TOPICS</t>
  </si>
  <si>
    <t>WATER; PERFORMANCE; SURFACES; ISSUES; LEAVES</t>
  </si>
  <si>
    <t>Cold-weather penguins continually dive in and out of the water and get splashed by waves during the frigid Antarctic winter. Yet, even under these extreme sub-zero conditions, macroscopic ice crystals are typically not observed on their feathers. In this work, we hypothesize that the origin of the anti-icing properties of a cold-weather penguin's feathers comes from a unique combination of the feather's macroscopic structure, the nanoscale topography of its barbules, and the hydrophobicity of its preen oil. We show that, the combination of all three, make cold-weather penguin feathers both highly water repellant and icephobic. In this paper, we present the results from a series of droplet freezing experiments performed on feathers from a number of species of both cold-weather and warm-weather penguins. Compared to a smooth glass substrate, freezing was delayed by a factor of 30-times for drops deposited on warm-weather penguin feathers and 60-times for cold-weather penguins. The difference in freezing time between warm- and cold-weather penguins was statistically significant and can be attributed to the increase in the contact angle measured between the drop and the feather of the cold-weather penguin. This increased contact angle is the result of an increase in the hydrophobicity of the preen oil and the inclusion of nanoscale, air-trapping dimples on the surface of the barbules. The physics of this delay are explained through the development of a simple heat transfer model which demonstrates that increasing contact angle is a primary cause of increased freezing time and icephobicity. The results of this study can be used to motivate the designs of biomimetic surfaces to minimize ice formation in extreme conditions for a number of important engineering applications.</t>
  </si>
  <si>
    <t>[Alizadeh-Birjandi, Elaheh; Tavakoli-Dastjerdi, Faryar; Pirouz Kavehpour, H.] Univ Calif Los Angeles, Dept Mech &amp; Aerosp Engn, Los Angeles, CA 90095 USA; [Leger, Judy St.] SeaWorld Pk &amp; Entertainment, San Diego, CA USA; [Faull, Kym F.] Univ Calif Los Angeles, Dept Psychiat &amp; Biobehav Sci, Los Angeles, CA 90024 USA; [Davis, Stephen H.] Northwestern Univ, Dept Engn Sci &amp; Appl Math, Evanston, IL 60208 USA; [Rothstein, Jonathan P.] Univ Massachusetts, Dept Mech &amp; Ind Engn, Amherst, MA 01003 USA</t>
  </si>
  <si>
    <t>University of California System; University of California Los Angeles; University of California System; University of California Los Angeles; Northwestern University; University of Massachusetts System; University of Massachusetts Amherst</t>
  </si>
  <si>
    <t>Kavehpour, HP (corresponding author), Univ Calif Los Angeles, Dept Mech &amp; Aerosp Engn, Los Angeles, CA 90095 USA.</t>
  </si>
  <si>
    <t>pirouz@seas.ucla.edu</t>
  </si>
  <si>
    <t>St. Leger, Judy/AAD-3565-2019</t>
  </si>
  <si>
    <t>St. Leger, Judy/0000-0002-6213-3429; Rothstein, Jonathan/0000-0002-9344-1133</t>
  </si>
  <si>
    <t>1951-6355</t>
  </si>
  <si>
    <t>1951-6401</t>
  </si>
  <si>
    <t>EUR PHYS J-SPEC TOP</t>
  </si>
  <si>
    <t>Eur. Phys. J.-Spec. Top.</t>
  </si>
  <si>
    <t>10.1140/epjst/e2020-900273-x</t>
  </si>
  <si>
    <t>NP0LV</t>
  </si>
  <si>
    <t>WOS:000569876100010</t>
  </si>
  <si>
    <t>Pohanka, M; Vlcek, V</t>
  </si>
  <si>
    <t>Pohanka, Miroslav; Vlcek, Vitezslav</t>
  </si>
  <si>
    <t>Immunoassay of Glomalin by Quartz Crystal Microbalance Biosensor Containing Iron Oxide Nanoparticles</t>
  </si>
  <si>
    <t>INTERNATIONAL JOURNAL OF ANALYTICAL CHEMISTRY</t>
  </si>
  <si>
    <t>PROTEIN; SENSITIVITY; EXTRACTION; BINDING; SOIL</t>
  </si>
  <si>
    <t>Glomalin is a soil protein resembling heat shock protein (HSP) 60 and exerting high affinity to metals, causing retention of water in the environment and improving mechanical stability of soil. Currently, glomalin is determined in the soil or other samples by combination of autoclaving extraction and total protein determination typically by the Bradford method. In this paper, a piezoelectric biosensor was prepared to determine glomalin in a label-free measurement. The biosensor contained antibodies immobilized on quartz crystal microbalance (QCM), and the recognition layer was stabilized by iron oxide nanoparticles. The assay was tested on real soil samples and compared with the standard Bradford assay. Limit of detection of the assay was equal to 2.4 mu g/g for a soil extract with a volume of 50 mu l. The assay takes approximately half of an hour and was fully correlated to the Bradford assay. The biosensor had significant advantages than the other methods: it worked in a label-free mode and was fully applicable for practical samples.</t>
  </si>
  <si>
    <t>[Pohanka, Miroslav] Univ Def, Fac Mil Hlth Sci, Trebesska 1575, CZ-50001 Hradec Kralove, Czech Republic; [Vlcek, Vitezslav] Mendel Univ Brno, Fac AgriSci, Zemedelska 1, Brno 61300, Czech Republic</t>
  </si>
  <si>
    <t>University of Defence - Czech Republic; Mendel University in Brno</t>
  </si>
  <si>
    <t>Pohanka, M (corresponding author), Univ Def, Fac Mil Hlth Sci, Trebesska 1575, CZ-50001 Hradec Kralove, Czech Republic.</t>
  </si>
  <si>
    <t>miroslav.pohanka@gmail.com; xvlcek1@seznam.cz</t>
  </si>
  <si>
    <t>Vlcek, Vitezslav/L-9674-2018; Pohanka, Miroslav/D-7607-2012</t>
  </si>
  <si>
    <t>Vlcek, Vitezslav/0000-0002-5431-7164; Pohanka, Miroslav/0000-0001-8804-8356</t>
  </si>
  <si>
    <t>Ministry of Defence of the Czech Republic-Long-Term Organization Development Plan, Medical Aspects of Weapons of Mass Destruction of the Faculty of Military Health Sciences, University of Defence</t>
  </si>
  <si>
    <t>Ministry of Defence of the Czech Republic-Long-Term Organization Development Plan, Medical Aspects of Weapons of Mass Destruction of the Faculty of Military Health Sciences, University of Defence, is gratefully acknowledged. The authors are grateful to the Research Infrastructure of the Johann Gregor Mendel Czech Antarctic Station at James Ross Island.</t>
  </si>
  <si>
    <t>1687-8760</t>
  </si>
  <si>
    <t>1687-8779</t>
  </si>
  <si>
    <t>INT J ANAL CHEM</t>
  </si>
  <si>
    <t>Int. J. Anal. Chem.</t>
  </si>
  <si>
    <t>10.1155/2020/8844151</t>
  </si>
  <si>
    <t>Chemistry, Analytical</t>
  </si>
  <si>
    <t>NR9DC</t>
  </si>
  <si>
    <t>WOS:000571862300003</t>
  </si>
  <si>
    <t>Gallagher, JB; Chew, ST; Madin, J; Thorhaug, A</t>
  </si>
  <si>
    <t>Gallagher, John Barry; Chew, Swee-Theng; Madin, John; Thorhaug, Anitra</t>
  </si>
  <si>
    <t>Valuing Carbon Stocks across a Tropical Lagoon after Accounting for Black and Inorganic Carbon: Bulk Density Proxies for Monitoring</t>
  </si>
  <si>
    <t>JOURNAL OF COASTAL RESEARCH</t>
  </si>
  <si>
    <t>Blue carbon; mangrove; seagrass; Salut-Mengkabong; Sama-Bajau</t>
  </si>
  <si>
    <t>BLUE CARBON; GLOBALLY SIGNIFICANT; ORGANIC-CARBON; SEAGRASS; ECOSYSTEMS; ACCUMULATION; MANGROVES; DYNAMICS; FORESTS; STORAGE</t>
  </si>
  <si>
    <t>Total organic carbon (TOC) stocks of seagrass and mangroves across a Southeast Asian lagoon were measured and valued after correcting for black carbon (BC) and calcareous carbon equivalents (PICequiv) in mitigating CO2 emissions, along with sediment dry bulk densities (DBDs), as a cost-effective means of estimating carbon stock concepts. Overall, seagrass and mangrove TOC densities ranged from 15.3 +/- 4.3 and 124.3 +/- 21.1 Mg C ha(-1), respectively, across the lower lagoon and 175.2 +/- 46.9 and 103.2 +/- 19.0 Mg C ha(-1) for seagrass and 355.0 +/- 24.8 and 350.3 6 35.2 Mg C ha(-1) for mangroves across the two upper lagoon branches. Only mangrove biomass made significant additional contributions, ranging from 178.5 +/- 62.3 to 120.7 +/- 94.8 Mg C ha(-1) for lower and upper regions, respectively. The difference between the lagoon's seagrass and mangrove TOC total stock (5.98 +/- 0.69 and 390 +/- 33.22 Gg C, respectively) was further amplified by the larger mangrove area. When corrected for BC and PICequiv, the carbon stock mitigation service was reduced by a moderate 14.2%. Across the lagoon the sedimentary DBD showed strong (R-2 = 0.85, p &lt; 0.001) to moderate (R-2 = 0.67, p &lt; 0.001) linear correlations with seagrass and mangrove [TOC], respectively and moderate correlations with seagrass [PIC] (R-2 = 0.6, p &lt; 0.001). There was an invariant and relatively constant response to mangrove [PIC] (2.7 +/- 0.07 kg m(-3)). Valuations were worth on average US$0.44 million y(-1) over 20 years, and less than the total income of the indigenous custodians (US$1.8 and US$7.4 million y(-1)).</t>
  </si>
  <si>
    <t>[Gallagher, John Barry] Univ Tasmania, Inst Marine &amp; Antarctic Studies IMAS, Hobart, Tas 7004, Australia; [Chew, Swee-Theng; Madin, John] Univ Malaysia Sabah, Borneo Marine Res Inst BMRI, Jalan UMS, Kota Kinabalu 88400, Sabah, Malaysia; [Thorhaug, Anitra] Yale Univ, Sch Forestry &amp; Environm Sci, New Haven, CT 06511 USA</t>
  </si>
  <si>
    <t>University of Tasmania; Universiti Malaysia Sabah; Yale University</t>
  </si>
  <si>
    <t>Gallagher, JB (corresponding author), Univ Tasmania, Inst Marine &amp; Antarctic Studies IMAS, Hobart, Tas 7004, Australia.</t>
  </si>
  <si>
    <t>johnbarrygallagher@icloud.com</t>
  </si>
  <si>
    <t>Gallagher, John/JVP-1711-2024; Madin, John/AGK-3459-2022</t>
  </si>
  <si>
    <t>Universiti Malaysia Sabah [SBK0239-STWN-2015]</t>
  </si>
  <si>
    <t>Universiti Malaysia Sabah</t>
  </si>
  <si>
    <t>We thank the Universiti Malaysia Sabah for providing funding under grant SBK0239-STWN-2015. Thanks to all the volunteers, including Cheong Kai Ching, Yap Tzuen-Keat, Jason Lai Siang Kang, Lee Yin Lin, Erik Bin Naim, and undergraduate students for helping out with sampling and laboratory work. Appreciation goes to our local Sama-Bajau boatman Mr. Awang who shared his knowledge of Salut-Mengkabong Lagoon and assisted in the sampling. J.B.G. conceived the project, led the manuscript writing, and the statistical analysis. S.-T.C. designed the field sampling program, carried out measurements and collections, analyzed samples, and contributed to the manuscript and statistics. J.M. was in part responsible for the Supplementary Materials and contributed to project supervision. A.T. constructed reasons behind the high blue carbon stock densities unique to Southeast Asia and the region's information limitations. All authors read, copyedited, and approved the final manuscript.</t>
  </si>
  <si>
    <t>COASTAL EDUCATION &amp; RESEARCH FOUNDATION</t>
  </si>
  <si>
    <t>COCONUT CREEK</t>
  </si>
  <si>
    <t>5130 NW 54TH STREET, COCONUT CREEK, FL 33073 USA</t>
  </si>
  <si>
    <t>0749-0208</t>
  </si>
  <si>
    <t>1551-5036</t>
  </si>
  <si>
    <t>J COASTAL RES</t>
  </si>
  <si>
    <t>J. Coast. Res.</t>
  </si>
  <si>
    <t>10.2112/JCOASTRES-D-19-00127.1</t>
  </si>
  <si>
    <t>NR3II</t>
  </si>
  <si>
    <t>WOS:000571455700011</t>
  </si>
  <si>
    <t>Li, W; Wang, TF; Campbell, DA; Gao, KS</t>
  </si>
  <si>
    <t>Li, Wei; Wang, Tifeng; Campbell, Douglas A.; Gao, Kunshan</t>
  </si>
  <si>
    <t>Ocean acidification interacts with variable light to decrease growth but increase particulate organic nitrogen production in a diatom</t>
  </si>
  <si>
    <t>Ocean acidification; Diatom; Growth; Light; Particulate organic carbon and nitrogen; Photosynthesis</t>
  </si>
  <si>
    <t>UV-RADIATION; ELEVATED CO2; SEAWATER ACIDIFICATION; FLUCTUATING LIGHT; ANTARCTIC DIATOM; MARINE DIATOMS; USE EFFICIENCY; PHYTOPLANKTON; CARBON; PERFORMANCE</t>
  </si>
  <si>
    <t>Phytoplankton in the upper oceans are exposed to changing light levels due to mixing, diurnal solar cycles and weather conditions. Consequently, effects of ocean acidification are superimposed upon responses to variable light levels. We therefore grew a model diatom Thalassiosira pseudonana under either constant or variable light but at the same daily photon dose, with current low (400 mu atm, LC) and future high CO2 (1000 mu atm, HC) treatments. Variable light, compared with the constant light regime, decreased the growth rate, Chl a, Chl c, and carotenoid contents under both LC and HC conditions. Cells grown under variable light appeared more tolerant of high light as indicated by higher maximum relative electron transport rate and saturation light. Light variation interacted with high CO2/lowered pH to decrease the carbon fixation rate, but increased particulate organic carbon (POC) and particularly nitrogen (PON) per cell, which drove a decrease in C/N ratio, reflecting changes in the efficiency of energy transfer from photo-chemistry to net biomass production. Our results imply that elevated pCO(2) under varying light conditions can lead to less primary productivity but more PON per biomass of the diatom, which might improve the food quality of diatoms and thereby influence biogeochemical nitrogen cycles.</t>
  </si>
  <si>
    <t>[Li, Wei; Wang, Tifeng; Gao, Kunshan] Xiamen Univ, State Key Lab Marine Environm Sci, Xiamen 361005, Peoples R China; [Li, Wei; Wang, Tifeng; Gao, Kunshan] Xiamen Univ, Coll Ocean &amp; Earth Sci, Xiamen 361005, Peoples R China; [Li, Wei] Huangshan Univ, Coll Life &amp; Environm Sci, Huangshan 245041, Peoples R China; [Campbell, Douglas A.] Mt Allison Univ, Dept Biol, Sackville, NB E4L 1G7, Canada</t>
  </si>
  <si>
    <t>Xiamen University; Xiamen University; Huangshan University; Mount Allison University</t>
  </si>
  <si>
    <t>Gao, KS (corresponding author), Xiamen Univ, State Key Lab Marine Environm Sci, Xiamen 361005, Peoples R China.;Gao, KS (corresponding author), Xiamen Univ, Coll Ocean &amp; Earth Sci, Xiamen 361005, Peoples R China.</t>
  </si>
  <si>
    <t>ksgao@xmu.edu.cn</t>
  </si>
  <si>
    <t>gao, kunshan/G-3374-2010; Campbell, Douglas A./B-3768-2010; Wang, Tifeng/H-9156-2017</t>
  </si>
  <si>
    <t>Campbell, Douglas A./0000-0001-8996-5463;</t>
  </si>
  <si>
    <t>National Natural Science Foundation of China [41720104005, 41721005, 31600317]; Joint Project of National Natural Science Foundation of China [U1606404]; Shandong Province [U1606404]; China Postdoctoral Science Foundation [2015M582039]; Oversea Visiting Program for Universities and Colleges Youth Talents of Anhui Province [gxfx2017109]; Research Platform of Bioresource Institution, Huangshan University [kypt201801]</t>
  </si>
  <si>
    <t>National Natural Science Foundation of China(National Natural Science Foundation of China (NSFC)); Joint Project of National Natural Science Foundation of China(National Natural Science Foundation of China (NSFC)); Shandong Province; China Postdoctoral Science Foundation(China Postdoctoral Science Foundation); Oversea Visiting Program for Universities and Colleges Youth Talents of Anhui Province; Research Platform of Bioresource Institution, Huangshan University</t>
  </si>
  <si>
    <t>This study was supported by the National Natural Science Foundation of China (41720104005, 41721005, 31600317) and Joint Project of National Natural Science Foundation of China and Shandong Province (No. U1606404), the China Postdoctoral Science Foundation (2015M582039), Oversea Visiting Program for Universities and Colleges Youth Talents of Anhui Province (gxfx2017109) and Research Platform of Bioresource Institution (kypt201801), Huangshan University. The authors thank M.L. Rioux for the editing and suggestions. We thank the two anonymous reviewers for their constructive comments to improve the manuscript.</t>
  </si>
  <si>
    <t>10.1016/j.marenvres.2020.104965</t>
  </si>
  <si>
    <t>NQ9KN</t>
  </si>
  <si>
    <t>WOS:000571185300010</t>
  </si>
  <si>
    <t>Habib, S; Ahmad, SA; Johari, WLW; Abd Shukor, MY; Alias, SA; Smykla, J; Saruni, NH; Razak, NSA; Yasid, NA</t>
  </si>
  <si>
    <t>Habib, Syahir; Ahmad, Siti Aqlima; Wan Johari, Wan Lutfi; Abd Shukor, Mohd Yunus; Alias, Siti Aisyah; Smykla, Jerzy; Saruni, Nurul Hani; Abdul Razak, Nur Syafiqah; Yasid, Nur Adeela</t>
  </si>
  <si>
    <t>Production of Lipopeptide Biosurfactant by a Hydrocarbon-Degrading AntarcticRhodococcus</t>
  </si>
  <si>
    <t>INTERNATIONAL JOURNAL OF MOLECULAR SCIENCES</t>
  </si>
  <si>
    <t>surface-active lipopeptide; biosynthetic gene clusters; fellfield soil; Antarctica</t>
  </si>
  <si>
    <t>SURFACE-ACTIVE LIPIDS; NONRIBOSOMAL PEPTIDE; RHODOCOCCUS-ERYTHROPOLIS; CONTAMINATED SOILS; BACTERIA; ENZYME; POLAR; BIOREMEDIATION; ENVIRONMENTS; PURIFICATION</t>
  </si>
  <si>
    <t>Rhodococci are renowned for their great metabolic repertoire partly because of their numerous putative pathways for large number of specialized metabolites such as biosurfactant. Screening and genome-based assessment for the capacity to produce surface-active molecules was conducted onRhodococcussp. ADL36, a diesel-degrading Antarctic bacterium. The strain showed a positive bacterial adhesion to hydrocarbon (BATH) assay, drop collapse test, oil displacement activity, microplate assay, maximal emulsification index at 45% and ability to reduce water surface tension to &lt; 30 mN/m. The evaluation of the cell-free supernatant demonstrated its high stability across the temperature, pH and salinity gradient although no correlation was found between the surface and emulsification activity. Based on the positive relationship between the assessment of macromolecules content and infrared analysis, the extracted biosurfactant synthesized was classified as a lipopeptide. Prediction of the secondary metabolites in the non-ribosomal peptide synthetase (NRPS) clusters suggested the likelihood of the surface-active lipopeptide production in the strain's genomic data. This is the third report of surface-active lipopeptide producers from this phylotype and the first from the polar region. The lipopeptide synthesized by ADL36 has the prospect to be an Antarctic remediation tool while furnishing a distinctive natural product for biotechnological application and research.</t>
  </si>
  <si>
    <t>[Habib, Syahir; Ahmad, Siti Aqlima; Abd Shukor, Mohd Yunus; Saruni, Nurul Hani; Abdul Razak, Nur Syafiqah; Yasid, Nur Adeela] Univ Putra Malaysia, Fac Biotechnol &amp; Biomol Sci, Dept Biochem, Serdang, Selangor 43400, Malaysia; [Wan Johari, Wan Lutfi] Univ Putra Malaysia, Fac Forestry &amp; Environm, Dept Environm, Serdang, Selangor 43400, Malaysia; [Alias, Siti Aisyah] Univ Malaya, Inst Ocean &amp; Earth Sci, Inst Postgrad Studies C308, Kuala Lumpur 50603, Malaysia; [Smykla, Jerzy] Polish Acad Sci, Inst Nat Conservat, Mickiewicza 33, PL-31120 Krakow, Poland</t>
  </si>
  <si>
    <t>Universiti Putra Malaysia; Universiti Putra Malaysia; Universiti Malaya; Polish Academy of Sciences</t>
  </si>
  <si>
    <t>Yasid, NA (corresponding author), Univ Putra Malaysia, Fac Biotechnol &amp; Biomol Sci, Dept Biochem, Serdang, Selangor 43400, Malaysia.</t>
  </si>
  <si>
    <t>syahirhabib@gmail.com; aqlima@upm.edu.my; wanlutfi@upm.edu.my; mohdyunus@upm.edu.my; saa@um.edu.my; jerzysmykla@yahoo.com; hanisaa17@gmail.com; syaffy27@gmail.com; adeela@upm.edu.my</t>
  </si>
  <si>
    <t>shukor, yunus/AAB-7087-2020; FASc, SITI AISYAH A. HJ ALIAS/B-9785-2010; Yasid, Nur Adeela/AAL-8044-2020; Smykla, Jerzy/N-3288-2014</t>
  </si>
  <si>
    <t>shukor, yunus/0000-0002-6150-2114; FASc, SITI AISYAH A. HJ ALIAS/0000-0002-6759-5745; Smykla, Jerzy/0000-0001-8228-6695; Yasid, Nur Adeela/0000-0002-1278-0206; Ahmad, Siti Aqlima/0000-0002-7625-3704</t>
  </si>
  <si>
    <t>This research was funded by the Putra Young Initiative (IPM), grant number 9476900 and the Putra Graduate Initiative (IPS), grant number 9508500 under Universiti Putra Malaysia.</t>
  </si>
  <si>
    <t>1422-0067</t>
  </si>
  <si>
    <t>INT J MOL SCI</t>
  </si>
  <si>
    <t>Int. J. Mol. Sci.</t>
  </si>
  <si>
    <t>10.3390/ijms21176138</t>
  </si>
  <si>
    <t>NP7ZF</t>
  </si>
  <si>
    <t>WOS:000570390400001</t>
  </si>
  <si>
    <t>Ibrahim, S; Khalil, KA; Zahri, KNM; Gomez-Fuentes, C; Convey, P; Zulkharnain, A; Sabri, S; Alias, SA; González-Rocha, G; Ahmad, SA</t>
  </si>
  <si>
    <t>Ibrahim, Salihu; Abdul Khalil, Khalilah; Zahri, Khadijah Nabilah Mohd; Gomez-Fuentes, Claudio; Convey, Peter; Zulkharnain, Azham; Sabri, Suriana; Alias, Siti Aisyah; Gonzalez-Rocha, Gerardo; Ahmad, Siti Aqlima</t>
  </si>
  <si>
    <t>Biosurfactant Production and Growth Kinetics Studies of the Waste Canola Oil-Degrading BacteriumRhodococcuserythropolisAQ5-07 from Antarctica</t>
  </si>
  <si>
    <t>Antarctica; biosurfactants; canola oil; kinetics; haldane; modelling</t>
  </si>
  <si>
    <t>SUBSTRATE-INHIBITION; DEGRADATION; BACTERIA; BIODEGRADATION; DIESEL; MICROORGANISMS; HYDROCARBONS; STRAINS; POLAR</t>
  </si>
  <si>
    <t>With the progressive increase in human activities in the Antarctic region, the possibility of domestic oil spillage also increases. Developing means for the removal of oils, such as canola oil, from the environment and waste grey water using biological approaches is therefore desirable, since the thermal process of oil degradation is expensive and ineffective. Thus, in this study an indigenous cold-adapted Antarctic soil bacterium,Rhodococcus erythropolisstrain AQ5-07, was screened for biosurfactant production ability using the multiple approaches of blood haemolysis, surface tension, emulsification index, oil spreading, drop collapse and MATH assay for cellular hydrophobicity. The growth kinetics of the bacterium containing different canola oil concentration was studied. The strain showed beta-haemolysis on blood agar with a high emulsification index and low surface tension value of 91.5% and 25.14 mN/m, respectively. Of the models tested, the Haldane model provided the best description of the growth kinetics, although several models were similar in performance. Parameters obtained from the modelling were the maximum specific growth rate (q(max)), concentration of substrate at the half maximum specific growth rate,K-s% (v/v) and the inhibition constantK(i)% (v/v), with values of 0.142 h(-1), 7.743% (v/v) and 0.399% (v/v), respectively. These biological coefficients are useful in predicting growth conditions for batch studies, and also relevant to in field bioremediation strategies where the concentration of oil might need to be diluted to non-toxic levels prior to remediation. Biosurfactants can also have application in enhanced oil recovery (EOR) under different environmental conditions.</t>
  </si>
  <si>
    <t>[Ibrahim, Salihu; Zahri, Khadijah Nabilah Mohd; Ahmad, Siti Aqlima] Univ Putra Malaysia, Fac Biotechnol &amp; Biomol Sci, Dept Biochem, Serdang 43400, Selangor, Malaysia; [Abdul Khalil, Khalilah] Univ Teknol MARA, Fac Sci Appl, Sch Biol, Shah Alam 40450, Selangor, Malaysia; [Gomez-Fuentes, Claudio] Univ Magallanes, Dept Chem Engn, Avda Bulnes 01855, Punta Arenas, Region Magallan, Chile; [Convey, Peter] NERC, British Antarctic Survey, Madingley Rd, Cambridge CB3 0ET, England; [Zulkharnain, Azham] Shibaura Inst Technol, Coll Syst Engn &amp; Sci, Dept Biosci &amp; Engn, Minuma Ku, 307 Fukasaku, Saitama 3378570, Japan; [Sabri, Suriana] Univ Putra Malaysia, Fac Biotechnol &amp; Biomol Sci, Dept Microbiol, Serdang, Selangor 43400, Malaysia; [Alias, Siti Aisyah; Ahmad, Siti Aqlima] Univ Malaya, Natl Antarctic Res Ctr, B303 Level 3,Block B,IPS Bldg, Kuala Lumpur 50603, Malaysia; [Alias, Siti Aisyah] Univ Malaya, Inst Ocean &amp; Earth Sci, B303 Level 3,Block B, Kuala Lumpur 50603, Malaysia; [Gonzalez-Rocha, Gerardo] Univ Concepcion, Fac Ciencias Biol, Lab Invest Agentes Antibacterianos, Concepcion 4070386, Chile</t>
  </si>
  <si>
    <t>Universiti Putra Malaysia; Universiti Teknologi MARA; Universidad de Magallanes; UK Research &amp; Innovation (UKRI); Natural Environment Research Council (NERC); NERC British Antarctic Survey; Shibaura Institute of Technology; Universiti Putra Malaysia; Universiti Malaya; Universiti Malaya; Universidad de Concepcion</t>
  </si>
  <si>
    <t>Ahmad, SA (corresponding author), Univ Putra Malaysia, Fac Biotechnol &amp; Biomol Sci, Dept Biochem, Serdang 43400, Selangor, Malaysia.;Ahmad, SA (corresponding author), Univ Malaya, Natl Antarctic Res Ctr, B303 Level 3,Block B,IPS Bldg, Kuala Lumpur 50603, Malaysia.</t>
  </si>
  <si>
    <t>ibrahimsalihu81@yahoo.com; khali552@uitm.edu.my; khadijahnabilah95@gmail.com; claudio.gomez@umag.cl; pcon@bas.ac.uk; azham@shibaura-it.ac.jp; suriana@upm.edu.my; saa@um.edu.my; ggonzal@udec.cl; aqlima@upm.edu.my</t>
  </si>
  <si>
    <t>Zahri, Khadijah Nabilah Mohd/AEQ-4594-2022; Gonzalez, Gerardo/KHE-5265-2024; Convey, Peter/AAV-5728-2020; FASc, SITI AISYAH A. HJ ALIAS/B-9785-2010; Zulkharnain, Azham/AAV-1241-2020; Gonzalez-Rocha, Gerardo/AAP-1793-2021; Ibrahim, Salihu/AAW-8045-2020; Sabri, Suriana/AAT-5269-2021</t>
  </si>
  <si>
    <t>Convey, Peter/0000-0001-8497-9903; FASc, SITI AISYAH A. HJ ALIAS/0000-0002-6759-5745; Zulkharnain, Azham/0000-0001-9173-8171; Gonzalez-Rocha, Gerardo/0000-0003-2351-1236; Sabri, Suriana/0000-0003-4027-5730; Ahmad, Siti Aqlima/0000-0002-7625-3704; Zahri, Khadijah/0009-0000-2963-3109; Ibrahim, Salihu/0000-0002-5012-9430</t>
  </si>
  <si>
    <t>Matching Grant PUTRA [UPM 9300436]; PUTRA Berimpak [9660000, 9678900]; YPASM Smart Partnership Initiative 2019 [6300247]; Centro de Investigacion y Monitoreo Ambiental Antarctico (CIMAA); National Antarctic Research Centre (NARC); NERC; NERC [bas0100036] Funding Source: UKRI</t>
  </si>
  <si>
    <t>Matching Grant PUTRA; PUTRA Berimpak; YPASM Smart Partnership Initiative 2019; Centro de Investigacion y Monitoreo Ambiental Antarctico (CIMAA); National Antarctic Research Centre (NARC); NERC(UK Research &amp; Innovation (UKRI)Natural Environment Research Council (NERC)); NERC(UK Research &amp; Innovation (UKRI)Natural Environment Research Council (NERC))</t>
  </si>
  <si>
    <t>This work was supported by Matching Grant PUTRA (UPM 9300436), PUTRA Berimpak (9660000 and 9678900), YPASM Smart Partnership Initiative 2019 (6300247), Centro de Investigacion y Monitoreo Ambiental Antarctico (CIMAA) and National Antarctic Research Centre (NARC). We acknowledge Universiti Putra Malaysia, Chilean Army and the Antarctic General Bernardo O'Higgins Station staff especially the Comandante de la Base O'Higgins; Teniente Coronel Jose Ignacio Alvarado Camps, staff especially the Chef; Suboficial Juan David Sandoval Navarrete and Sargento Juan Eduardo Cortinez Padovani for providing an enabling environment to conduct the research. P. Convey is supported by NERC core funding to the British Antarctic Survey `Biodiversity. Evolution and Adaptation' Team. We would also like to thank Nancy Calisto-Ulloa (Universidad de Magallanes) for assistance.</t>
  </si>
  <si>
    <t>10.3390/molecules25173878</t>
  </si>
  <si>
    <t>NP7RL</t>
  </si>
  <si>
    <t>WOS:000570370000001</t>
  </si>
  <si>
    <t>Illuminati, S; Annibaldi, A; Bau, S; Scarchilli, C; Ciardini, V; Grigioni, P; Girolametti, F; Vagnoni, F; Scarponi, G; Truzzi, C</t>
  </si>
  <si>
    <t>Illuminati, Silvia; Annibaldi, Anna; Bau, Sebastien; Scarchilli, Claudio; Ciardini, Virginia; Grigioni, Paolo; Girolametti, Federico; Vagnoni, Flavio; Scarponi, Giuseppe; Truzzi, Cristina</t>
  </si>
  <si>
    <t>Seasonal Evolution of Size-Segregated Particulate Mercury in the Atmospheric Aerosol Over Terra Nova Bay, Antarctica</t>
  </si>
  <si>
    <t>particulate mercury; mercury size-resolved distribution; dry deposition; meteorological parameter; backward trajectories; Antarctica</t>
  </si>
  <si>
    <t>ANODIC-STRIPPING VOLTAMMETRY; NORTHERN EUROPE; IN-SITU; SEQUENTIAL EXTRACTION; SPRINGTIME DEPLETION; MASS CONCENTRATION; BOUND MERCURY; ROSS SEA; DEPOSITION; CD</t>
  </si>
  <si>
    <t>Size-fractionated particulate mercury (PHg) measurements were performed from November 2017 to January 2018 at Terra Nova Bay (Antarctica) for the first time. Samples were collected every 10 days by a six-stage high-volume cascade impactor with size classes between 10 mu m and 0.49 mu m. Total PHg concentrations were maxima (87 +/- 8 pg m(-3)) in November, then decreased to values similar to 40% lower and remained almost constant until the end of the sampling period (similar to 30 pg m(-3)). The trimodal aerosol mass distribution reveals that from 30% to 90% of the total PHg came in the size &gt; 1.0 mu m. Hg in the two coarse fractions was probably produced by the adsorption of oxidized Hg species transported by air masses from the Antarctic plateau or produced locally by sea ice edges. PHg in accumulation mode seemed to be related to gas-particle partitioning with sea salt aerosol. Finally, average dry deposition fluxes of PHg were calculated to be 0.36 +/- 0.21 ng m(-2)d(-1) in the accumulation mode, 47 +/- 44 ng m(-2)d(-1) in the first coarse mode, and 37 +/- 31 ng m(-2)d(-1) in the second coarse mode. The present work contributed to the comprehension of the Hg biogeochemical cycle, but further research studies are needed.</t>
  </si>
  <si>
    <t>[Illuminati, Silvia; Annibaldi, Anna; Girolametti, Federico; Vagnoni, Flavio; Scarponi, Giuseppe; Truzzi, Cristina] Univ Politecn Marche, Dipartimento Sci Vita &amp; Ambiente, Via Brecce Bianche, I-60131 Ancona, Italy; [Bau, Sebastien] Inst Natl Rech &amp; Securite INRS, Lab Aerosol Metrol, Rue Morvan,CS 60027, F-54519 Vandoeuvre Les Nancy, France; [Scarchilli, Claudio; Ciardini, Virginia; Grigioni, Paolo] ENEA, Lab Observat &amp; Measures Environm &amp; Climate, Via Anguillarese 301, I-00123 Rome, Italy</t>
  </si>
  <si>
    <t>Marche Polytechnic University; Italian National Agency New Technical Energy &amp; Sustainable Economics Development</t>
  </si>
  <si>
    <t>Illuminati, S (corresponding author), Univ Politecn Marche, Dipartimento Sci Vita &amp; Ambiente, Via Brecce Bianche, I-60131 Ancona, Italy.</t>
  </si>
  <si>
    <t>s.illuminati@univpm.it; a.annibaldi@univpm.it; sebastien.bau@inrs.fr; claudio.scarchilli@enea.it; virginia.ciardini@enea.it; paolo.grigioni@enea.it; f.girolametti@pm.univpm.it; f.vagnoni@univpm.it; g.scarponi@univpm.it; c.truzzi@univpm.it</t>
  </si>
  <si>
    <t>Girolametti, Federico/IWD-5923-2023; Illuminati, Silvia/GXZ-5038-2022; Scarponi, Giuseppe/AAQ-6394-2021; Illuminati, Silvia/T-7873-2019</t>
  </si>
  <si>
    <t>Girolametti, Federico/0000-0003-1882-1619; Scarponi, Giuseppe/0000-0003-2932-0596; Illuminati, Silvia/0000-0001-6465-5477; BAU, Sebastien/0000-0003-0585-1931; ANNIBALDI, ANNA/0000-0002-7628-093X; TRUZZI, Cristina/0000-0002-7429-9880; Vagnoni, Flavio/0000-0001-9369-6243; Scarchilli, Claudio/0000-0002-2414-2439; grigioni, paolo/0000-0001-9802-4972</t>
  </si>
  <si>
    <t>MIUR-PNRA program [2015/AZ3.01]</t>
  </si>
  <si>
    <t>MIUR-PNRA program(Ministry of Education, Universities and Research (MIUR))</t>
  </si>
  <si>
    <t>This research was financially supported by the MIUR-PNRA program in the framework of the PNRA Project 2015/AZ3.01 entitled Spatial and temporal (intra- and inter-annual) evolution of the chemical composition of the aerosol in the Victoria Land (Antarctica) in relation with local and long-range transport processes.</t>
  </si>
  <si>
    <t>10.3390/molecules25173971</t>
  </si>
  <si>
    <t>NP4AF</t>
  </si>
  <si>
    <t>WOS:000570119100001</t>
  </si>
  <si>
    <t>Alsina-Pagès, RM; Altadill, D; Hervás, M; Blanch, E; Segarra, A; Sans, XG</t>
  </si>
  <si>
    <t>Alsina-Pages, Rosa Ma; Altadill, David; Hervas, Marcos; Blanch, Estefania; Segarra, Antoni; Gonzalez Sans, Xavier</t>
  </si>
  <si>
    <t>Variation of Ionospheric Narrowband and Wideband Performance for a 12,760 km Transequatorial Link and Its Dependence on Solar and Ionospheric Activity</t>
  </si>
  <si>
    <t>ionospheric propagation; HF; long-haul; wideband communication; sounding; SSN; channel availability; ionospheric irregularities</t>
  </si>
  <si>
    <t>EQUATORIAL PLASMA BUBBLES; WAVE SIGNATURES; F-REGION; ANTARCTICA; PLANETARY; CHANNEL; SPREAD; MIDDLE</t>
  </si>
  <si>
    <t>The ionosphere provides a channel that is able to propagate electromagnetic waves for long-haul communications, allowing Non-Line-Of-Sight (NLOS) radio communications in the high-frequency band (HF). Nonetheless, its performance as a communications channel mainly depends on solar activity, as Earth's diurnal and seasonal cycles modify the ionospheric ionization by the sun and consequently the channel performance. La Salle and the Observatori de l'Ebre have conducted oblique soundings of a 12,760 km ionospheric channel from Livingston Island (South Shetland Archipelago-Antarctica-62.7 degrees S,299.6 degrees E) to Cambrils (Spain-41.0 degrees N,1.0 degrees E) to evaluate this evidence and analyze the characteristics of this particular channel. The final goal of the project is to establish a stable communications link to be used as a backup for low throughput data transmission from the various geomagnetic and meteorological sensors located in the Spanish Antarctic Station. The aim of this paper is to confirm the relationship between the channel availability of narrowband and wideband communications and the resulting channel parameters with the solar and ionospheric activity for four consecutive sounding campaigns.</t>
  </si>
  <si>
    <t>[Alsina-Pages, Rosa Ma; Hervas, Marcos; Gonzalez Sans, Xavier] La Salle Univ Ramon Llull, GTM Grp Recerca Tecnol Media, C Quatre Camins 30, Barcelona 08022, Spain; [Altadill, David; Blanch, Estefania; Segarra, Antoni] Univ Ramon Llull, CSIC, Observ Ebre OE, Ctra Observ 2, Roquetes 43520, Spain; [Blanch, Estefania] UPC Barcelona Tech, EPSEB, Dept Fis, Av Doctor Maranon 44-50, Barcelona 08028, Spain</t>
  </si>
  <si>
    <t>Universitat Ramon Llull; Consejo Superior de Investigaciones Cientificas (CSIC); Universitat Ramon Llull; Ebre Observatory; Universitat Politecnica de Catalunya</t>
  </si>
  <si>
    <t>Alsina-Pagès, RM (corresponding author), La Salle Univ Ramon Llull, GTM Grp Recerca Tecnol Media, C Quatre Camins 30, Barcelona 08022, Spain.</t>
  </si>
  <si>
    <t>rosamaria.alsina@salle.url.edu; david_altadill@obsebre.es; marcosantonio.hervas@salleurl.edu; eblanch@obsebre.es; asegarra@obsebre.es; ls27358@salleurl.edu</t>
  </si>
  <si>
    <t>Altadill, David/K-9309-2014; Hervás, Marcos/K-7016-2015; Segarra, Antoni/K-5557-2017; Blanch Llosa, Estefania/L-7046-2014; Alsina-Pages, Rosa Ma/M-6099-2017</t>
  </si>
  <si>
    <t>Altadill, David/0000-0001-7730-385X; Hervás, Marcos/0000-0003-2021-9264; Segarra, Antoni/0000-0001-6333-6589; Blanch Llosa, Estefania/0000-0002-8438-2776; Alsina-Pages, Rosa Ma/0000-0003-2261-5471</t>
  </si>
  <si>
    <t>Spanish Government [CTM2009-13843-C02, CTM2010-21312-C03]; Secretaria d'Universitats i Recerca from the Departament d'Empresa i Coneixement(Generalitat de Catalunya); Universitat Ramon Llull [2020-URL-Proj-003, 2020-URL-Proj-054]; MCIU, AEI, FEDER [PGC2018-096774-B-I00]</t>
  </si>
  <si>
    <t>Spanish Government(Spanish Government); Secretaria d'Universitats i Recerca from the Departament d'Empresa i Coneixement(Generalitat de Catalunya)(Generalitat de Catalunya); Universitat Ramon Llull; MCIU, AEI, FEDER</t>
  </si>
  <si>
    <t>This work has been funded by the Spanish Government under the projects CTM2009-13843-C02 and CTM2010-21312-C03. The authors would like to thank Pijoan and Regue, the Principal Investigators of these projects. D.A. and E.B. contributed with research partly funded by project PGC2018-096774-B-I00 (MCIU, AEI, FEDER). The research that led to this contribution has been conducted thanks to funding from Secretaria d'Universitats i Recerca from the Departament d'Empresa i Coneixement (Generalitat de Catalunya) and Universitat Ramon Llull, under the grants 2020-URL-Proj-003 (David Altadill) and 2020-URL-Proj-054 (Rosa Ma Alsina-Pages).</t>
  </si>
  <si>
    <t>10.3390/rs12172750</t>
  </si>
  <si>
    <t>NP7LA</t>
  </si>
  <si>
    <t>WOS:000570353300001</t>
  </si>
  <si>
    <t>Puccinelli, E; Smart, SM; Fawcett, SE</t>
  </si>
  <si>
    <t>Puccinelli, Eleonora; Smart, Sandi M.; Fawcett, Sarah E.</t>
  </si>
  <si>
    <t>Temporal variability in the trophic composition of benthic invertebrates in the Indian Sub-Antarctic Ocean</t>
  </si>
  <si>
    <t>Sub-Antarctic; Prince Edward Islands; Nitrogen and carbon stable isotopes; Fatty acids; Southern Ocean; Benthic-pelagic coupling; Sinking organic matter</t>
  </si>
  <si>
    <t>FOOD-WEB STRUCTURE; STABLE-ISOTOPE RATIOS; PARTICULATE ORGANIC-MATTER; UNSATURATED FATTY-ACIDS; SOUTHERN-OCEAN; MARINE-PHYTOPLANKTON; COMMUNITY STRUCTURE; DISSOLVED IRON; CLIMATE-CHANGE; IN-SITU</t>
  </si>
  <si>
    <t>Food availability is a primary factor determining species distribution and success, especially for offshore benthic organisms that rely on sinking particles as their main food supply. Temporal changes in the quantity and quality of food sources, often linked to shifts in the prevailing hydrographic conditions, thus have important consequences for benthic community composition and ecosystem functioning. Here, we investigate variability in the biochemical composition of offshore benthic organisms and their food sources across different time-scales (3 weeks, 1 year, 2 years) at the Sub-Antarctic Prince Edward Islands (PEIs) using nitrogen and carbon stable isotope (SI; delta N-15 and delta C-13, respectively) and fatty acid (FA) analyses. The delta N-15 of suspended particulate matter (SPM) did not show a consistent trend over time, probably because the primary driver of delta N-15(SPM) variability appears to be seasonality and we sampled at roughly the same time each year. In contrast, the delta C-13(SPM) increased with time, likely as a result of the changing proportion of macroalgal detritus relative to offshore phytoplankton biomass. The delta N-15 and delta C-13 of select trophic groups varied with time, but not necessarily in synchrony with the SPM, possibly due to differences in the SI turnover rates of the food sources versus the consumers. In contrast, the FA composition of most taxa did change over time, reflecting the shorter integration period for FA compared to SI. While taxa showed different FA patterns across the time-scales investigated, the dominant trend was one of decreasing food quality with time. Combined, the SI and FA results indicate that the response of the benthos to the factor Time is not straightforward. We conclude that the two techniques provide different yet complementary temporal information, with animal SI ratios reflecting the longer-term and FA composition the shorter-term response of the benthos to changing food availability. Our findings suggest that different species at the PEIs will respond differently to climate-driven changes in food quality and quantity, increasing the uncertainty facing this vulnerable ecosystem.</t>
  </si>
  <si>
    <t>[Puccinelli, Eleonora; Smart, Sandi M.; Fawcett, Sarah E.] Univ Cape Town, Dept Oceanog, Cape Town, South Africa</t>
  </si>
  <si>
    <t>University of Cape Town</t>
  </si>
  <si>
    <t>Puccinelli, E (corresponding author), Univ Cape Town, Dept Oceanog, Cape Town, South Africa.;Puccinelli, E (corresponding author), Univ Brest, CNRS UBO IRD Ifremer, LEMAR IUEM Dumont DUrville, UMR 6539, F-29280 Plouzane, France.</t>
  </si>
  <si>
    <t>eleonora.puccinelli@univ-brest.fr</t>
  </si>
  <si>
    <t>Department of Environment, Forestry and Fisheries; National Research Foundation; South African National Antarctic Program (SANAP) [105539, 110735, 110719]; Swiss Polar Institute through Antarctic Circumnavigation Expedition (ACE) Project 12</t>
  </si>
  <si>
    <t>Department of Environment, Forestry and Fisheries; National Research Foundation; South African National Antarctic Program (SANAP); Swiss Polar Institute through Antarctic Circumnavigation Expedition (ACE) Project 12</t>
  </si>
  <si>
    <t>This work was supported by funding from the South African Department of Environmental Affairs (now Department of Environment, Forestry and Fisheries), the National Research Foundation and the South African National Antarctic Program (SANAP) through grants 105539 and 110735 to SF and 110719 to Prof. Isabelle Ansorge, and by the Swiss Polar Institute through Antarctic Circumnavigation Expedition (ACE) Project 12 to SF. We acknowledge the Stable Isotope Laboratory of the University of Pretoria, the Archaeology Department at the University of Cape Town, the Sigman Lab at Princeton University, the InnoVenton and the Downstream Chemicals Technology Station of the Nelson Mandela University, and the Central Analytical Facility at Stellenbosch University where the analyses were conducted, as well as the South African Department of Science and Innovation's Biogeochemistry Research Infrastructure Platform (BIOGRIP). We are grateful to Prof Isabelle Ansorge for her remarkable support for this work. Special thanks go to Captain Syndercombe and Captain Bengu, and the officers and crew of the R/V S.A. Agulhas II for their assistance at sea. We would also like to thank Robyn Adams, Sarah Asdar, Tahlia Henry, Renae Logston, Holly Nel, Kirrin Reid, Luca Stirnimann, Marcel van den Berg, Grant van der Heever and Charles von der Meden for their help with sample collection.</t>
  </si>
  <si>
    <t>10.1016/j.dsr.2020.103340</t>
  </si>
  <si>
    <t>NN9TX</t>
  </si>
  <si>
    <t>WOS:000569132900004</t>
  </si>
  <si>
    <t>Fang, SX; Chen, XY; Zhang, KJ; Wei, HK; Ge, J</t>
  </si>
  <si>
    <t>Fang, Shixiong; Chen, Xinyi; Zhang, Kanjian; Wei, Haikun; Ge, Jian</t>
  </si>
  <si>
    <t>The Antarctic Astronomical Observations Intelligent Support Equipment Dome A Site-Testing Observatory: Electric Power Generation and Control Systems</t>
  </si>
  <si>
    <t>ENERGIES</t>
  </si>
  <si>
    <t>astronomical observatory; ControlNet field bus; Dome A; intelligent support equipment; robotics; site testing</t>
  </si>
  <si>
    <t>EAST ANTARCTICA; BOUNDARY-LAYER; SOUTH-POLE; TURBULENCE; NETWORKS; SNOW</t>
  </si>
  <si>
    <t>AAOISE, the Antarctic Astronomical Observations Intelligent Support Equipment, is an autonomous control equipment serving for energy support and environment thermal preservation, which is used for astronomical science observations in the Antarctic Dome A. It was deployed to Dome A and had an unattended run until now. The AAOISE stressed on the ways to adapt to adverse circumstances of Dome A and to have as little influence on the environment as possible. Its shape and structure are fully qualified for transportation and thermal insulation demands. The power generation and control systems are designed to provide continuous power and heat. Its communication system can support high-reliability data transmission and communications. It offers a possibility for developing Dome A scientific activities and remote monitoring of the running situation of the science instruments. This paper presents a detailed description of the power generation, power control, thermal management, instrument interface, and communications systems for AAOISE.</t>
  </si>
  <si>
    <t>[Fang, Shixiong; Chen, Xinyi; Zhang, Kanjian; Wei, Haikun; Ge, Jian] Southeast Univ, Sch Automat, Minist Educ, Key Lab Measurement &amp; Control Complex Syst Engn, Nanjing 210096, Peoples R China</t>
  </si>
  <si>
    <t>Southeast University - China</t>
  </si>
  <si>
    <t>Zhang, KJ (corresponding author), Southeast Univ, Sch Automat, Minist Educ, Key Lab Measurement &amp; Control Complex Syst Engn, Nanjing 210096, Peoples R China.</t>
  </si>
  <si>
    <t>sxfang@seu.edu.cn; chenxinyi@seu.edu.cn; kjzhang@seu.edu.cn; hkwei@seu.edu.cn; gejian@seu.edu.cn</t>
  </si>
  <si>
    <t>Wei, Haikun/0000-0002-6667-3166</t>
  </si>
  <si>
    <t>National Key Research and Development Program of China [2018YFB1500800]; National Natural Science Foundation of China [61973083]</t>
  </si>
  <si>
    <t>This work was supported in part by the National Key Research and Development Program of China under Grant 2018YFB1500800 and in part by the National Natural Science Foundation of China under Grant 61973083.</t>
  </si>
  <si>
    <t>1996-1073</t>
  </si>
  <si>
    <t>Energies</t>
  </si>
  <si>
    <t>10.3390/en13174308</t>
  </si>
  <si>
    <t>NO9IL</t>
  </si>
  <si>
    <t>WOS:000569799400001</t>
  </si>
  <si>
    <t>Power, C; Nowak, BF; Cribb, TH; Bott, NJ</t>
  </si>
  <si>
    <t>Power, Cecilia; Nowak, Barbara F.; Cribb, Thomas H.; Bott, Nathan J.</t>
  </si>
  <si>
    <t>Bloody flukes: a review of aporocotylids as parasites of cultured marine fishes</t>
  </si>
  <si>
    <t>INTERNATIONAL JOURNAL FOR PARASITOLOGY</t>
  </si>
  <si>
    <t>Blood fluke; Aporocotylid; Marine; Aquaculture; Praziquantel</t>
  </si>
  <si>
    <t>SOUTHERN BLUEFIN TUNA; OPISTHORCHIS TREMATODA APOROCOTYLIDAE; THUNNUS-ORIENTALIS TEMMINCK; N. SP DIGENEA; SERIOLA-LALANDI PERCIFORMES; COBIA RACHYCENTRON-CANADUM; CARDICOLA-FORSTERI; LIFE-CYCLE; INTERMEDIATE HOSTS; METAZOAN PARASITES</t>
  </si>
  <si>
    <t>Fish blood flukes (Digenea: Aporocotylidae) are important pathogens of fishes in aquaculture. Severe infections have been associated with mass mortality events in cultured marine species of teleosts in Australia, Asia and Europe, leading to significant socio-economic losses. Here we review recent advances towards understanding the biology and ecology of fish blood flukes, and the integral role molecular techniques have played in this development. Techniques include molecular matching of aporocotylid life stages using ITS-2 rDNA, and targeting ITS-2 rDNA to distinguish aporocotylid species using quantitative PCR (qPCR). These approaches have facilitated the elucidation of multiple life cycles for species of Cardicola infecting bluefin tunas Thunnus spp. cultured in Australia and Japan. Continued work to identify intermediate hosts of fish blood flukes is critical to improve understanding of their life cycles and help inform aquatic animal health management e.g. through site selection and/or separation of intermediate and definitive hosts. As praziquantel is the only known treatment option for infected fish, its continued efficacy will need to be monitored and other possible solutions may need to be identified as aquaculture continues to grow and diversify. (C) 2020 Australian Society for Parasitology. Published by Elsevier Ltd. All rights reserved.</t>
  </si>
  <si>
    <t>[Power, Cecilia; Nowak, Barbara F.; Bott, Nathan J.] RMIT Univ, Ctr Environm Sustainabil &amp; Remediat, Sch Sci, Bundoora, Vic 3083, Australia; [Nowak, Barbara F.] Univ Tasmania, Inst Marine &amp; Antarctic Studies, Locked Bag 1370, Launceston, Tas 7250, Australia; [Cribb, Thomas H.] Univ Queensland, Sch Biol Sci, Brisbane, Qld 4072, Australia</t>
  </si>
  <si>
    <t>Royal Melbourne Institute of Technology (RMIT); University of Tasmania; University of Queensland</t>
  </si>
  <si>
    <t>Bott, NJ (corresponding author), RMIT Univ, Ctr Environm Sustainabil &amp; Remediat, Sch Sci, Bundoora, Vic 3083, Australia.</t>
  </si>
  <si>
    <t>nathan.bott@rmit.edu.au</t>
  </si>
  <si>
    <t>Bott, Nathan J/A-3816-2009; Nowak, Barbara/J-7261-2014</t>
  </si>
  <si>
    <t>Power, Cecilia/0000-0002-3279-033X; Bott, Nathan/0000-0003-4049-9945; Nowak, Barbara/0000-0002-0347-643X</t>
  </si>
  <si>
    <t>0020-7519</t>
  </si>
  <si>
    <t>1879-0135</t>
  </si>
  <si>
    <t>INT J PARASITOL</t>
  </si>
  <si>
    <t>Int. J. Parasit.</t>
  </si>
  <si>
    <t>10-11</t>
  </si>
  <si>
    <t>10.1016/j.ijpara.2020.04.008</t>
  </si>
  <si>
    <t>Parasitology</t>
  </si>
  <si>
    <t>NO0BO</t>
  </si>
  <si>
    <t>WOS:000569152900003</t>
  </si>
  <si>
    <t>McElroy, EJ; Nowak, B; Hill-Spanik, KM; Granath, WO; Connors, VA; Driver, J; Tucker, CJ; Kyle, DE; de Buron, I</t>
  </si>
  <si>
    <t>McElroy, Eric J.; Nowak, Barbara; Hill-Spanik, Kristina M.; Granath, Willard O.; Connors, Vincent A.; Driver, Jim; Tucker, C. Jonathan; Kyle, Dennis E.; de Buron, Isaure</t>
  </si>
  <si>
    <t>Dynamics of infection and pathology induced by the aporocotylid, Cardicola laruei, in Spotted Seatrout, Cynoscion nebulosus (Sciaenidae)</t>
  </si>
  <si>
    <t>Blood fluke; Granuloma; Epidemiology; Ultrastructure; Immunohistochemistry; Epithelialization</t>
  </si>
  <si>
    <t>SOUTHERN BLUEFIN TUNA; SANGUINICOLA-INERMIS PLEHN; BLOOD FLUKE INFECTION; DIGENEA APOROCOTYLIDAE; INTERMEDIATE HOST; PERCIFORMES SCIAENIDAE; SERIOLA-DUMERILI; TREMATODA; PARASITES; CAROLINA</t>
  </si>
  <si>
    <t>The sciaenid Spotted Seatrout (Cynoscion nebulosus) are infected by blood flukes (Cardicola spp.). A 2 year survey in estuaries of South Carolina, USA, showed that adult flukes and granulomas occurred throughout the year but their prevalence was highest in summer (61% and 84%, respectively), indicating an unusually high level of infection for wild fish. Granulomas remained after adult flukes could no longer be found. PCR-Restriction Fragment Length Polymorphism (RFLP) of a subsample of specimens allowed identification of Cardicola laruei as the only species infecting these seatrout during the period of study. Mean intensity of infection by flukes was higher in female seatrout, suggesting endocrine and/or immune system involvement. The prevalence of granulomas declined sharply in winter, indicating possible mortality of infected seatrout as this species is known to be cold-sensitive. Granulomas were studied using histology, immunohistochemistry, and transmission electron microscopy. Eggs were encapsulated by an inner core of dark epithelioid cells, and an outer core of large epithelioid cells undergoing epithelialization. Fibrosis was observed around granulomas and some granulomas detached from the surrounding damaged myocardium. Numerous inflammatory cells appeared mobilised around granulomas and pathology could be severe, in some cases showing grossly visible blister-like extrusions scattered in the damaged epicardium. At the gross level, some granulomas possessing eggs with live miracidia were observed at the surface of the epicardium. These findings suggest that granulomas carrying both dead and live eggs can clear the fish heart by host-mediated transport through the myocardium, as is known to occur in related human Schistosoma infections. (C) 2020 Australian Society for Parasitology. Published by Elsevier Ltd. All rights reserved.</t>
  </si>
  <si>
    <t>[McElroy, Eric J.; Hill-Spanik, Kristina M.; de Buron, Isaure] Coll Charleston, Dept Biol, 205 Ft Johnson Rd, Charleston, SC 29412 USA; [Nowak, Barbara] Univ Tasmania, Inst Marine &amp; Antarctic Studies, Locked Bag 1370, Launceston, Tas 7250, Australia; [Granath, Willard O.; Driver, Jim] Univ Montana, Biol Sci, Missoula, MT 59812 USA; [Connors, Vincent A.] Univ South Carolina Upstate, Dept Biol, Div Nat Sci, Spartanburg, SC 29303 USA; [Tucker, C. Jonathan] Marine Resources Res Inst, Dept Nat Resources, Inshore Fisheries Div, Charleston, SC 29412 USA; [Kyle, Dennis E.] Univ Georgia, Ctr Trop &amp; Emerging Global Dis, 500 DW Brooks Dr, Athens, GA 30602 USA</t>
  </si>
  <si>
    <t>College of Charleston; University of Tasmania; University of Montana System; University of Montana; University System of Georgia; University of Georgia</t>
  </si>
  <si>
    <t>de Buron, I (corresponding author), Coll Charleston, Dept Biol, 205 Ft Johnson Rd, Charleston, SC 29412 USA.</t>
  </si>
  <si>
    <t>deburoni@cofc.edu</t>
  </si>
  <si>
    <t>; Nowak, Barbara/J-7261-2014</t>
  </si>
  <si>
    <t>de Buron, Isaure/0000-0001-5560-3325; Nowak, Barbara/0000-0002-0347-643X; Kyle, Dennis/0000-0002-0238-965X; Connors, Vincent/0000-0001-5486-1541</t>
  </si>
  <si>
    <t>Department of Biology at the College of Charleston, USA</t>
  </si>
  <si>
    <t>We thank the staff of the South Carolina Department of Natural Resources Inshore Fisheries Division, USA, for providing fish carcasses and biotic and abiotic data associated with the specimens, the Department of Biology at the College of Charleston, USA, for financial support, the EMtrix Facility, University of Montana, USA (www.emtrix.org) for access to the TEM, Mai Dang, Institute of Marine and Antarctic Studies, University of Tasmania, Australia, for her expert assistance with histology, immunohistochemistry and photography, and Barbora Majlathova for designing and illustrating the graphical abstract. This research did not receive any specific grant from funding agencies in the public, commercial, or not-for-profit sectors.</t>
  </si>
  <si>
    <t>10.1016/j.ijpara.2020.03.016</t>
  </si>
  <si>
    <t>WOS:000569152900009</t>
  </si>
  <si>
    <t>Huang, J; Guo, HD; Liu, G; Shen, GZ; Ye, HL; Deng, Y; Dong, RB</t>
  </si>
  <si>
    <t>Huang, Jing; Guo, Huadong; Liu, Guang; Shen, Guozhuang; Ye, Hanlin; Deng, Yu; Dong, Runbo</t>
  </si>
  <si>
    <t>Spatio-Temporal Characteristics for Moon-Based Earth Observations</t>
  </si>
  <si>
    <t>Moon-based Earth observations; spatio-temporal characteristics; intervisibility condition; spherical cap</t>
  </si>
  <si>
    <t>SYSTEM</t>
  </si>
  <si>
    <t>Spatio-temporal characteristics are the crucial conditions for Moon-based Earth observations. In this study, we established a Moon-based Earth observation geometric model by considering the intervisibility condition between a Moon-based platform and observed points on the Earth, which can analyze the spatio-temporal characteristics of the observations of Earth's hemisphere. Furthermore, a formula for the spherical cap of the Earth visibility region on the Moon is analytically derived. The results show that: (1) the observed Earth spherical cap has a diurnal period and varies with the nadir point. (2) All the annual global observation durations in different years show two lines that almost coincide with the Arctic circle and the Antarctic circle. Regions between the two lines remain stable, but the observation duration of the South pole and North pole changes every 18.6 years. (3) With the increase of the line-of-sight minimum observation elevation angle, the area of an intervisible spherical cap on the lunar surface is obviously decreased, and this cap also varies with the distance between the barycenter of the Earth and the barycenter of the Moon. In general, this study reveals the effects of the elevation angle on the spatio-temporal characteristics and additionally determines the change of area where the Earth's hemisphere can be observed on the lunar surface; this information can provide support for the accurate calculation of Moon-based Earth hemisphere observation times.</t>
  </si>
  <si>
    <t>[Huang, Jing; Guo, Huadong; Liu, Guang; Shen, Guozhuang; Deng, Yu; Dong, Runbo] Chinese Acad Sci, Aerosp Informat Res Inst, Beijing 100094, Peoples R China; [Huang, Jing; Guo, Huadong] Univ Chinese Acad Sci, Coll Resources &amp; Environm, Beijing 100049, Peoples R China; [Ye, Hanlin] China Acad Space Technol, Qian Xuesen Lab Space &amp; Technol, Beijing 100094, Peoples R China; [Deng, Yu] Peking Univ, Sch Earth &amp; Space Sci, Beijing 100871, Peoples R China; [Dong, Runbo] Tsinghua Univ, Dept Mech Engn, Beijing 100084, Peoples R China</t>
  </si>
  <si>
    <t>Chinese Academy of Sciences; Aerospace Information Research Institute, CAS; Chinese Academy of Sciences; University of Chinese Academy of Sciences, CAS; Peking University; Tsinghua University</t>
  </si>
  <si>
    <t>Liu, G (corresponding author), Chinese Acad Sci, Aerosp Informat Res Inst, Beijing 100094, Peoples R China.</t>
  </si>
  <si>
    <t>huangjing@radi.ac.cn; hdguo@radi.ac.cn; liuguang@radi.ac.cn; shengz@radi.ac.cn; yehl@radi.ac.cn; 1901110618@pku.edu.cn; drb16@mails.tsinghua.edu.cn</t>
  </si>
  <si>
    <t>chen, guo zhuang/T-2721-2018</t>
  </si>
  <si>
    <t>chen, guo zhuang/0000-0002-0326-9094</t>
  </si>
  <si>
    <t>National Natural Science Foundation of China [41590852]; Key Research Program of Frontier Sciences, CAS [QYZDY-SSW-DQC026]; National Key Research and Development Program of China [2020YFE0202100]</t>
  </si>
  <si>
    <t>National Natural Science Foundation of China(National Natural Science Foundation of China (NSFC)); Key Research Program of Frontier Sciences, CAS; National Key Research and Development Program of China</t>
  </si>
  <si>
    <t>This research was funded by National Natural Science Foundation of China, grant number 41590852. The Key Research Program of Frontier Sciences, CAS, grant number QYZDY-SSW-DQC026. And the National Key Research and Development Program of China, grant number 2020YFE0202100.</t>
  </si>
  <si>
    <t>10.3390/rs12172848</t>
  </si>
  <si>
    <t>NO6XX</t>
  </si>
  <si>
    <t>WOS:000569633700001</t>
  </si>
  <si>
    <t>Abdulrasheed, M; Zulkharnain, A; Zakaria, NN; Roslee, AFA; Khalil, KA; Napis, S; Convey, P; Gomez-Fuentes, C; Ahmad, SA</t>
  </si>
  <si>
    <t>Abdulrasheed, Mansur; Zulkharnain, Azham; Zakaria, Nur Nadhirah; Roslee, Ahmad Fareez Ahmad; Khalil, Khalilah Abdul; Napis, Suhaimi; Convey, Peter; Gomez-Fuentes, Claudio; Ahmad, Siti Aqlima</t>
  </si>
  <si>
    <t>Response Surface Methodology Optimization and Kinetics of Diesel Degradation by a Cold-Adapted Antarctic Bacterium,Arthrobactersp. Strain AQ5-05</t>
  </si>
  <si>
    <t>SUSTAINABILITY</t>
  </si>
  <si>
    <t>Antarctica; Arthrobacter; diesel bioremediation; growth kinetics; response surface methodology</t>
  </si>
  <si>
    <t>DEGRADING BACTERIA; PHENOL DEGRADATION; CHICKEN FEATHER; MONOD KINETICS; GROWTH; BIODEGRADATION; OIL; DESIGN; SOIL; BIOREMEDIATION</t>
  </si>
  <si>
    <t>Petroleum hydrocarbons, notably diesel oil, are the main energy source for running amenities in the Antarctic region and are the major cause of pollution in this area. Diesel oil spills are one of the major challenges facing management of the Antarctic environment. Bioremediation using bacteria can be an effective and eco-friendly approach for their remediation. However, since the introduction of non-native organisms, including microorganisms, into the Antarctic or between the distinct biogeographical regions within the continent is not permitted under the Antarctic Treaty, it is crucial to discover native oil-degrading, psychrotolerant microorganisms that can be used in diesel bioremediation. The primary aim of the current study is to optimize the conditions for growth and diesel degradation activity of an Antarctic local bacterium,Arthrobactersp. strain AQ5-05, using the Plackett-Burman approach and response surface method (RSM) via a central composite design (CCD) approach. Based on this approach, temperature, pH, and salinity were calculated to be optimum at 16.30 degrees C, pH 7.67 and 1.12% (w/v), respectively. A second order polynomial regression model very accurately represented the experimental figures' interpretation. These optimized environmental conditions increased diesel degradation from 34.5% (at 10 degrees C, pH 7.00 and 1.00% (w/v) salinity) to 56.4%. Further investigation of the kinetics of diesel reduction by strain AQ5-05 revealed that the Teissier model had the lowest RMSE and AICC values. The calculated values for the Teissier constants of maximal growth rate, half-saturation rate constant for the maximal growth, and half inhibition constants (mu(max), Ks, and Ki), were 0.999 h(-1), 1.971% (v/v) and 1.764% (v/v), respectively. The data obtained therefore confirmed the potential application of this cold-tolerant strain in the bioremediation of diesel-contaminated Antarctic soils at low temperature.</t>
  </si>
  <si>
    <t>[Abdulrasheed, Mansur; Zakaria, Nur Nadhirah; Roslee, Ahmad Fareez Ahmad; Ahmad, Siti Aqlima] Univ Putra Malaysia, Fac Biotechnol &amp; Biomol Sci, Dept Biochem, Serdang 43400, Selangor, Malaysia; [Abdulrasheed, Mansur] Gombe State Univ, Fac Sci, Dept Microbiol, PMB 127, Gombe, Nigeria; [Zulkharnain, Azham] Shibaura Inst Technol, Dept Biosci &amp; Engn, Coll Syst Engn &amp; Sci, Minuma Ku, 307 Fukasaku, Saitama 3378570, Japan; [Khalil, Khalilah Abdul] Univ Teknol MARA, Fac Appl Sci, Sch Biol, Shah Alam 40450, Selangor, Malaysia; [Napis, Suhaimi] Univ Putra Malaysia, Fac Biotechnol &amp; Biomol Sci, Dept Cell &amp; Mol Biol, Serdang 43400, Selangor, Malaysia; [Convey, Peter] British Antarctic Survey, NERC, Madingley Rd, Cambridge CB3 0ET, England; [Gomez-Fuentes, Claudio] Univ Magallanes, Dept Chem Engn, Avda Bulnes, Punta Arenas 01855, Region De Magal, Chile</t>
  </si>
  <si>
    <t>Universiti Putra Malaysia; Shibaura Institute of Technology; Universiti Teknologi MARA; Universiti Putra Malaysia; UK Research &amp; Innovation (UKRI); Natural Environment Research Council (NERC); NERC British Antarctic Survey; Universidad de Magallanes</t>
  </si>
  <si>
    <t>Ahmad, SA (corresponding author), Univ Putra Malaysia, Fac Biotechnol &amp; Biomol Sci, Dept Biochem, Serdang 43400, Selangor, Malaysia.</t>
  </si>
  <si>
    <t>moladeji@yahoo.com; azham@shibaura-it.ac.jp; nadhirahairakaz@gmail.com; fareezlee@yahoo.com; khali552@uitm.edu.my; suhaimi@upm.edu.my; pcon@bas.ac.uk; claudio.gomez@umag.cl; aqlima@upm.edu.my</t>
  </si>
  <si>
    <t>Zakaria, Nur Nadhirah/ABE-2291-2020; Zulkharnain, Azham/AAV-1241-2020; Convey, Peter/AAV-5728-2020</t>
  </si>
  <si>
    <t>Zulkharnain, Azham/0000-0001-9173-8171; Convey, Peter/0000-0001-8497-9903; Ahmad, Siti Aqlima/0000-0002-7625-3704</t>
  </si>
  <si>
    <t>Universiti Putra Malaysia [9300436, GPM-2019/9678900, 6300247]; Sultan Mizan Antarctic Research Foundation (YPASM); NERC [bas0100036] Funding Source: UKRI</t>
  </si>
  <si>
    <t>Universiti Putra Malaysia; Sultan Mizan Antarctic Research Foundation (YPASM); NERC(UK Research &amp; Innovation (UKRI)Natural Environment Research Council (NERC))</t>
  </si>
  <si>
    <t>This project was financially supported by the research grants attached to S.A. Ahmad (GP-Matching Grant/2017/9300436, GPM-2019/9678900, and YPASM Smart Partnership Initiative 2019 (6300247) disbursed by Universiti Putra Malaysia and Sultan Mizan Antarctic Research Foundation (YPASM).</t>
  </si>
  <si>
    <t>2071-1050</t>
  </si>
  <si>
    <t>SUSTAINABILITY-BASEL</t>
  </si>
  <si>
    <t>Sustainability</t>
  </si>
  <si>
    <t>10.3390/su12176966</t>
  </si>
  <si>
    <t>NO7UC</t>
  </si>
  <si>
    <t>WOS:000569692900001</t>
  </si>
  <si>
    <t>Gjorup, DF; Schaefer, CEGR; Simas, FNB; Francelino, MR; Michel, RFM; Bockheim, JG</t>
  </si>
  <si>
    <t>Gjorup, Davi Feital; Schaefer, Carlos Ernesto G. R.; Bello Simas, Felipe Nogueira; Francelino, Marcio Rocha; Machado Michel, Roberto Ferreira; Bockheim, James G.</t>
  </si>
  <si>
    <t>Sulfurization, acid-sulfate soils and active layer monitoring at the semiarid Seymour Island, Antarctica</t>
  </si>
  <si>
    <t>GEODERMA REGIONAL</t>
  </si>
  <si>
    <t>Pedogenesis; Acid sulfate soil; Soil mineralogy; Permafrost; Active layer; Thermal regime; Antarctic Peninsula</t>
  </si>
  <si>
    <t>JAMES-ROSS-ISLAND; KING GEORGE ISLAND; THERMAL REGIME; WEDDELL SEA; ELLSWORTH MOUNTAINS; DRY VALLEY; PERMAFROST; PENINSULA; CRYOSOLS; TEMPERATURE</t>
  </si>
  <si>
    <t>Soils and permafrost occurrence and behavior at the Weddell Sea zone, located in the key zone of climatic transition between Maritime Antarctica and Continental Antarctica, remain little studied. We studied the main chemical, physical and mineralogical properties of representative soil profiles of the northern part of Seymour Island, discussing soil formation processes and the active-layer thermal and water regimes of a representative site. Soil sampling and installation of the monitoring site was carried out in the northern part of Seymour Island. Permafrost was generally detected within the first 100 cm of depth, except at coastal areas, although typical periglacial features (cryoturbation), vegetation growth and organic matter accumulation were negligible or absent. Well-drained soils showed low Electric Conductivity (EC), indicating leaching of salts, whereas near-permafrost layers showed higher values of EC. Salt content and EC increased at lower altitudes. Two major groups of soils were identified: (i) Acid Sulfate Soils (ASS); and (ii) Weakly Developed Alkaline Soils (WDAS). Acid Sulfate Soils develop under the influence of sulfide-containing material under oxidizing conditions, and are the most developed and weathered in the area, presenting significant morphological, mineralogical and chemical traits, such as low pH values, sulfuric B horizons, and the presence of secondary minerals indicating sulfurization process, such as jarosite and low crystallinity iron oxide. Weakly Developed Alkaline Soils develop under low chemical and mineralogical transformation, where physical weathering is a key process. These soils present high pH and high content of primary minerals in the clay fraction, mainly K-feldspars and plagioclase. The active-layer thermal regime is typical of periglacial environments, with seasonal temperature variations of soil around 0 degrees C, with prevailing negative temperatures. Regional climate was comparable with Continental Antarctica, whereas the pedoclimate (active layer thickness, soil water content) showed closer affinity with Maritime Antarctica. Some soil forming processes are driven by pedoclimate, and favored by the unfrozen and free-drainage conditions during the summer season; however, the main factor influencing soil development is parent material. The main soil formation processes are sulfurization, cryoclasty and halomorphism, since the semiarid dry climate does not favor cryoturbation and organic matter accumulation. (c) 2020 Elsevier B.V. All rights reserved.</t>
  </si>
  <si>
    <t>[Gjorup, Davi Feital; Schaefer, Carlos Ernesto G. R.; Francelino, Marcio Rocha] Univ Fed Vicosa, Dept Solos, Av Ph Rolfs S-N, BR-36570900 Vicosa, MG, Brazil; [Bello Simas, Felipe Nogueira] Univ Fed Vicosa, Dept Educ, Av Ph Rolfs S-N, BR-36570900 Vicosa, MG, Brazil; [Machado Michel, Roberto Ferreira] Univ Estadual Santa Cruz, Ilheus, BA, Brazil; [Bockheim, James G.] UW Madison, Dept Soil Sci, 1525 Observ Dr, Madison, WI 53706 USA</t>
  </si>
  <si>
    <t>Universidade Federal de Vicosa; Universidade Federal de Vicosa; Universidade Estadual de Santa Cruz; University of Wisconsin System; University of Wisconsin Madison</t>
  </si>
  <si>
    <t>Gjorup, DF (corresponding author), Univ Fed Vicosa, Dept Solos, Av Ph Rolfs S-N, BR-36570900 Vicosa, MG, Brazil.</t>
  </si>
  <si>
    <t>davifeitalgjorup@gmail.com</t>
  </si>
  <si>
    <t>Francelino, Marcio Rocha/AAS-4224-2020; Schaefer, Carlos Ernesto/AAY-4977-2020</t>
  </si>
  <si>
    <t>Francelino, Marcio Rocha/0000-0001-8837-1372;</t>
  </si>
  <si>
    <t>CNPq (INCT Cryosphere); CNPq (TERRANTAR Project); CAPES [442703/2018-0, 302652]</t>
  </si>
  <si>
    <t>CNPq (INCT Cryosphere); CNPq (TERRANTAR Project)(Conselho Nacional de Desenvolvimento Cientifico e Tecnologico (CNPQ)Fundacao de Apoio a Pesquisa do Distrito Federal (FAPDF)); CAPES(Coordenacao de Aperfeicoamento de Pessoal de Nivel Superior (CAPES))</t>
  </si>
  <si>
    <t>We thank the financial support of CNPq (INCT Cryosphere and TERRANTAR Project) and CAPES (Grants 442703/2018-0 and 302652) for scholarship and logistic. We thank anonymous reviewers for their helpful comments.</t>
  </si>
  <si>
    <t>2352-0094</t>
  </si>
  <si>
    <t>GEODERMA REG</t>
  </si>
  <si>
    <t>Geoderma Reg.</t>
  </si>
  <si>
    <t>e00305</t>
  </si>
  <si>
    <t>10.1016/j.geodrs.2020.e00305</t>
  </si>
  <si>
    <t>Soil Science</t>
  </si>
  <si>
    <t>Agriculture</t>
  </si>
  <si>
    <t>NN4KZ</t>
  </si>
  <si>
    <t>WOS:000568759600008</t>
  </si>
  <si>
    <t>Levitan, MA; Gelvi, TN; Domaratskaya, LG</t>
  </si>
  <si>
    <t>Levitan, M. A.; Gelvi, T. N.; Domaratskaya, L. G.</t>
  </si>
  <si>
    <t>Facies Structure and Quantitative Parameters of Pleistocene Sedimentation on the Deep-Sea Floor of the Southern Pacific Ocean and in the Scotia Sea</t>
  </si>
  <si>
    <t>LITHOLOGY AND MINERAL RESOURCES</t>
  </si>
  <si>
    <t>Pacific Ocean; Scotia Sea; bottom sediments; Neopleistocene; Eopleistocene</t>
  </si>
  <si>
    <t>Based on the data from long sediment cores retrieved by R/VEltanin(United States) during the 1950s-1960s, Neo- and Eopleistocene lithofacies maps of the southern Pacific Ocean (scale 1 : 20 000 000) and Scotia Sea (scale 1 : 10 000 000) were compiled for the first time. For the Scotia Sea, schemes of isopachites are shown on the respective lithofacies maps. All maps are processed with the volumetric method proposed by A.B. Ronov. The results revealed that accumulation rates of the terrigenous and siliceous sediments increased during the Pleistocene in both sedimentation basins due to neotectonic activity in the Antarctic Peninsula, which enhanced fluxes of not only terrigenous matter but also nutrients delivered by melted waters to the photosynthesis zone via vertical circulation.</t>
  </si>
  <si>
    <t>[Levitan, M. A.; Gelvi, T. N.; Domaratskaya, L. G.] RAS, Vernadsky Inst Geochem &amp; Analyt Chem, Moscow 119991, Russia</t>
  </si>
  <si>
    <t>Russian Academy of Sciences; Vernadsky Institute of Geochemistry &amp; Analytical Chemistry</t>
  </si>
  <si>
    <t>Levitan, MA (corresponding author), RAS, Vernadsky Inst Geochem &amp; Analyt Chem, Moscow 119991, Russia.</t>
  </si>
  <si>
    <t>m-levitan@mail.ru</t>
  </si>
  <si>
    <t>Russian Academy of Sciences [20]; Russian State Task [01372019-0007]</t>
  </si>
  <si>
    <t>Russian Academy of Sciences(Russian Academy of Sciences); Russian State Task</t>
  </si>
  <si>
    <t>This work was accomplished under the Russian State Task (project no. 01372019-0007) and supported by the Russian Academy of Sciences (program no. 20).</t>
  </si>
  <si>
    <t>BUTLEROVA UL 17 B, MOSCOW, RUSSIA</t>
  </si>
  <si>
    <t>0024-4902</t>
  </si>
  <si>
    <t>1608-3229</t>
  </si>
  <si>
    <t>LITHOL MINER RESOUR+</t>
  </si>
  <si>
    <t>Lithol. Miner. Resour.</t>
  </si>
  <si>
    <t>10.1134/S0024490220040045</t>
  </si>
  <si>
    <t>Geochemistry &amp; Geophysics; Geology; Mineralogy</t>
  </si>
  <si>
    <t>NN5LN</t>
  </si>
  <si>
    <t>WOS:000568830100001</t>
  </si>
  <si>
    <t>Chamov, NP; Sokolov, SY; Merenkova, SI</t>
  </si>
  <si>
    <t>Chamov, N. P.; Sokolov, S. Yu.; Merenkova, S. I.</t>
  </si>
  <si>
    <t>Residual Sediments of the Vema Fracture Zone, Central Atlantic</t>
  </si>
  <si>
    <t>Mid-Atlantic ridge; biogenic carbonates; currents; colluvium</t>
  </si>
  <si>
    <t>EQUATORIAL ATLANTIC; TRANSFORM; RIDGE; INTERSECTION</t>
  </si>
  <si>
    <t>The Vema Fracture Zone orthogonally intersecting the Mid-Atlantic Ridge along 11 degrees N is a complex tectono-sedimentary system, through which bottom water is transferred from the western to the eastern Atlantic. The southern surrounding of the fault valley is an extended (about 320 km) transverse ridge. At the early stages of the Vema System evolution, the ridge was located at shallow depths in the photosynthesis zone, which led to the formation of extensive biogenic carbonate buildups on its surface. Spreading, general sinking of the system, and associated movements along faults caused disintegration of ultramafic basement and bioherms with subsequent fractionation of colluvial-pelagic sediments and their eastward transport by bottom currents. The formation of coarse-grained residual sands completely devoid of pelitic material is associated with the high flow rates of Antarctic bottom waters. The presence of rounded pebbles of organogenic limestones and ultramafic rocks with traces of bioproductivity indicates that clastic material was transferred over a few hundred kilometers.</t>
  </si>
  <si>
    <t>[Chamov, N. P.; Sokolov, S. Yu.] Russian Acad Sci, Geol Inst, Moscow 119017, Russia; [Merenkova, S. I.] Russian Acad Sci, Shirshov Inst Oceanol, Moscow 117997, Russia</t>
  </si>
  <si>
    <t>Russian Academy of Sciences; Geological Institute, Russian Academy of Sciences; Russian Academy of Sciences; Shirshov Institute of Oceanology</t>
  </si>
  <si>
    <t>Chamov, NP (corresponding author), Russian Acad Sci, Geol Inst, Moscow 119017, Russia.</t>
  </si>
  <si>
    <t>nchamov@yandex.ru</t>
  </si>
  <si>
    <t>Sokolov, Sergey Y/S-6505-2018</t>
  </si>
  <si>
    <t>Merenkova, Sofia/0000-0003-3204-4393</t>
  </si>
  <si>
    <t>Geological Institute of the Russian Academy of Sciences [AAAA-A18-118021690110-6, 0135-2019-0076]; Institute of Oceanology of the Russian Academy of Sciences [0149-2019-0007]</t>
  </si>
  <si>
    <t>Geological Institute of the Russian Academy of Sciences(Russian Academy of Sciences); Institute of Oceanology of the Russian Academy of Sciences</t>
  </si>
  <si>
    <t>This work was fulfilled under state tasks of Geological Institute of the Russian Academy of Sciences (project nos AAAA-A18-118021690110-6, Tectono-Sedimentary Analysis; 0135-2019-0076, Link of Bottom Topography with Bottom Currents), and Institute of Oceanology of the Russian Academy of Sciences (project no. 0149-2019-0007, Paleontological Analysis).</t>
  </si>
  <si>
    <t>10.1134/S0024490220050028</t>
  </si>
  <si>
    <t>WOS:000568830100002</t>
  </si>
  <si>
    <t>Wang, YC; Dou, YK; Guo, JX; Huang, DH</t>
  </si>
  <si>
    <t>Wang, Yuchen; Dou, Yinke; Guo, Jingxue; Huang, Dehong</t>
  </si>
  <si>
    <t>Space Physical Sensor Protection and Control System Based on Neural Network Prediction: Application in Princess Elizabeth Area of Antarctica</t>
  </si>
  <si>
    <t>SENSORS</t>
  </si>
  <si>
    <t>unattended; machine learning; long; and short-term memory; lumped parameter method</t>
  </si>
  <si>
    <t>ALGORITHM; MEMORY</t>
  </si>
  <si>
    <t>In the inland areas of Antarctica, the establishment of an unmanned automatic observation support system is an urgent problem and challenge. This article introduces the development and application of an unmanned control system suitable for inland Antarctica. The system is called RIOD (Remote Control,Image Acquisition,Operation Maintenance, andDocument Management System) for short. At the beginning of this research project, a mathematical model of heat conduction in the surface observation chamber was established, and the control strategy was determined through mathematical relationships and field experiments. Based on the analysis of local meteorological data, various neural network models are compared, and the training model with the smallest error is used to predict the future ambient temperature. Moreover, the future temperature is substituted into the mathematical model of thermal conductivity to obtain the input value of the next input power, to formulate the operation strategy for the system. This method maintains the regular operation of the sensor while reducing energy consumption. The RIOD system has been deployed in the Tai-Shan camp in China's Antarctic inland inspection route. The application results 4.5 months after deployment show that the RIOD system can maintain stable operation at lower temperatures. This technology solves the demand for unmanned high-altitude physical observation or astronomical observation stations in inland areas.</t>
  </si>
  <si>
    <t>[Wang, Yuchen; Dou, Yinke] Taiyuan Univ Technol, Coll Elect &amp; Power Engn, Taiyuan 030024, Peoples R China; [Wang, Yuchen; Guo, Jingxue; Huang, Dehong] Polar Res Inst China, SOA Key Lab Polar Sci, Shanghai 200136, Peoples R China</t>
  </si>
  <si>
    <t>Taiyuan University of Technology; Polar Research Institute of China</t>
  </si>
  <si>
    <t>Dou, YK (corresponding author), Taiyuan Univ Technol, Coll Elect &amp; Power Engn, Taiyuan 030024, Peoples R China.</t>
  </si>
  <si>
    <t>wangyuchen0204@link.tyut.edu.cn; douyk8888cn@126.com; guojingxue@pric.org.cn; huangdehong@pric.org.cn</t>
  </si>
  <si>
    <t>National Key Research and Development Program of China [2018YFB1307504]; National Natural Science Foundation of China [41776199]</t>
  </si>
  <si>
    <t>This research was funded by the National Key Research and Development Program of China grant number 2018YFB1307504 and the National Natural Science Foundation of China, grant number 41776199.</t>
  </si>
  <si>
    <t>1424-8220</t>
  </si>
  <si>
    <t>SENSORS-BASEL</t>
  </si>
  <si>
    <t>Sensors</t>
  </si>
  <si>
    <t>10.3390/s20174662</t>
  </si>
  <si>
    <t>Chemistry, Analytical; Engineering, Electrical &amp; Electronic; Instruments &amp; Instrumentation</t>
  </si>
  <si>
    <t>Chemistry; Engineering; Instruments &amp; Instrumentation</t>
  </si>
  <si>
    <t>NO7KY</t>
  </si>
  <si>
    <t>WOS:000569668300001</t>
  </si>
  <si>
    <t>Hossain, MS; Hashim, M</t>
  </si>
  <si>
    <t>Hossain, Mohammad Shawkat; Hashim, Mazlan</t>
  </si>
  <si>
    <t>MULTITEMPORAL HISTOGRAM MATCHING - A NEW APPROACH OF MOSS AND LICHEN CHANGE DETECTION FROM LANDSAT IN DATA-POOR ANTARCTICA ENVIRONMENTS</t>
  </si>
  <si>
    <t>JURNAL TEKNOLOGI-SCIENCES &amp; ENGINEERING</t>
  </si>
  <si>
    <t>Snow vegetation; multi-temporal; multispectral; Antarctica Peninsula; satellite; climate change</t>
  </si>
  <si>
    <t>ARGENTINE ISLANDS; PENINSULA; ECOSYSTEMS; BIOMASS</t>
  </si>
  <si>
    <t>Mosses and lichens are important components of Antarctic ecosystems. Maps of these vegetation are needed to improve our understanding of ecosystem dynamics. This requires species distribution to be mapped repeatedly over time, a critical task that becomes extremely challenging in data-poor Antarctic regions, where the lack of field data, logistics, coupled with scarcity of cloud free, quality multitemporal Landsat imagery are major intrinsic constraints to time-series analysis for change detection. This study firstly analyzes the spectral curves of moss and lichen generated by field-based spectroradiometer and then proposes an innovative histogram matching technique where historical Landsat data is modified such that its histogram matches that of present (reference) dataset. This has made it possible to mapping multitemporal Landsat data in the Antarctic Peninsula. The results demonstrate an overall accuracy of 90.5%. Mapping of Arctic vegetation facilitated by histogram matching of Landsat image, according to the results, seems to be an advisable image processing technique for application in a data-poor context.</t>
  </si>
  <si>
    <t>[Hossain, Mohammad Shawkat; Hashim, Mazlan] Univ Teknol Malaysia, Utm Johor Bahru 81310, Johor, Malaysia</t>
  </si>
  <si>
    <t>Universiti Teknologi Malaysia</t>
  </si>
  <si>
    <t>Hashim, M (corresponding author), Univ Teknol Malaysia, Utm Johor Bahru 81310, Johor, Malaysia.</t>
  </si>
  <si>
    <t>mazlanhashim@utm.my</t>
  </si>
  <si>
    <t>Hashim, Mazlan/J-7291-2012; Hossain, Mohammad/N-2469-2019</t>
  </si>
  <si>
    <t>Hashim, Mazlan/0000-0001-8284-3332; Hossain, Mohammad/0000-0002-1974-7169</t>
  </si>
  <si>
    <t>UTM GUP Flagship grant</t>
  </si>
  <si>
    <t>This research is fully supported by UTM GUP Flagship grant. The authors also wish to thank various bodies and agencies who have contributed to UTMAntarctica expedition, particularly Malaysia Antarctica Research Centre (MARC) and members.</t>
  </si>
  <si>
    <t>PENERBIT UTM PRESS</t>
  </si>
  <si>
    <t>JOHOR</t>
  </si>
  <si>
    <t>PENERBIT UTM PRESS, SKUDAI, JOHOR, 81310, MALAYSIA</t>
  </si>
  <si>
    <t>0127-9696</t>
  </si>
  <si>
    <t>2180-3722</t>
  </si>
  <si>
    <t>J TEKNOL</t>
  </si>
  <si>
    <t>J. Teknol.-Sci Eng.</t>
  </si>
  <si>
    <t>10.11113/jt.v82.14701</t>
  </si>
  <si>
    <t>NM8SB</t>
  </si>
  <si>
    <t>WOS:000568361500019</t>
  </si>
  <si>
    <t>Cramwinckel, MJ; Woelders, L; Huurdeman, EP; Peterse, F; Gallagher, SJ; Pross, J; Burgess, CE; Reichart, GJ; Sluijs, A; Bijl, PK</t>
  </si>
  <si>
    <t>Cramwinckel, Margot J.; Woelders, Lineke; Huurdeman, Emiel P.; Peterse, Francien; Gallagher, Stephen J.; Pross, Jorg; Burgess, Catherine E.; Reichart, Gert-Jan; Sluijs, Appy; Bijl, Peter K.</t>
  </si>
  <si>
    <t>Surface-circulation change in the southwest Pacific Ocean across the Middle Eocene Climatic Optimum: inferences from dinoflagellate cysts and biomarker paleothermometry</t>
  </si>
  <si>
    <t>ANTARCTIC CIRCUMPOLAR CURRENT; ORGANIC-MATTER PRESERVATION; SOUTHERN-OCEAN; EARLY PALEOGENE; OTWAY BASIN; SEA-LEVEL; PALEOENVIRONMENTAL EVOLUTION; TEMPERATURE EVOLUTION; MARINE PRODUCTIVITY; TERRESTRIAL CLIMATE</t>
  </si>
  <si>
    <t>Global climate cooled from the early Eocene hothouse (similar to 52-50 Ma) to the latest Eocene (similar to 34 Ma). At the same time, the tectonic evolution of the Southern Ocean was characterized by the opening and deepening of circum-Antarctic gateways, which affected both surface- and deep-ocean circulation. The Tasmanian Gateway played a key role in regulating ocean throughflow between Australia and Antarctica. Southern Ocean surface currents through and around the Tasmanian Gateway have left recognizable tracers in the spatiotemporal distribution of plankton fossils, including organic-walled dinoflagellate cysts. This spatiotemporal distribution depends on both the physicochemical properties of the water masses and the path of surface-ocean currents. The extent to which climate and tectonics have influenced the distribution and composition of surface currents and thus fossil assemblages has, however, remained unclear. In particular, the contribution of climate change to oceanographic changes, superimposed on long-term and gradual changes induced by tectonics, is still poorly understood. To disentangle the effects of tectonism and climate in the southwest Pacific Ocean, we target a climatic deviation from the long-term Eocene cooling trend: the Middle Eocene Climatic Optimum (MECO; similar to 40 Ma). This 500 kyr phase of global warming was unrelated to regional tectonism, and thus provides a test case to investigate the ocean's physicochemical response to climate change alone. We reconstruct changes in surface-water circulation and temperature in and around the Tasmanian Gateway during the MECO through new palynological and organic geochemical records from the central Tasmanian Gateway (Ocean Drilling Program Site 1170), the Otway Basin (southeastern Australia), and the Hampden Beach section (New Zealand). Our results confirm that dinocyst communities track specific surface-ocean currents, yet the variability within the communities can be driven by superimposed temperature change. Together with published results from the east of the Tasmanian Gateway, our new results suggest a shift in surface-ocean circulation during the peak of MECO warmth. Simultaneous with high sea-surface temperatures in the Tasmanian Gateway area, pollen assemblages indicate warm temperate rainforests with paratropical elements along the southeastern margin of Australia. Finally, based on new age constraints, we suggest that a regional southeast Australian transgression might have been coincident with the MECO.</t>
  </si>
  <si>
    <t>[Cramwinckel, Margot J.; Woelders, Lineke; Peterse, Francien; Reichart, Gert-Jan; Sluijs, Appy; Bijl, Peter K.] Univ Utrecht, Fac Geosci, Dept Earth Sci, Utrecht, Netherlands; [Huurdeman, Emiel P.; Pross, Jorg] Heidelberg Univ, Inst Earth Sci, Paleoenvironm Dynam Grp, Heidelberg, Germany; [Gallagher, Stephen J.] Univ Melbourne, Sch Earth Sci, Melbourne, Vic, Australia; [Burgess, Catherine E.] Cardiff Univ, Sch Earth &amp; Ocean Sci, Cardiff, Wales; [Reichart, Gert-Jan] NIOZ Royal Netherlands Inst Sea Res, Den Burg, Texel, Netherlands; [Reichart, Gert-Jan] Univ Utrecht, Den Burg, Texel, Netherlands; [Cramwinckel, Margot J.] Univ Southampton, Natl Oceanog Ctr Southampton, Sch Ocean &amp; Earth Sci, Southampton, Hants, England; [Woelders, Lineke] Univ Colorado, Western Water Assessment, Cooperat Inst Res Environm Sci, Boulder, CO 80309 USA; [Burgess, Catherine E.] Shell UK Ltd, Aberdeen, Scotland</t>
  </si>
  <si>
    <t>Utrecht University; Ruprecht Karls University Heidelberg; University of Melbourne; Melbourne Bioinformatics; Cardiff University; Utrecht University; Royal Netherlands Institute for Sea Research (NIOZ); Utrecht University; NERC National Oceanography Centre; University of Southampton; University of Colorado System; University of Colorado Boulder; Royal Dutch Shell</t>
  </si>
  <si>
    <t>Cramwinckel, MJ (corresponding author), Univ Utrecht, Fac Geosci, Dept Earth Sci, Utrecht, Netherlands.;Cramwinckel, MJ (corresponding author), Univ Southampton, Natl Oceanog Ctr Southampton, Sch Ocean &amp; Earth Sci, Southampton, Hants, England.</t>
  </si>
  <si>
    <t>m.j.cramwinckel@soton.ac.uk</t>
  </si>
  <si>
    <t>Gallagher, Stephen/AFL-9448-2022; Peterse, Francien/AAY-1473-2021; Sluijs, Appy/B-3726-2009; Reichart, Gert-Jan/N-6308-2018</t>
  </si>
  <si>
    <t>Gallagher, Stephen/0000-0002-5593-2740; Peterse, Francien/0000-0001-8781-2826; Reichart, Gert-Jan/0000-0002-7256-2243; Cramwinckel, Marlow J./0000-0002-6063-836X</t>
  </si>
  <si>
    <t>Dutch Ministry of Education, Culture and Science; Ammodo Foundation; Netherlands Organisation for Scientific Research (NWO) [834.11.006]; Australian IODP office; ARC Basins Genesis Hub [IH130200012]</t>
  </si>
  <si>
    <t>Dutch Ministry of Education, Culture and Science; Ammodo Foundation; Netherlands Organisation for Scientific Research (NWO)(Netherlands Organization for Scientific Research (NWO)); Australian IODP office; ARC Basins Genesis Hub</t>
  </si>
  <si>
    <t>This work was carried out under the program of the Netherlands Earth System Science Centre (NESSC), financially supported by the Dutch Ministry of Education, Culture and Science. Margot J. Cramwinckel and Appy Sluijs thank the Ammodo Foundation for funding unfettered research of laureate Appy Sluijs. This study was made possible by the Netherlands Organisation for Scientific Research (NWO) (grant no. 834.11.006), which enabled the purchase of the UHPLC-MS system used for GDGT analyses. Funding was provided by the Australian IODP office and the ARC Basins Genesis Hub (IH130200012) to Stephen J. Gallagher.</t>
  </si>
  <si>
    <t>10.5194/cp-16-1667-2020</t>
  </si>
  <si>
    <t>NM0BC</t>
  </si>
  <si>
    <t>WOS:000567769700001</t>
  </si>
  <si>
    <t>Turner, RJ; Reading, AM; King, MA</t>
  </si>
  <si>
    <t>Turner, Ross J.; Reading, Anya M.; King, Matt A.</t>
  </si>
  <si>
    <t>Separation of tectonic and local components of horizontal GPS station velocities: a case study for glacial isostatic adjustment in East Antarctica</t>
  </si>
  <si>
    <t>Glaciology; Plate motions; Satellite geodesy; Antarctica</t>
  </si>
  <si>
    <t>RAPID BEDROCK UPLIFT; SEA-LEVEL CHANGE; KERGUELEN ISLANDS; PLATE; DEFORMATION; MODEL; DEGLACIATION; EVOLUTION; HISTORY; MANTLE</t>
  </si>
  <si>
    <t>Accurate measurement of the local component of geodetic motion at GPS stations presents a challenge due to the need to separate this signal from the tectonic plate rotation. A pressing example is the observation of glacial isostatic adjustment (GIA) which constrains the Earth's response to ice unloading, and hence, contributions of ice-covered regions such as Antarctica to global sea level rise following ice mass loss. While both vertical and horizontal motions are of interest in general, we focus on horizontal GPS velocities which typically contain a large component of plate rotation and a smaller local component primarily relating to GIA. Incomplete separation of these components introduces significant bias into estimates of GIA motion vectors. We present the results of a series of tests based on the motions of GPS stations from East Antarctica: (1) signal separation for sets of synthetic data that replicate the geometric character of non-separable, and separable, GIA-like horizontal velocities; and (2) signal separation for real GPS station data with an appraisal of uncertainties. For both synthetic and real motions, we compare results where the stations are unweighted, and where each station is areal-weighted using a metric representing the inverse of the spatial density of neighbouring stations. From the synthetic tests, we show that a GIA-like signal is recoverable from the plate rotation signal providing it has geometric variability across East Antarctica. We also show that areal-weighting has a very significant effect on the ability to recover a GIA-like signal with geometric variability, and hence on separating the plate rotation and local components. For the real data, assuming a rigid Antarctic plate, fitted plate rotation parameters compare well with other studies in the literature. We find that 25 out of 36 GPS stations examined in Fast Antarctica have non-zero local horizontal velocities, at the 2 sigma level, after signal separation. We make the code for weighted signal separation available to assist in the consistent appraisal of separated signals, and the comparison of likely uncertainty bounds, for future studies.</t>
  </si>
  <si>
    <t>[Turner, Ross J.; Reading, Anya M.] Univ Tasmania, Phys, Private Bag 37, Hobart, Tas 7001, Australia; [Reading, Anya M.] Univ Tasmania, Inst Marine &amp; Antarctic Studies, Private Bag 129, Hobart, Tas 7001, Australia; [King, Matt A.] Univ Tasmania, Geog &amp; Spatial Sci, Private Bag 38, Hobart, Tas 7001, Australia</t>
  </si>
  <si>
    <t>University of Tasmania; University of Tasmania; University of Tasmania</t>
  </si>
  <si>
    <t>Turner, RJ (corresponding author), Univ Tasmania, Phys, Private Bag 37, Hobart, Tas 7001, Australia.</t>
  </si>
  <si>
    <t>turner.rj@icloud.com</t>
  </si>
  <si>
    <t>Reading, Anya M/E-6728-2012; Turner, Ross/JPL-4110-2023; King, Matt/B-4622-2008</t>
  </si>
  <si>
    <t>Reading, Anya M/0000-0002-9316-7605; Turner, Ross/0000-0002-4376-5455; King, Matt/0000-0001-5611-9498</t>
  </si>
  <si>
    <t>Australian Research Council's Special Research Initiative for Antarctic Gateway Partnership [SR140300001]; Australian Research Council's Discovery Project [DP170100224]; Department of Environment and Energy Australian Antarctic Science Program [4318]</t>
  </si>
  <si>
    <t>Australian Research Council's Special Research Initiative for Antarctic Gateway Partnership(Australian Research Council); Australian Research Council's Discovery Project(Australian Research Council); Department of Environment and Energy Australian Antarctic Science Program</t>
  </si>
  <si>
    <t>This research was supported under Australian Research Council's Special Research Initiative for Antarctic Gateway Partnership (project ID SR140300001), Discovery Project DP170100224 and by Department of Environment and Energy Australian Antarctic Science Program grant 4318. We thank Pippa Whitehouse for providing GIA model output andNASA JPL formakingGIPSY and associated orbit products available. We further thank Duncan Agnew, Jeffrey Freymueller and an anonymous reviewer for their helpful and constructive feedback that has improved this manuscript.</t>
  </si>
  <si>
    <t>10.1093/gji/ggaa265</t>
  </si>
  <si>
    <t>NJ2RR</t>
  </si>
  <si>
    <t>WOS:000565895200006</t>
  </si>
  <si>
    <t>Cruz-Motta, JJ; Miloslavich, P; Guerra-Castro, E; Hernandez-Agreda, A; Herrera, C; Barros, F; Navarrete, SA; Sepulveda, RD; Glasby, TM; Bigatti, G; Cardenas-Calle, M; Carneiro, PBM; Carranza, A; Flores, AAV; Gil-Kodaka, P; Gobin, J; Gutierrez, JL; Klein, E; Krull, M; Lazarus, JF; Londono-Cruz, E; Lotufo, T; Macaya, EC; Mora, C; Mora, E; Palomo, G; Parrague, M; Pellizzari, F; Retamales, R; Rocha, RM; Romero, L</t>
  </si>
  <si>
    <t>Cruz-Motta, Juan J.; Miloslavich, Patricia; Guerra-Castro, Edlin; Hernandez-Agreda, Alejandra; Herrera, Cesar; Barros, Francisco; Navarrete, Sergio A.; Sepulveda, Roger D.; Glasby, Tim M.; Bigatti, Gregorio; Cardenas-Calle, Maritza; Carneiro, Pedro B. M.; Carranza, Alvar; Flores, Augusto A. V.; Gil-Kodaka, Patricia; Gobin, Judith; Gutierrez, Jorge L.; Klein, Eduardo; Krull, Marcos; Lazarus, Juan F.; Londono-Cruz, Edgardo; Lotufo, Tito; Macaya, Erasmo C.; Mora, Camilo; Mora, Elba; Palomo, Gabriela; Parrague, Mirtala; Pellizzari, Franciane; Retamales, Roberto; Rocha, Rosana M.; Romero, Leonardo</t>
  </si>
  <si>
    <t>Latitudinal patterns of species diversity on South American rocky shores: Local processes lead to contrasting trends in regional and local species diversity</t>
  </si>
  <si>
    <t>intertidal rocky shores; latitudinal diversity gradient; Macroecology; Southeast Pacific; Southern Caribbean; Southwestern Atlantic; spatial scales; species diversity</t>
  </si>
  <si>
    <t>TAXONOMIC DISTINCTNESS; GEOGRAPHIC PATTERNS; BETA DIVERSITY; LARGE-SCALE; MARINE; BIODIVERSITY; GRADIENTS; RICHNESS; ECOLOGY; BIOGEOGRAPHY</t>
  </si>
  <si>
    <t>Aim We evaluated whether patterns of species diversity (alpha, beta and gamma) of rocky shore assemblages followed latitudinal gradients (i.e. LDGs) along the South American coasts, and tested hypotheses related to potential processes sustaining or disrupting the expected LDG pattern at various spatial scales. Location Coasts of South America. Taxon Macroalgae and sessile/slow-moving macrofauna on intertidal rocky shores. Methods We evaluated changes in species composition across 143 sites. The degree of replacement and loss of species at different spatial scales (i.e. coasts, regions and sites) were estimated to help distinguish among ecological, historical and evolutionary hypotheses for explaining LDGs. Furthermore, components of diversity and taxonomic distinctness were measured, and variability in these measures was decomposed using analysis of covariance. Finally, we examined relationships between diversity and a suite of environmental and anthropogenic variables to identify potential mechanisms that may be responsible for the reported spatial relationships. Results Species composition varied with latitude, and this variability was relatively consistent on both coasts. At all spatial scales, replacement of species was the dominant phenomenon (&gt;95%), rather than loss in the total number of species (&lt;5%). LDGs were strongly dependent on the diversity component and the spatial scale: generally, positive for regional beta-diversity, negative for alpha-diversity and site beta-diversity. Sea surface temperature (SST) was the variable that best explained patterns of diversity along both coasts (14%-22%), but other regional and local environmental variables associated with river discharges, upwelling, confluence of currents, tides and anthropogenic pressures also accounted for an important portion of variation (5%-14% each). Main conclusions Species diversity of South American rocky shores followed, with interruptions, LDGs. The trend of those LDGs, however, depended on the scale and metric used to describe diversity. It is proposed that patterns of LDGs at various scales are not the result of a single overarching process but are strongly influenced by local and regional processes. Although the most evident environmental gradient was the decrease in SST towards the south, it was demonstrated that regional and local environmental variables were also important for understanding the increase in regional beta-diversity towards the tropics.</t>
  </si>
  <si>
    <t>[Cruz-Motta, Juan J.] Univ Puerto Rico, Dept Marine Sci, Mayaguez, PR 00709 USA; [Miloslavich, Patricia] Univ Tasmania, Inst Marine Antarctic Studies, Hobart, Tas, Australia; [Miloslavich, Patricia; Klein, Eduardo] Univ Simon Bolivar, Dept Estudios Ambientales, Caracas, Venezuela; [Guerra-Castro, Edlin] Univ Nacl Autonoma Mexico Puerto Abrigo, Fac Ciencias, Unidad Multidisciplinaria Docencia &amp; Invest Sisal, CONACYT, Sisal, Mexico City, Mexico; [Guerra-Castro, Edlin] Univers Nacl Autonoma Mex, Unidad Merida, Escuela Nacl Estudios Super, Merida, Yucatan, Mexico; [Hernandez-Agreda, Alejandra] James Cook Univ, ARC Ctr Excellence Coral Reef Studies, Townsville, Qld, Australia; [Hernandez-Agreda, Alejandra] James Cook Univ, Coll Publ Hlth Med &amp; Vet Sci, Townsville, Qld, Australia; [Herrera, Cesar] James Cook Univ, Ctr Trop Water &amp; Aqut Ecosyst Res, TropWATER, Townsville, Qld, Australia; [Herrera, Cesar] James Cook Univ, Coll Sci &amp; Engn, Townsville, Qld, Australia; [Barros, Francisco; Krull, Marcos] Univ Fed Bahia, LEB, Inst Biol, Ondina, Brazil; [Navarrete, Sergio A.; Parrague, Mirtala] Univ Catolica Chile, Estn Costera Invest Marinas, LincGlobal, Las Cruces, Chile; [Navarrete, Sergio A.; Parrague, Mirtala] Univ Catolica Chile, Ctr Marine Conservat, LincGlobal, Las Cruces, Chile; [Sepulveda, Roger D.] Ctr Ecol Genet Ambiental SPA ECOGEN, Concepcion, Chile; [Glasby, Tim M.] Port Stephens Fisheries Inst, New South Wales Dept Primary Industries, Port Stephens, NSW, Australia; [Bigatti, Gregorio] Consejo Nacl Invest Cient &amp; Tecn, Inst Biol Organismos Marinos, Puerto Madryn, Argentina; [Bigatti, Gregorio] Univ Espiritu Santo, Escuela Ciencias Ambientales, Guayaquil, Ecuador; [Cardenas-Calle, Maritza] Univ Guayaquil, Fac Ingn Quim, Guayaquil, Ecuador; [Carneiro, Pedro B. M.] Univ Fed Ceara, Inst Ciencias Mar, Fortaleza, Ceara, Brazil; [Carranza, Alvar] Univ Republica, Ctr Univ Reg Este, Montevideo, Uruguay; [Flores, Augusto A. V.] Univ Sao Paulo, Ctr Marine Biol, Sao Paulo, Brazil; [Gil-Kodaka, Patricia] Univ Nacl Agr Molina, Fac Pesqueria, Lima, Peru; [Gobin, Judith] Univ West Indies, St Augustine Campus, St Augustine, Trinidad Tobago; [Gutierrez, Jorge L.] Grp Invest &amp; Educ Temas Ambientales GrIETA, Mar Del Plata, Argentina; [Gutierrez, Jorge L.] Univ Nacl Mar Plata, IGCyC, CIC, Fac Ciencias Exactas &amp; Nat, Buenos Aires, DF, Argentina; [Gutierrez, Jorge L.] Univ Nacl Mar Plata, IIMyC, CONICET, Buenos Aires, DF, Argentina; [Lazarus, Juan F.; Londono-Cruz, Edgardo] Univ Valle, Dept Biol, Grp Invest Ecosistemas Rocosos Intermareales &amp; Su, Cali, Colombia; [Lotufo, Tito] Univ Sao Paulo, Inst Oceanog, Sao Paulo, Brazil; [Macaya, Erasmo C.] Univ Concepcion, Dept Oceanog, Lab Estudios Algales ALGALAB, Concepcion, Chile; [Macaya, Erasmo C.] Ctr FONDAP Invest Dinam Ecosistemas Marinos Altas, Punta Arenas, Chile; [Mora, Camilo] Univ Hawaii Manoa, Dept Geog, Honolulu, HI 96822 USA; [Cardenas-Calle, Maritza; Mora, Elba] Bioelite, Div Ambiental, Guayaquil, Ecuador; [Mora, Elba] Univ Guayaquil, Fac Ciencias Nat, Guayaquil, Ecuador; [Palomo, Gabriela] Museo Argentino Ciencias Nat Bernardino Rivadavia, Buenos Aires, DF, Argentina; [Pellizzari, Franciane] Parana State Univ, Dept Biol Sci, Paranagua, Brazil; [Retamales, Roberto] Univ Tecn Manabi, Bahia De Caraquez, Ecuador; [Rocha, Rosana M.] Univ Fed Parana, Zool Dept, Curitiba, Parana, Brazil; [Romero, Leonardo] Univ Nacl Mayor San Marcos, Fac Ciencias Biol, Grp Invest BIOTINV, Lima, Peru</t>
  </si>
  <si>
    <t>University of Puerto Rico; University of Puerto Rico Mayaguez; University of Tasmania; Simon Bolivar University; Universidad Nacional Autonoma de Mexico; James Cook University; James Cook University; James Cook University; James Cook University; Universidade Federal da Bahia; Universidad Catolica del Norte; Universidad Catolica del Norte; NSW Department of Primary Industries; Consejo Nacional de Investigaciones Cientificas y Tecnicas (CONICET); Universidad de Especialidades Espiritu Santo; Universidade Federal do Ceara; Universidad de la Republica, Uruguay; Universidade de Sao Paulo; University Nacional Agraria La Molina; University West Indies Mona Jamaica; University West Indies Saint Augustine; National University of Mar del Plata; Consejo Nacional de Investigaciones Cientificas y Tecnicas (CONICET); National University of Mar del Plata; Universidad del Valle; Universidade de Sao Paulo; Universidad de Concepcion; University of Hawaii System; University of Hawaii Manoa; Museo Argentino de Ciencias Naturales Bernardino Rivadavia (MACN); Universidad Tecnica de Manabi; Universidade Federal do Parana; Universidad Nacional Mayor de San Marcos</t>
  </si>
  <si>
    <t>Cruz-Motta, JJ (corresponding author), Univ Puerto Rico, Dept Marine Sci, Mayaguez, PR 00709 USA.</t>
  </si>
  <si>
    <t>juan.cruz13@upr.edu</t>
  </si>
  <si>
    <t>Gutiérrez, Jorge/AAY-8940-2021; Glasby, Tim/AGR-1689-2022; Herrera, César/IUN-0501-2023; Carranza, Alvar/J-8270-2019; Krull, Marcos/E-1353-2014; Pellizzari, Franciane M./JLL-6907-2023; Navarrete, Sergio A/D-4645-2013; Herrera R, César A/ISV-2438-2023; Krull, Marcos/ABB-6446-2020; Lotufo, Tito M. C./E-7836-2011; Herrera, César/AAI-3001-2021; Guerra-Castro, Edlin/E-3639-2014; Romero, Leonardo/IAQ-1542-2023; Lazarus, Juan Felipe/AAD-4999-2022; Macaya, Erasmo C/B-8651-2011; Calle, Maritza Cárdenas/AAV-4463-2021; Barros, Francisco/A-3545-2008; Rocha, Rosana M./H-7989-2012; Flores, Augusto A. V./B-7092-2011; Carneiro, Pedro/Q-2439-2018; Romero, Leonardo/J-5157-2015</t>
  </si>
  <si>
    <t>Glasby, Tim/0000-0001-5011-7731; Herrera, César/0000-0003-0307-6724; Carranza, Alvar/0000-0003-3016-7955; Lotufo, Tito M. C./0000-0003-3630-1342; Herrera, César/0000-0003-0307-6724; Guerra-Castro, Edlin/0000-0003-3529-4507; Lazarus, Juan Felipe/0000-0003-2121-3569; Barros, Francisco/0000-0002-3037-1991; Rocha, Rosana M./0000-0001-6712-7960; Parrague, Mirtala/0000-0002-7899-3263; Londono-Cruz, Edgardo/0000-0001-5762-9430; Flores, Augusto A. V./0000-0001-9347-8860; Gutierrez, Jorge/0000-0003-2914-9274; Palomo, Maria Gabriela/0000-0002-9102-1282; Carneiro, Pedro/0000-0002-4577-3803; Cardenas-Calle, Maritza/0000-0001-5237-9137; BIGATTI, GREGORIO/0000-0001-7053-6802; Hernandez-Agreda, Alejandra/0000-0001-9033-8272; Navarrete, Sergio Andres/0000-0003-4021-3863; Krull, Marcos/0000-0002-1586-7454; Romero, Leonardo/0000-0003-1615-4760; Sepulveda, Roger D./0000-0003-0226-5662; Cruz Motta, Juan Jose/0000-0001-6117-9014</t>
  </si>
  <si>
    <t>10.1111/jbi.13869</t>
  </si>
  <si>
    <t>NK2HE</t>
  </si>
  <si>
    <t>WOS:000566557200011</t>
  </si>
  <si>
    <t>Tasistro-Hart, A; Maloof, A; Schoene, B; Eddy, MP</t>
  </si>
  <si>
    <t>Tasistro-Hart, Adrian; Maloof, Adam; Schoene, Blair; Eddy, Michael P.</t>
  </si>
  <si>
    <t>Astronomically forced hydrology of the Late Cretaceous sub-tropical Potosi Basin, Bolivia</t>
  </si>
  <si>
    <t>GEOLOGICAL SOCIETY OF AMERICA BULLETIN</t>
  </si>
  <si>
    <t>MAJOR GLACIATION CYCLES; PALAEO-ANDEAN BASIN; WESTERN INTERIOR; BASQUE COUNTRY; EARLY TERTIARY; SOUTH-AMERICA; ICE; CLIMATE; CYCLOSTRATIGRAPHY; CHRONOLOGY</t>
  </si>
  <si>
    <t>Periodic variations in Earth's orbital parameters force climate on local and global scales, with global responses particularly sensitive to the presence of ice sheets and their associated feedbacks. Therefore, determining whether orbital forcings influenced sedimentary records of the past, and if so, which had such an effect, can shed light on Earth's climate sensitivity and global ice volume. To this end, we present a field- and drone-based cyclostratigraphy of the predominantly lacustrine El Molino Formation of the Late Cretaceous-Early Paleogene Potosi Basin in present day Bolivia, which contains carbonate mud parasequences that record fluctuating hydrological conditions, including ephemeral marine connections, from 73 Ma to 64 Ma. We introduce a novel methodology for incorporating drone imagery into a quantitative, three-dimensional stratigraphic model that generates an upward-younging quantity comparable to stratigraphic height, and we find that our model outperforms our own field measurements of stratigraphic height. We project drone imagery at two sites into the stratigraphic model to construct time series of outcrop color, which vary systematically with facies and track basin water depth. Spectral analysis of these time series reveals sedimentary periodicities corresponding to short eccentricity, precession, and semi-precession, which are corroborated with measurements of magnetic susceptibility from mudstones. We generate independent age models at both study areas from four new U-Pb chemical abrasion-isotope dilution-thermal ionization mass spectrometry (CA-ID-TIMS) ages, which are consistent with an orbital interpretation for observed sedimentary periodicities. Importantly, we observe the presence of obliquity-scale periodicity in sedimentation during a period of marine connection, suggesting that sea level oscillations were driven by obliquity. This observation is consistent with previous claims about the presence of a small, orbitally forced Antarctic ice sheet during the latest Cretaceous.</t>
  </si>
  <si>
    <t>[Tasistro-Hart, Adrian] Univ Calif Santa Barbara, Dept Earth Sci, Santa Barbara, CA 93106 USA; [Tasistro-Hart, Adrian; Maloof, Adam; Schoene, Blair; Eddy, Michael P.] Princeton Univ, Dept Geosci, Princeton, NJ 08544 USA</t>
  </si>
  <si>
    <t>University of California System; University of California Santa Barbara; Princeton University</t>
  </si>
  <si>
    <t>Tasistro-Hart, A (corresponding author), Univ Calif Santa Barbara, Dept Earth Sci, Santa Barbara, CA 93106 USA.;Tasistro-Hart, A (corresponding author), Princeton Univ, Dept Geosci, Princeton, NJ 08544 USA.</t>
  </si>
  <si>
    <t>adrianraph@gmail.com</t>
  </si>
  <si>
    <t>Schoene, Blair/C-3281-2014</t>
  </si>
  <si>
    <t>Schoene, Blair/0000-0001-7092-8590; Tasistro-Hart, Adrian/0000-0002-6375-4454; Eddy, Michael/0000-0003-0907-5108</t>
  </si>
  <si>
    <t>Princeton Department of Geosciences; Smith-Newton Scholarship from the Princeton Environmental Institute</t>
  </si>
  <si>
    <t>This work was supported by funding from the Princeton Department of Geosciences as well as the Smith-Newton Scholarship from the Princeton Environmental Institute. Field work was made possible by support from Arturo Echalar, Ricardo Carita, and Carlos Apaza of the Bolivian Instituto Geografico Militar. Many thanks to Benjamin Tasistro-Hart, Josh Murray, Joanna Zhang, and Hope Lorah for assistance in the field, as well as to Ona Underwood for data collection.</t>
  </si>
  <si>
    <t>GEOLOGICAL SOC AMER, INC</t>
  </si>
  <si>
    <t>BOULDER</t>
  </si>
  <si>
    <t>PO BOX 9140, BOULDER, CO 80301-9140 USA</t>
  </si>
  <si>
    <t>0016-7606</t>
  </si>
  <si>
    <t>1943-2674</t>
  </si>
  <si>
    <t>GEOL SOC AM BULL</t>
  </si>
  <si>
    <t>Geol. Soc. Am. Bull.</t>
  </si>
  <si>
    <t>9-10</t>
  </si>
  <si>
    <t>10.1130/B35189.1</t>
  </si>
  <si>
    <t>NJ0SM</t>
  </si>
  <si>
    <t>WOS:000565754100009</t>
  </si>
  <si>
    <t>Alvarez, MJ; del Río, CJ</t>
  </si>
  <si>
    <t>Alvarez, Maximiliano Jorge; del Rio, Claudia Julia</t>
  </si>
  <si>
    <t>Phylogeny of the Eocene Antarctic Tapetinae Gray, 1851 (Bivalvia, Veneridae) from the La Meseta and Submeseta formations</t>
  </si>
  <si>
    <t>RETROTAPES DEL-RIO; JAMES-ROSS-BASIN; SEYMOUR ISLAND; GENUS RETROTAPES</t>
  </si>
  <si>
    <t>Systematic analysis shows that the Southern Hemisphere bivalve genusRetrotapesincludes the Antarctic speciesR.antarcticus,R.newtoni, andR.robustusand recognizes for the first time the presence ofKatelysiarepresented byK.florentinoi. Two new genera were erected in this study:Marciachlysnew genus to includeM.inflatanew combination, andAdelfianew genus, which includesA.austrolissanew combination andA.omeganew species from the Eocene of Antarctica, and the late Eocene ChileanA.arenosanew combination.Eurhomalea carlosiwas synonymized withK.florentinoi;Cyclorismina marwickiwithR.antarcticus; Gomphina iheringiwas considered an indeterminate species; andCockburnia lunuliferawas excluded from the Tapetinae. These systematic assignments are supported by a phylogenetic analysis, which recognizes an Austral clade of Tapetinae, comprising all the genera mentioned above, along withMarcia,Paleomarcia,Atamarcia, andProtapes. UUID:http://zoobank.org/a8c91a9f-99ec-4235-8416-d398771a3eb2</t>
  </si>
  <si>
    <t>[Alvarez, Maximiliano Jorge; del Rio, Claudia Julia] Museo Argentino Ciencias Nat Bernardino Rivadavia, Angel Gallardo 470, RA-1405 Buenos Aires, DF, Argentina</t>
  </si>
  <si>
    <t>Museo Argentino de Ciencias Naturales Bernardino Rivadavia (MACN)</t>
  </si>
  <si>
    <t>Alvarez, MJ (corresponding author), Museo Argentino Ciencias Nat Bernardino Rivadavia, Angel Gallardo 470, RA-1405 Buenos Aires, DF, Argentina.</t>
  </si>
  <si>
    <t>maxialvarez82@gmail.com; claudiajdelrio@gmail.com</t>
  </si>
  <si>
    <t>Alvarez, Maximiliano Jorge/0000-0002-6435-8648</t>
  </si>
  <si>
    <t>CONICET; Instituto Antartico Argentino (IAA); ANPCyT [PICT 57]</t>
  </si>
  <si>
    <t>CONICET(Consejo Nacional de Investigaciones Cientificas y Tecnicas (CONICET)); Instituto Antartico Argentino (IAA); ANPCyT(ANPCyT)</t>
  </si>
  <si>
    <t>The authors especially thank S.A. Marenssi and S. Santillana, as well as the team of Geomarambio, for their assistance during the organization and subsequent realization of the 2014 field trip dispensed to MJA. The authors are indebted to the curators who facilitated access to paleontological and biological collections: M. Longobucco (MACN-Pi and exCIRGEO-PI), A. Tablado and M. Romanelli (MACN-In), M. Tanuz (CPBA), C. Amenabar (IAA-Pi), A. Riccardi (MLP), and C. Salazar and S. Soto (SGO.PI). We also thank everyone who sent us photographs: A. Salvador (NHMUK), G. Dietl (PRI), C. Franzen-Bengtson and J. Hagstrom (PZ-NRM Mo), S. Hannam (AM), M. Binnie (SAM), J. Gerber (FMNH), T. Schiotte (ZMUC-BIV), and J. Trausel and F. Slieker (NMR). The authors would like to thank R. Pujana (MACN), C. Greppi (MACN), and M. Minana (MACN) for their assistance in making the cuts of the new materials, O. Lehmann (MACN) for the script for multiple implied weighting searching, and M.B. von Baczko and L. Tanoni for the improvement of language. We especially thank A. Beu and an anonymous reviewer for their helpful comments and suggestions as reviewers, and to J. Jin for his suggestions as editor that improved this work. The use of TNT software is facilitated by the Willi Hennig Society. CONICET is acknowledged for the post-graduate grant given to MJA. The participation of MJA in the 2014 field trip was financially supported by the Instituto Antartico Argentino (IAA). This research was also supported by ANPCyT-PICT 57.</t>
  </si>
  <si>
    <t>PII S002233602000030X</t>
  </si>
  <si>
    <t>10.1017/jpa.2020.30</t>
  </si>
  <si>
    <t>NC7BU</t>
  </si>
  <si>
    <t>WOS:000561371500001</t>
  </si>
  <si>
    <t>Valdor, PF; Gómez, AG; Steinberg, P; Tanner, E; Knights, AM; Seitz, RD; Airoldi, L; Firth, LB; Arvanitidis, C; Ponti, M; Chatzinikolaou, E; Brooks, PR; Crowe, TP; Smith, A; Méndez, G; Ovejero, A; Soares-Gomes, A; Burt, JA; MacLeod, C; Juanes, JA</t>
  </si>
  <si>
    <t>Valdor, Paloma F.; Gomez, Aina G.; Steinberg, Peter; Tanner, Edwina; Knights, Antony M.; Seitz, Rochelle D.; Airoldi, Laura; Firth, Louise B.; Arvanitidis, Christos; Ponti, Massimo; Chatzinikolaou, Eva; Brooks, Paul R.; Crowe, Tasman P.; Smith, Alison; Mendez, Gonzalo; Ovejero, Aida; Soares-Gomes, Abilio; Burt, John A.; MacLeod, Catriona; Juanes, Jose A.</t>
  </si>
  <si>
    <t>A global approach to mapping the environmental risk of harbours on aquatic systems</t>
  </si>
  <si>
    <t>Environmental risk assessment; Global atlas; Pressure-state-response model; Harbour aquatic systems; Harbour management; Sustainable development</t>
  </si>
  <si>
    <t>WATER-QUALITY; POLLUTION; SUSCEPTIBILITY; IDENTIFICATION; MANAGEMENT; HEALTH; IMPACT; ATLAS; AREAS</t>
  </si>
  <si>
    <t>The goal of this paper is to propose a screening method for assessing the environmental risk to aquatic systems in harbours worldwide. A semi-quantitative method is based on environmental pressures, environmental conditions and societal response. The method is flexible enough to be applied to 15 harbours globally distributed through a multinational test using standardised and homogenised open data that can be obtained for any port worldwide. The method emerges as a useful approach towards the foundation of a global environmental risk atlas of harbours that should guide the harbour sector to develop a more globally informed strategy of sustainable development.</t>
  </si>
  <si>
    <t>[Valdor, Paloma F.; Gomez, Aina G.; Juanes, Jose A.] IHCantabria Inst Hidraul Ambiental Univ Cantabria, Avda Isabel Torres 15,Parque Cient &amp; Tecnol, Santander 39011, Spain; [Steinberg, Peter; Tanner, Edwina] Sydney Inst Marine Sci, 19 Chowder Bay Rd, Mosman, NSW 2088, Australia; [Steinberg, Peter] Univ New South Wales Sydney, Sch BEES, Sydney, NSW 20152, Australia; [Knights, Antony M.; Firth, Louise B.] Univ Plymouth, Sch Biol &amp; Marine Sci, Plymouth, Devon, England; [Seitz, Rochelle D.; Smith, Alison] William &amp; Mary, Virginia Inst Marine Sci, Gloucester Point, VA USA; [Airoldi, Laura; Ponti, Massimo] Univ Bologna, Dept Biol Geol &amp; Environm Sci, UO CoNISMa, Via S Alberto 163, I-48123 Ravenna, Italy; [Airoldi, Laura; Ponti, Massimo] Univ Bologna, Interdept Res Ctr Environm Sci, UO CoNISMa, Via S Alberto 163, I-48123 Ravenna, Italy; [Arvanitidis, Christos; Chatzinikolaou, Eva] Biotechnol &amp; Aquaculture Hellen Ctr Marine Res, Inst Marine Biol, Athens, Greece; [Brooks, Paul R.; Crowe, Tasman P.] Univ Coll Dublin, UCD Earth Inst, Dublin, Ireland; [Brooks, Paul R.; Crowe, Tasman P.] Univ Coll Dublin, Sch Biol &amp; Environm Sci, Dublin, Ireland; [Mendez, Gonzalo; Ovejero, Aida] Univ Vigo, UNESCO Chair Sustainable Coastal Zone Management, Vigo, Spain; [Soares-Gomes, Abilio] Fed Fluminense Univ, Marine Biol Dept, Sediment Ecol Lab, Rio De Janeiro, Brazil; [Burt, John A.] New York Univ Abu Dhabi, Ctr Genom &amp; Syst Biol, Abu Dhabi, U Arab Emirates; [MacLeod, Catriona] Univ Tasmania, Inst Marine &amp; Antarctic Studies IMAS, Hobart, Tas, Australia; [Gomez, Aina G.] Balearic Isl Coastal Observing &amp; Forecasting Syst, Parc Bit,Bloc A 2 3p, Palma De Mallorca 07121, Spain</t>
  </si>
  <si>
    <t>Universidad de Cantabria; IHCantabria - Instituto de Hidraulica Ambiental de la Universidad de Cantabria; Sydney Institute of Marine Science; University of New South Wales Sydney; University of Plymouth; William &amp; Mary; Virginia Institute of Marine Science; University of Bologna; University of Bologna; University College Dublin; University College Dublin; Universidade de Vigo; Universidade Federal Fluminense; New York University Abu Dhabi; University of Tasmania</t>
  </si>
  <si>
    <t>Juanes, JA (corresponding author), IHCantabria Inst Hidraul Ambiental Univ Cantabria, Avda Isabel Torres 15,Parque Cient &amp; Tecnol, Santander 39011, Spain.</t>
  </si>
  <si>
    <t>juanesj@unican.es</t>
  </si>
  <si>
    <t>Valdor, Paloma F/V-4650-2017; Ponti, Massimo/R-3093-2016; Arvanitidis, Christos/J-1540-2016; Méndez-Martínez, Gonzalo/F-8931-2016; Smith, Alison/JCF-2668-2023; Airoldi, Laura/I-3553-2019; Ovejero, Aida/ABF-7661-2020; F. Valdor, Paloma/D-6219-2011; Gomez, Aina G./H-3086-2015; Macleod, Catriona/J-7176-2014; JUANES, JOSE A/O-2578-2013</t>
  </si>
  <si>
    <t>Ponti, Massimo/0000-0002-6521-1330; Méndez-Martínez, Gonzalo/0000-0002-6929-3644; Airoldi, Laura/0000-0001-5046-0871; Ovejero, Aida/0000-0003-0781-6574; Knights, Antony/0000-0002-0916-3469; Burt, John/0000-0001-6087-6424; F. Valdor, Paloma/0000-0001-9986-3890; Brooks, Paul/0000-0002-8105-0813; Steinberg, Peter/0000-0002-1781-0726; Gomez, Aina G./0000-0003-2923-169X; Macleod, Catriona/0000-0002-0539-6361; Seitz, Rochelle/0000-0001-8044-7424; JUANES, JOSE A/0000-0003-1825-2858</t>
  </si>
  <si>
    <t>World Harbour Project; Ian Potter Foundation; NSW State Government; SIMS Foundation</t>
  </si>
  <si>
    <t>In Memoriam of Professor Jos.e Antonio Revilla Cortez.on (Pepe), former leader of the Environmental Management Group of the University of Cantabria. This work was supported by the World Harbour Project (www.worl dharbourproject.org) and its supporters, including The Ian Potter Foundation, the NSW State Government and the SIMS Foundation. Authors would like to thank all the harbour managers worldwide who provided their time to complete the forms to gather relevant information for this study.</t>
  </si>
  <si>
    <t>10.1016/j.marpol.2020.104051</t>
  </si>
  <si>
    <t>NH5CX</t>
  </si>
  <si>
    <t>WOS:000564689000002</t>
  </si>
  <si>
    <t>Dong, YY; Zhao, Y; Zhai, JQ; Zhao, JS; Han, JY; Wang, QM; He, GH; Chang, HY</t>
  </si>
  <si>
    <t>Dong, Yiyang; Zhao, Yong; Zhai, Jiaqi; Zhao, Jianshi; Han, Jingyan; Wang, Qingming; He, Guohua; Chang, Huanyu</t>
  </si>
  <si>
    <t>Changes in reference evapotranspiration over the non-monsoon region of China during 1961-2017: Relationships with atmospheric circulation and attributions</t>
  </si>
  <si>
    <t>atmospheric circulation; attribution analysis; climate change; decadal variability; reference evapotranspiration</t>
  </si>
  <si>
    <t>REFERENCE CROP EVAPOTRANSPIRATION; SURFACE WIND-SPEED; YELLOW-RIVER BASIN; POTENTIAL EVAPOTRANSPIRATION; PAN-EVAPORATION; CLIMATE-CHANGE; TEMPORAL VARIATIONS; DRIVING FACTORS; ARID REGION; TRENDS</t>
  </si>
  <si>
    <t>Reference evapotranspiration (ET0) is an essential component of the hydrological cycle and is crucial to water resources management and assessment. Spatiotemporal variations in ET(0)and their attribution to five climatic variables (maximum and minimum air temperatures, solar radiation, vapour pressure, and wind speed) were estimated for the non-monsoon region of China from 1961-2017 meteorological data by using the Penman-Monteith equation and the partial-differential method. The association between ET(0)and atmospheric circulation patterns was explored by applying Pearson's correlation analysis. The annual ET(0)series had two earlier shift points, the first showing a significant increase from 1961 to 1973 (period I) and the second showing a significant decrease from 1974 to 1994 (period II). ET(0)has significantly increased again since 1994 (period III). Wind speed has been the dominant contributing factor to ET(0)followed by maximum air temperature during all three periods, but the contribution gap between minimum and maximum air temperatures is narrowing. ET(0)has been strongly correlated with eight selected teleconnection indices in some regions, but the locations and spatial extents have varied considerably for different indices. Eight relationships with ET(0)were divided into four groups: North Atlantic Oscillation and Arctic Oscillation (mainly the northwest non-monsoon region), Pacific North American Index and Pacific Decadal Oscillation (mainly the northern non-monsoon region), Antarctic Oscillation and Atlantic Multidecadal Oscillation (mainly the Hexi Corridor and the southern Xinjiang), and East Asian Summer Monsoon Index and South China Sea Summer Monsoon Index (mainly the southeast non-monsoon region). The Antarctic Oscillation, Atlantic Multidecadal Oscillation, and South China Sea Summer Monsoon Index indicated more potential for predicting ET0. When we used Pearson's correlation analysis to analyse the relationship between atmospheric circulation and the dominant factors affecting ET0, we found that the circulation patterns are likely to affect the variation in ET(0)by influencing the dominant climatic variables.</t>
  </si>
  <si>
    <t>[Dong, Yiyang; Zhao, Jianshi; Han, Jingyan; Chang, Huanyu] Tsinghua Univ, Dept Hydraul Engn, Beijing, Peoples R China; [Dong, Yiyang; Zhao, Yong; Zhai, Jiaqi; Han, Jingyan; Wang, Qingming; He, Guohua; Chang, Huanyu] China Inst Water Resources &amp; Hydropower Res, State Key Lab Simulat &amp; Regulat Water Cycle River, Yuyuantan South Rd 1, Beijing 100038, Peoples R China</t>
  </si>
  <si>
    <t>Tsinghua University; China Institute of Water Resources &amp; Hydropower Research</t>
  </si>
  <si>
    <t>Zhao, Y (corresponding author), China Inst Water Resources &amp; Hydropower Res, State Key Lab Simulat &amp; Regulat Water Cycle River, Yuyuantan South Rd 1, Beijing 100038, Peoples R China.</t>
  </si>
  <si>
    <t>zhaoyong@iwhr.com</t>
  </si>
  <si>
    <t>han, jingyan/HJG-6568-2022; Zhao, Jianshi/AGP-0072-2022; Zhao, Jianshi/J-6962-2017</t>
  </si>
  <si>
    <t>han, jingyan/0000-0001-9893-2575; Dong, Yiyang/0000-0003-4610-4609; Qingming, Wang/0000-0002-6421-7060; Zhao, Jianshi/0000-0001-9789-8555</t>
  </si>
  <si>
    <t>Ministry of Science and Technology of China [2016YFE0102400]; National key Research and Development Program of China [2018YFC0408105]; Chinese Academy of Engineering [2019-XZ-33]; National Natural Science Foundation of China [51979284, 71573274]</t>
  </si>
  <si>
    <t>Ministry of Science and Technology of China(Ministry of Science and Technology, China); National key Research and Development Program of China; Chinese Academy of Engineering; National Natural Science Foundation of China(National Natural Science Foundation of China (NSFC))</t>
  </si>
  <si>
    <t>The National Key Research and Development Program of the Ministry of Science and Technology of China, Grant/Award Number: 2016YFE0102400; funds from the National key Research and Development Program of China, Grant/Award Number: 2018YFC0408105; the Consulting Project of Chinese Academy of Engineering, Grant/Award Number: 2019-XZ-33; the National Natural Science Foundation of China, Grant/Award Numbers: 51979284, 71573274</t>
  </si>
  <si>
    <t>E734</t>
  </si>
  <si>
    <t>E751</t>
  </si>
  <si>
    <t>10.1002/joc.6722</t>
  </si>
  <si>
    <t>WOS:000564377000001</t>
  </si>
  <si>
    <t>Thibodeau, PS; Steinberg, DK; Maas, AE</t>
  </si>
  <si>
    <t>Thibodeau, Patricia S.; Steinberg, Deborah K.; Maas, Amy E.</t>
  </si>
  <si>
    <t>Effects of temperature and food concentration on pteropod metabolism along the Western Antarctic Peninsula</t>
  </si>
  <si>
    <t>Limacina; Southern Ocean; Climate; Excretion; Respiration; Ecological stoichiometry</t>
  </si>
  <si>
    <t>DISSOLVED ORGANIC-MATTER; ZOOPLANKTON VERTICAL MIGRATION; EASTERN NORTH PACIFIC; CLIMATE-CHANGE; SEA-ICE; OCEAN ACIDIFICATION; INORGANIC CARBON; ACTIVE-TRANSPORT; ROSS SEA; PHYTOPLANKTON</t>
  </si>
  <si>
    <t>Pteropods (pelagic snails) are abundant zooplankton in the Southern Ocean where they are important grazers of phytoplankton, prey for higher trophic levels, and sensitive to environmental change. The Western Antarctic Peninsula (WAP) is a highly dynamic and productive region that has undergone rapid warming, but little is known about how environmental changes there will affect pteropod physiology. In this study, the effects of warming seawater temperatures and shifting food availability on Limacina helicina antarctica metabolism (respiration and excretion) were determined by conducting shipboard experiments that exposed pteropods to a range of temperatures and phytoplankton (food) concentrations. Highest respiration (up to 69 mu mol O-2 gDW(-1)h(-1)) and usually highest excretion rates occurred under higher temperature with more limited meta- bolic response to food concentration, indicating these factors do not always have an additive effect on pteropod metabolism. The proportion of dissolved organic matter (DOM) to total organic and inorganic dissolved constituents was high and was also significantly affected by shifts in temperature and food. Dissolved organic carbon, nitrogen, and phosphorus (DOC, DON, and DOP) were on average 27, 51, and 11.5% of the total C, N, and P metabolized, respectively. The proportion of total N excreted as DON and the proportion of total P excreted as DOP were significantly affected by a combination of shifting temperature and food concentrations. There were no effects of temperature or food on DOC excretion (mean 8.79 mu mol C gDW(-1)h(-1); range 0.44 to 44) as a proportion of total C metabolized. Metabolic O-2:N ratio ranged from 2 to 9 and decreased significantly with increasing temperature and food, indicating a shift toward increased protein catabolism. Metabolic ratios of C, N, and P were all below the canonical Redfield ratio, which has implications for phytoplankton nutrient uptake and bacterial production. Respiration rates at ambient conditions of other WAP pteropods, and excretion rates for Clio pyramidata, were also measured, with respiration rates ranging from 24.39 (Spongiobranchaea australis) to 28.86 (L. h. antarctica) mu mol O-2 gDW(-1)h(-1). Finally, a CO2 perturbation experiment measuring L. h. antarctica metabolism under pre-industrial and elevated dissolved pCO(2) conditions showed no significant change in mean L. h. antarctica respiration or excretion rates with higher pCO(2). These insights into the metabolic response of pteropods to ocean variability increase our understanding of the role of zooplankton in biogeochemical cycles and help predict future responses to climate change.</t>
  </si>
  <si>
    <t>[Thibodeau, Patricia S.; Steinberg, Deborah K.] William &amp; Mary, Virginia Inst Marine Sci, 1370 Greate Rd, Gloucester Point, VA 23062 USA; [Maas, Amy E.] Bermuda Inst Ocean Sci, Ferry Reach, 17 Biol Stn, GE-01 St George, Bermuda; [Thibodeau, Patricia S.] Univ Rhode Isl, Grad Sch Oceanog, 215 S Ferry Rd, Narragansett, RI 02882 USA</t>
  </si>
  <si>
    <t>William &amp; Mary; Virginia Institute of Marine Science; Bermuda Institute of Ocean Sciences; University of Rhode Island</t>
  </si>
  <si>
    <t>Thibodeau, PS (corresponding author), William &amp; Mary, Virginia Inst Marine Sci, 1370 Greate Rd, Gloucester Point, VA 23062 USA.;Thibodeau, PS (corresponding author), Univ Rhode Isl, Grad Sch Oceanog, 215 S Ferry Rd, Narragansett, RI 02882 USA.</t>
  </si>
  <si>
    <t>thibodeau@uri.edu; debbies@vims.edu; amy.maas@bios.edu</t>
  </si>
  <si>
    <t>Maas, Amy/AAC-1181-2022</t>
  </si>
  <si>
    <t>Maas, Amy/0000-0002-3730-2876; Steinberg, Deborah K./0000-0001-9884-4655</t>
  </si>
  <si>
    <t>National Science Foundation Antarctic Organisms and Ecosystems Program [OPP NSF PLR 1440435]</t>
  </si>
  <si>
    <t>National Science Foundation Antarctic Organisms and Ecosystems Program(National Science Foundation (NSF)NSF - Directorate for Geosciences (GEO))</t>
  </si>
  <si>
    <t>We thank the Captain, officers, and crew of the ARSV Laurence M. Gould, and Raytheon Polar Services and Lockheed Martin personnel for their scientific and logistical support. We are grateful to the many student volunteers that assisted during the PAL LTER cruises and experiments, particularly K. Ruck, A. Corso, K. Schrage, J. Conroy, and C. McBride. We thank L. Kellogg, J. Dreyer, and M. Pant for the respirometry system, and G. Saba, E. Shadwick, and O. De Meo for assistance with carbonate chemistry experimental design, equipment, and analysis. Our gratitude to Q. Roberts, B. Stanley, and D. Bronk for aid and advice in nutrient analyses, and to K. Ruck, M. Meyer, O. Schofield, N. Waite, S. Nardelli, L. West, J. Conroy, and K. Sharpe for aid in ele-Stamieszkin, and D. Crear for advice regarding statistical analyses. Comments from D. Bronk, E. Shadwick, B. Song, and three anonymous reviewers improved this manuscript. This research was supported by the National Science Foundation Antarctic Organisms and Ecosystems Program [OPP NSF PLR 1440435]. This is contribution number 3919 from the Virginia Institute of Marine Science, William &amp; Mary.</t>
  </si>
  <si>
    <t>10.1016/j.jembe.2020.151412</t>
  </si>
  <si>
    <t>NE4QU</t>
  </si>
  <si>
    <t>WOS:000562582100018</t>
  </si>
  <si>
    <t>Gornitz, V; Oppenheimer, M; Kopp, R; Horton, R; Orton, P; Rosenzweig, C; Solecki, W; Patrick, L</t>
  </si>
  <si>
    <t>Gornitz, Vivien; Oppenheimer, Michael; Kopp, Robert; Horton, Radley; Orton, Philip; Rosenzweig, Cynthia; Solecki, William; Patrick, Lesley</t>
  </si>
  <si>
    <t>Enhancing New York City's resilience to sea level rise and increased coastal flooding</t>
  </si>
  <si>
    <t>URBAN CLIMATE</t>
  </si>
  <si>
    <t>Sea level rise; Coastal flooding; Flood adaptation; Resiliency planning; New York City</t>
  </si>
  <si>
    <t>GROUNDING LINE RETREAT; ANTARCTIC ICE-SHEET; CLIMATE-CHANGE; THWAITES GLACIER; WEST ANTARCTICA; MASS CHANGES; EAST-COAST; PANEL; ATLANTIC; PROJECTIONS</t>
  </si>
  <si>
    <t>Accelerating Greenland and Antarctic Ice Sheet ice mass losses and potential West Antarctic Ice Sheet instability may lead to higher than previously anticipated future sea levels. The New York City Panel on Climate Change Antarctic Rapid Ice Melt (ARIM) upper-end, low probability sea level rise (SLR) scenario, which incorporates recent ice loss trends, improved ice sheet-ocean-atmosphere modeling, and potential ice sheet destabilization, projects SLR of up to 2.1 m by the 2080s and up to 2.9 m by 2100, at high greenhouse gas emissions ((SPCC, 2019). These results exceed previous high-end SLR projections (90th percentile) of 1.5 m by the 2080s and 1.9 m by 2100, relative to 2000-2004 (NPCC, 2015). By 2100, the 1% annual chance (100-year) floodplain could cover 1/3 of the city's total area under ARIM; around 1/5 of the area could be flooded during monthly high tides. Some low-lying locations could become permanently inundated by late century. Will New York City coastal resiliency initiatives, guided, in part by NPCC findings, suffice for very high sea levels? Additional research is needed to determine technological, environmental, or economic limitations to coastal protection and to decide when and where strategic relocation may become necessary.</t>
  </si>
  <si>
    <t>[Gornitz, Vivien; Horton, Radley; Rosenzweig, Cynthia] Columbia Univ, Ctr Climate Syst Res, NASA, Goddard Inst Space Studies, New York, NY 10025 USA; [Oppenheimer, Michael] Princeton Univ, Princeton, NJ 08544 USA; [Kopp, Robert] Rutgers State Univ, New Brunswick, NJ USA; [Orton, Philip] Stevens Inst Technol, Hoboken, NJ 07030 USA; [Solecki, William] Hunter Coll, New York, NY USA; [Patrick, Lesley] CUNY, New York, NY USA</t>
  </si>
  <si>
    <t>Columbia University; National Aeronautics &amp; Space Administration (NASA); NASA Goddard Space Flight Center; Goddard Institute for Space Studies; Princeton University; Rutgers University System; Rutgers University New Brunswick; Stevens Institute of Technology; City University of New York (CUNY) System; Hunter College (CUNY); City University of New York (CUNY) System</t>
  </si>
  <si>
    <t>Gornitz, V (corresponding author), Columbia Univ, Ctr Climate Syst Res, NASA, Goddard Inst Space Studies, New York, NY 10025 USA.</t>
  </si>
  <si>
    <t>vmg1@columbia.edu</t>
  </si>
  <si>
    <t>Kopp, Robert E/B-8822-2008</t>
  </si>
  <si>
    <t>Oppenheimer, Michael/0000-0002-9708-5914</t>
  </si>
  <si>
    <t>NASA-Columbia [80NSSC17M0057]; Consortium for Climate Change Risk in the Urban Northeast (CCRUN) -Coastal Sector; NOAA [NA15OAR4310147]; New York City Emergency Management-FEMA Cooperating Technical Partners Program [EMN-2016-CA-00002]</t>
  </si>
  <si>
    <t>NASA-Columbia; Consortium for Climate Change Risk in the Urban Northeast (CCRUN) -Coastal Sector; NOAA(National Oceanic Atmospheric Admin (NOAA) - USA); New York City Emergency Management-FEMA Cooperating Technical Partners Program</t>
  </si>
  <si>
    <t>This work was supported in part by NASA-Columbia Cooperative Agreement 80NSSC17M0057, the Consortium for Climate Change Risk in the Urban Northeast (CCRUN) -Coastal Sector, NOAA NA15OAR4310147, and New York City Emergency Management-FEMA Cooperating Technical Partners Program (Grant No. EMN-2016-CA-00002). We thank the New York City Mayor's Office of Recovery and Resiliency for enabling collaborative research coordination between scientists and stakeholders. We gratefully acknowledge the contributions by Lesley Patrick and Prof. William Solecki, Hunter College, City University of New York in creating the series of flood maps. Thanks are also extended to Danielle Manley, Somayya Ali Ibrahim, and Amanda Sophia Ingeborg Evengaard for their editorial and graphics support.</t>
  </si>
  <si>
    <t>2212-0955</t>
  </si>
  <si>
    <t>URBAN CLIM</t>
  </si>
  <si>
    <t>Urban CLim.</t>
  </si>
  <si>
    <t>10.1016/j.uclim.2020.100654</t>
  </si>
  <si>
    <t>ND4TF</t>
  </si>
  <si>
    <t>WOS:000561893900007</t>
  </si>
  <si>
    <t>Rodriguez, JE; Vanderburg, A; Zieba, S; Kreidberg, L; Morley, CV; Eastman, JD; Kane, SR; Spencer, A; Quinn, SN; Cloutier, R; Huang, CX; Collins, KA; Mann, AW; Gilbert, E; Schlieder, JE; Quintana, EV; Barclay, T; Suissa, G; Kopparapu, RK; Dressing, CD; Ricker, GR; Vanderspek, RK; Latham, DW; Seager, S; Winn, JN; Jenkins, JM; Berta-Thompson, Z; Boyd, PT; Charbonneau, D; Caldwell, DA; Chiang, E; Christiansen, JL; Ciardi, DR; Colón, KD; Doty, J; Gan, TJ; Guerrero, N; Günther, MN; Lee, EJ; Levine, AM; Lopez, E; Muirhead, PS; Newton, E; Rose, ME; Twicken, JD; Villaseñor, JN</t>
  </si>
  <si>
    <t>Rodriguez, Joseph E.; Vanderburg, Andrew; Zieba, Sebastian; Kreidberg, Laura; Morley, Caroline, V; Eastman, Jason D.; Kane, Stephen R.; Spencer, Alton; Quinn, Samuel N.; Cloutier, Ryan; Huang, Chelsea X.; Collins, Karen A.; Mann, Andrew W.; Gilbert, Emily; Schlieder, Joshua E.; Quintana, Elisa, V; Barclay, Thomas; Suissa, Gabrielle; Kopparapu, Ravi Kumar; Dressing, Courtney D.; Ricker, George R.; Vanderspek, Roland K.; Latham, David W.; Seager, Sara; Winn, Joshua N.; Jenkins, Jon M.; Berta-Thompson, Zachory; Boyd, Patricia T.; Charbonneau, David; Caldwell, Douglas A.; Chiang, Eugene; Christiansen, Jessie L.; Ciardi, David R.; Colon, Knicole D.; Doty, John; Gan, Tianjun; Guerrero, Natalia; Gunther, Maximilian N.; Lee, Eve J.; Levine, Alan M.; Lopez, Eric; Muirhead, Philip S.; Newton, Elisabeth; Rose, Mark E.; Twicken, Joseph D.; Villasenor, Jesus Noel</t>
  </si>
  <si>
    <t>The First Habitable-zone Earth-sized Planet from TESS. II. Spitzer Confirms TOI-700 d</t>
  </si>
  <si>
    <t>ASTRONOMICAL JOURNAL</t>
  </si>
  <si>
    <t>Exoplanets; Habitable planets; Habitable zone; Low mass stars; Antarctic observatories; Exoplanet astronomy; Exoplanet detection methods; Exoplanet systems</t>
  </si>
  <si>
    <t>LIGHT-CURVE PROJECT</t>
  </si>
  <si>
    <t>We present Spitzer 4.5 mu m observations of the transit of TOI-700 d, a habitable-zone Earth-sized planet in a multiplanet system transiting a nearby M-dwarf star (TIC 150428135, 2MASS J06282325-6534456). TOI-700 d has a radius of -+1.144(-0.061)(0.062)R(circle plus) and orbits within its host star's conservative habitable zone with a period of 37.42 days (T-eq similar to 269 K). TOI-700 also hosts two small inner planets (R-b= 1.037(-0.064)(+0.065)R(circle plus) and R-c = 2.65(-0.15)(+0.16) R-circle plus) with periods of 9.98 and 16.05 days, respectively. Our Spitzer observations confirm the Transiting Exoplanet Survey Satellite (TESS) detection of TOI-700 d and remove any remaining doubt that it is a genuine planet. We analyze the Spitzer light curve combined with the 11 sectors of TESS observations and a transit of TOI-700 c from the LCOGT network to determine the full system parameters. Although studying the atmosphere of TOI-700 d is not likely feasible with upcoming facilities, it may be possible to measure the mass of TOI-700 d using state-of-the-art radial velocity (RV) instruments (expected RV semiamplitude of similar to 70 cm s(-1)).</t>
  </si>
  <si>
    <t>[Rodriguez, Joseph E.; Kreidberg, Laura; Eastman, Jason D.; Quinn, Samuel N.; Cloutier, Ryan; Collins, Karen A.; Latham, David W.; Charbonneau, David] Ctr Astrophys Harvard &amp; Smithsonian, 60 Garden St, Cambridge, MA 02138 USA; [Vanderburg, Andrew; Morley, Caroline, V] Univ Texas Austin, Dept Astron, Austin, TX 78712 USA; [Zieba, Sebastian] Univ Innsbruck, Inst Astro &amp; Teilchenphys, Technikerstr 25, A-6020 Innsbruck, Austria; [Kane, Stephen R.] Univ Calif Riverside, Dept Earth &amp; Planetary Sci, Riverside, CA 92521 USA; [Spencer, Alton] Danbury High Sch, Danbury, CT 06811 USA; [Huang, Chelsea X.; Ricker, George R.; Vanderspek, Roland K.; Seager, Sara; Guerrero, Natalia; Gunther, Maximilian N.; Levine, Alan M.; Villasenor, Jesus Noel] MIT, Dept Phys, Cambridge, MA 02139 USA; [Huang, Chelsea X.; Ricker, George R.; Vanderspek, Roland K.; Seager, Sara; Guerrero, Natalia; Gunther, Maximilian N.; Levine, Alan M.; Villasenor, Jesus Noel] MIT, Kavli Inst Astrophys &amp; Space Res, 77 Massachusetts Ave, Cambridge, MA 02139 USA; [Mann, Andrew W.] Univ N Carolina, Dept Phys &amp; Astron, Chapel Hill, NC 27599 USA; [Gilbert, Emily] Univ Chicago, Dept Astron &amp; Astrophys, 5640 S Ellis Ave, Chicago, IL 60637 USA; [Gilbert, Emily] Adler Planetarium, 1300 South Lakeshore Dr, Chicago, IL 60605 USA; [Gilbert, Emily; Schlieder, Joshua E.; Quintana, Elisa, V; Barclay, Thomas; Suissa, Gabrielle; Kopparapu, Ravi Kumar; Boyd, Patricia T.; Colon, Knicole D.; Lopez, Eric] NASA, Exoplanets &amp; Stellar Astrophys Lab, Goddard Space Flight Ctr, Code 667, Greenbelt, MD 20771 USA; [Gilbert, Emily; Schlieder, Joshua E.; Quintana, Elisa, V; Barclay, Thomas; Suissa, Gabrielle; Kopparapu, Ravi Kumar; Boyd, Patricia T.; Colon, Knicole D.; Lopez, Eric] NASA, GSFC Sellers Exoplanet Environm Collaborat, Goddard Space Flight Ctr, Greenbelt, MD 20771 USA; [Barclay, Thomas] Univ Maryland Baltimore Cty, 1000 Hilltop Circle, Baltimore, MD 21250 USA; [Suissa, Gabrielle] Univ Space Res Assoc, Goddard Earth Sci Technol &amp; Res GESTAR, Columbia, MD USA; [Kopparapu, Ravi Kumar] NASA, NExSS Virtual Planetary Lab, Box 951580, Seattle, WA 98195 USA; [Dressing, Courtney D.; Chiang, Eugene] Univ Calif Berkeley, Dept Astron, Berkeley, CA 94720 USA; [Seager, Sara] MIT, Dept Earth Atmospher &amp; Planetary Sci, Cambridge, MA 02139 USA; [Seager, Sara] MIT, Dept Aeronaut &amp; Astronaut, 77 Massachusetts Ave, Cambridge, MA 02139 USA; [Winn, Joshua N.] Princeton Univ, Dept Astrophys Sci, 4 Ivy Lane, Princeton, NJ 08544 USA; [Jenkins, Jon M.; Caldwell, Douglas A.; Rose, Mark E.; Twicken, Joseph D.] NASA, Ames Res Ctr, Moffett Field, CA 94035 USA; [Berta-Thompson, Zachory] Univ Colorado, Dept Astrophys &amp; Planetary Sci, Boulder, CO 80309 USA; [Caldwell, Douglas A.; Twicken, Joseph D.] SETI Inst, Mountain View, CA 94043 USA; [Christiansen, Jessie L.; Ciardi, David R.] CALTECH, IPAC, 1200 E Calif Blvd, Pasadena, CA 91125 USA; [Doty, John] Noqsi Aerosp Ltd, 15 Blanchard Ave, Billerica, MA 01821 USA; [Gan, Tianjun] Tsinghua Univ, Dept Astron, Beijing 100084, Peoples R China; [Gan, Tianjun] Tsinghua Univ, Tsinghua Ctr Astrophys, Beijing 100084, Peoples R China; [Lee, Eve J.] McGill Univ, Dept Phys, 3550 Rue Univ, Montreal, PQ H3A 2T8, Canada; [Lee, Eve J.] McGill Univ, McGill Space Inst, 3550 Rue Univ, Montreal, PQ H3A 2T8, Canada; [Muirhead, Philip S.] Boston Univ, Dept Astron, 725 Commonwealth Ave, Boston, MA 02215 USA; [Muirhead, Philip S.] Boston Univ, Inst Astrophys Res, 725 Commonwealth Ave, Boston, MA 02215 USA; [Newton, Elisabeth] Dartmouth Coll, Dept Phys &amp; Astron, Hanover, NH 03755 USA</t>
  </si>
  <si>
    <t>University of Texas System; University of Texas Austin; University of Innsbruck; University of California System; University of California Riverside; Massachusetts Institute of Technology (MIT); Massachusetts Institute of Technology (MIT); University of North Carolina; University of North Carolina Chapel Hill; University of Chicago; National Aeronautics &amp; Space Administration (NASA); NASA Goddard Space Flight Center; National Aeronautics &amp; Space Administration (NASA); NASA Goddard Space Flight Center; University System of Maryland; University of Maryland Baltimore County; Universities Space Research Association (USRA); National Aeronautics &amp; Space Administration (NASA); University of California System; University of California Berkeley; Massachusetts Institute of Technology (MIT); Massachusetts Institute of Technology (MIT); Princeton University; National Aeronautics &amp; Space Administration (NASA); NASA Ames Research Center; University of Colorado System; University of Colorado Boulder; California Institute of Technology; Tsinghua University; Tsinghua University; McGill University; McGill University; Boston University; Boston University; Dartmouth College</t>
  </si>
  <si>
    <t>Rodriguez, JE (corresponding author), Ctr Astrophys Harvard &amp; Smithsonian, 60 Garden St, Cambridge, MA 02138 USA.</t>
  </si>
  <si>
    <t>joseph.rodriguez@cfa.harvard.edu</t>
  </si>
  <si>
    <t>Günther, Maximilian N./ABC-5730-2021; Eastman, Jason/JCE-2639-2023; Vanderburg, Andrew/AAF-6208-2021; Muirhead, Philip/H-2273-2014; 黄, 旭/JFJ-8744-2023; Huang, Xu/HOH-0307-2023; shin, i/HKV-7951-2023</t>
  </si>
  <si>
    <t>Günther, Maximilian N./0000-0002-3164-9086; Vanderburg, Andrew/0000-0001-7246-5438; Muirhead, Philip/0000-0002-0638-8822; Morley, Caroline/0000-0002-4404-0456; Rodriguez, Joseph/0000-0001-8812-0565; Ricker, George/0000-0003-2058-6662; Christiansen, Jessie/0000-0002-8035-4778; Eastman, Jason/0000-0003-3773-5142; Zieba, Sebastian/0000-0003-0562-6750; Ciardi, David/0000-0002-5741-3047; Quinn, Samuel/0000-0002-8964-8377; Mann, Andrew/0000-0003-3654-1602; Latham, David/0000-0001-9911-7388; Huang, Xu/0000-0003-0918-7484</t>
  </si>
  <si>
    <t>NASA through the Sagan Fellowship Program; MIT's Kavli Institute; NASA TESS Guest Investigator Program [80NSSC18K1583]; GSFC Sellers Exoplanet Environments Collaboration (SEEC) - NASA Planetary Science Divisions Internal Scientist Funding Model; Heising-Simons Foundation; LSSTC; NSF Cybertraining grant [1829740]; Brinson Foundation; Moore Foundation; GSFC Sellers Exoplanet Environments Collaboration (SEEC) - NASA Planetary Science Division's Internal Scientist Funding Model; NASA; JPL/Caltech; NASA's Science Mission directorate; National Aeronautics and Space Administration under the Exoplanet Exploration Program; Gemini program [GN-2018B-LP-101]</t>
  </si>
  <si>
    <t>NASA through the Sagan Fellowship Program; MIT's Kavli Institute; NASA TESS Guest Investigator Program; GSFC Sellers Exoplanet Environments Collaboration (SEEC) - NASA Planetary Science Divisions Internal Scientist Funding Model; Heising-Simons Foundation; LSSTC; NSF Cybertraining grant; Brinson Foundation; Moore Foundation(Gordon and Betty Moore Foundation); GSFC Sellers Exoplanet Environments Collaboration (SEEC) - NASA Planetary Science Division's Internal Scientist Funding Model; NASA(National Aeronautics &amp; Space Administration (NASA)); JPL/Caltech; NASA's Science Mission directorate; National Aeronautics and Space Administration under the Exoplanet Exploration Program; Gemini program</t>
  </si>
  <si>
    <t>A.V.'s work was performed under contract with the California Institute of Technology (Caltech)/Jet Propulsion Laboratory (JPL) funded by NASA through the Sagan Fellowship Program executed by the NASA Exoplanet Science Institute. M.N.G. acknowledges support from MIT's Kavli Institute as a Juan Carlos Torres Fellow. C.D.D. acknowledges support from the NASA TESS Guest Investigator Program through grant 80NSSC18K1583. E.D.L. is thankful for support from GSFC Sellers Exoplanet Environments Collaboration (SEEC), which is funded by the NASA Planetary Science Divisions Internal Scientist Funding Model. J.N.W. thanks the Heising-Simons Foundation for support. E.A.G. thanks the LSSTC Data Science Fellowship Program, which is funded by LSSTC, NSF Cybertraining grant #1829740, the Brinson Foundation, and the Moore Foundation; her participation in the program has benefited this work. E.A.G. is thankful for support from GSFC Sellers Exoplanet Environments Collaboration (SEEC), which is funded by the NASA Planetary Science Division's Internal Scientist Funding Model.; This work is based on observations made with the Spitzer Space Telescope, which is operated by the Jet Propulsion Laboratory, California Institute of Technology under a contract with NASA. Support for this work was provided by NASA through an award issued by JPL/Caltech. This research has made use of SAO/NASA's Astrophysics Data System Bibliographic Services. This research has made use of the SIMBAD database, operated at CDS, Strasbourg, France. This work has made use of data from the European Space Agency (ESA) mission Gaia (https://www.cosmos.esa.int/gaia), processed by the Gaia Data Processing and Analysis Consortium (DPAC;.https://www.cosmos.esa.int/web/gaia/dpac/consortium).Funding for the DPAC has been provided by national institutions, in particular the institutions participating in the Gaia Multilateral Agreement. This work makes use of observations from the Las Cumbres Observatory Global Telescope Network. We thank Kevin Stevenson for making the POET pipeline open source and freely available on GitHub.; Funding for the TESS mission is provided by NASA's Science Mission directorate. We acknowledge the use of public TESS Alert data from pipelines at the TESS Science Office and at the TESS Science Processing Operations Center. This research has made use of the NASA Exoplanet Archive and the Exoplanet Follow-up Observation Program website, which are operated by the California Institute of Technology, under contract with the National Aeronautics and Space Administration under the Exoplanet Exploration Program. This paper includes data collected by the TESS mission, which are publicly available from the Mikulski Archive for Space Telescopes (MAST). This paper includes observations obtained under Gemini program GN-2018B-LP-101. Resources supporting this work were provided by the NASA High-End Computing (HEC) Program through the NASA Advanced Supercomputing (NAS) Division at Ames Research Center for the production of the SPOC data products.</t>
  </si>
  <si>
    <t>0004-6256</t>
  </si>
  <si>
    <t>1538-3881</t>
  </si>
  <si>
    <t>ASTRON J</t>
  </si>
  <si>
    <t>Astron. J.</t>
  </si>
  <si>
    <t>10.3847/1538-3881/aba4b3</t>
  </si>
  <si>
    <t>ND0PB</t>
  </si>
  <si>
    <t>Green Published, Green Submitted, Green Accepted, Bronze</t>
  </si>
  <si>
    <t>WOS:000561609200001</t>
  </si>
  <si>
    <t>Havryliuk, O; Hovorukha, V; Patrauchan, M; Youssef, NH; Tashyrev, O</t>
  </si>
  <si>
    <t>Havryliuk, Olesia; Hovorukha, Vira; Patrauchan, Marianna; Youssef, Noha H.; Tashyrev, Oleksandr</t>
  </si>
  <si>
    <t>Draft whole genome sequence for four highly copper resistant soil isolates Pseudomonas lactis strain UKR1, Pseudomonas panacis strain UKR2, and Pseudomonas veronii strains UKR3 and UKR4</t>
  </si>
  <si>
    <t>CURRENT RESEARCH IN MICROBIAL SCIENCES</t>
  </si>
  <si>
    <t>Copper-resistant microorganisms; Environmental biotechnologies; Soil isolates; Arctic Antarctic; and Ukrainian soils</t>
  </si>
  <si>
    <t>Environmental copper pollution causes major destruction to ecological systems, which require the development of environmentally friendly biotechnological, in particular, microbial methods for copper removal. These methods rely on the availability of microorganisms resistant to high levels of copper. Here we isolated four bacterial strains with record resistance to up to 1.0 M Cu(II). The strains were isolated from ecologically diverse soil samples, and their genomes were sequenced. A 16S rRNA sequence-based phylogenetic analysis identified that all four isolates belong to the genus Pseudomonas. Particularly, strains UKR1 and UKR2 isolated from Kyiv region in Ukraine were identified as P. lactis and P. panacis, respectively, and strains UKR3 and UKR4 isolated from Svalbard Island in the Arctic Ocean and Galindez Island in Antarctica, respectively, were identified as P. veronii. Initial in-silico screening for genes encoding copper resistance mechanisms showed that all four strains encode copper resistance proteins CopA, CopB, CopD, CopA3, CopZ, as well as two-component regulatory system CusRS, all known to be associated with metal resistance in Pseudomonas genus. Further detailed studies will aim to characterize the full genomic potential of the isolates to enable their application for copper bioremediation in contaminated soils and industrial wastewaters.</t>
  </si>
  <si>
    <t>[Havryliuk, Olesia; Hovorukha, Vira; Tashyrev, Oleksandr] Natl Acad Sci Ukraine, DK Zabolotny Inst Microbiol &amp; Virol, Dept Extremophil Microorganisms Biol, 154 Zabolotny St, Kiev, Ukraine; [Patrauchan, Marianna; Youssef, Noha H.] Oklahoma State Univ, Dept Microbiol &amp; Mol Genet, 307 LSE, Stillwater, OK 74075 USA</t>
  </si>
  <si>
    <t>National Academy of Sciences Ukraine; Zabolotny Institute of Microbiology &amp; Virology of NASU; Oklahoma State University System; Oklahoma State University - Stillwater</t>
  </si>
  <si>
    <t>Havryliuk, O (corresponding author), Natl Acad Sci Ukraine, DK Zabolotny Inst Microbiol &amp; Virol, Dept Extremophil Microorganisms Biol, 154 Zabolotny St, Kiev, Ukraine.</t>
  </si>
  <si>
    <t>gav_olesya@ukr.net; vira-govorukha@ukr.net; m.patrauchan@okstate.edu; noha@okstate.edu; tach2007@ukr.net</t>
  </si>
  <si>
    <t>Hovorukha, Vira/AAF-5232-2020; Youssef, Noha H./T-5198-2019; Tashyrev, Oleksandr/HNJ-4250-2023</t>
  </si>
  <si>
    <t>Hovorukha, Vira/0000-0003-4265-5534; Youssef, Noha H./0000-0001-9159-3785; Tashyrev, Oleksandr/0000-0002-7698-5155; Havryliuk, Olesia/0000-0003-2815-3976; Patrauchan, Marianna/0000-0002-0495-3867</t>
  </si>
  <si>
    <t>2666-5174</t>
  </si>
  <si>
    <t>CURR RES MICROB SCI</t>
  </si>
  <si>
    <t>Curr. Res. Microb. Sci.</t>
  </si>
  <si>
    <t>10.1016/j.crmicr.2020.06.002</t>
  </si>
  <si>
    <t>VM3VI</t>
  </si>
  <si>
    <t>WOS:001006819200007</t>
  </si>
  <si>
    <t>Stewart, JA; Robinson, LF; Day, RD; Strawson, I; Burke, A; Rae, JWB; Spooner, PT; Samperiz, A; Etnoyer, PJ; Williams, B; Paytan, A; Leng, MJ; Häussermann, V; Wickes, LN; Bratt, R; Pryer, H</t>
  </si>
  <si>
    <t>Stewart, Joseph A.; Robinson, Laura F.; Day, Russell D.; Strawson, Ivo; Burke, Andrea; Rae, James W. B.; Spooner, Peter T.; Samperiz, Ana; Etnoyer, Peter J.; Williams, Branwen; Paytan, Adina; Leng, Melanie J.; Haussermann, Vreni; Wickes, Leslie N.; Bratt, Rachael; Pryer, Helena</t>
  </si>
  <si>
    <t>Refining trace metal temperature proxies in cold-water scleractinian and stylasterid corals</t>
  </si>
  <si>
    <t>Scleractinia; Stylasteridae; seawater temperature; Li/Mg; mineralogy</t>
  </si>
  <si>
    <t>SEA-SURFACE TEMPERATURE; ISOTOPE COMPOSITION; DEEP; SR/CA; CALIBRATION; LI/MG; CALCIFICATION; FORAMINIFERA; MODEL; MG/CA</t>
  </si>
  <si>
    <t>The Li/Mg, Sr/Ca and oxygen isotopic (delta O-18) compositions of many marine biogenic carbonates are sensitive to seawater temperature. Corals, as cosmopolitan marine taxa with carbonate skeletons that can be precisely dated, represent ideal hosts for these geochemical proxies. However, efforts to calibrate and refine temperature proxies in cold-water corals (&lt;20 degrees C) remain limited. Here we present skeletal Li/Mg, Sr/Ca, delta O-18 and carbon isotope (delta C-13) data from live-collected specimens of aragonitic scleractinian corals (Balanophyllia, Caryophyllia, Desmophyllum, Enallopsammia, Flabellum, Lophelia, and Vaughanella), both aragonitic and high-Mg calcitic stylasterid genera (Stylasterand Errina), and shallow-water high-Mg calcite crustose coralline algae (Lithophyllum, Hydrolithon, and Neogoniolithon). We interpret these data in conjunction with results from previously explored taxa including aragonitic zooxanthellate scleractinia and foraminifera, and high-Mg calcite octocorals. We show that Li/Mg ratios covary most strongly with seawater temperature, both for aragonitic and high-Mg calcitic taxa, making for reliable and universal seawater temperature proxies. Combining all of our biogenic aragonitic Li/Mg data with previous calibration efforts we report a refined relationship to temperature: Li/Mg-All (Aragonite) = 5.42 exp(-0.050 x T(degrees C))(R-2 = 0.97). This calibration now permits paleo-temperature reconstruction to better than +/- 3.4 degrees C (95% prediction intervals) across biogenic aragonites, regardless of taxon, from 0 to 30 degrees C. For taxa in this study, aragonitic stylasterid Li/Mg offers the most robust temperature proxy (Li/Mg-Stylasterid(Arag) = 5.64 exp(-0.046 x T(degrees C))(R-2 = 0.95)) with a reproducibility of +/- 2.3 degrees C. For the first time, we show that high-Mg calcites have a similar exponential relationship with temperature, but with a lower intercept value (Li/Mg = 0.63 exp(-0.050 x T(degrees C)(R-2 = 0.92)). This calibration opens the possibility of temperature reconstruction using high-Mg calcite corals and coralline algae. The commonality in the relationship between Li/Mg and temperature transcends phylogeny and suggests a similar abiogenic trace metal incorporation mechanism. (C) 2020 The Author(s). Published by Elsevier B.V.</t>
  </si>
  <si>
    <t>[Stewart, Joseph A.; Robinson, Laura F.; Strawson, Ivo; Spooner, Peter T.; Samperiz, Ana; Bratt, Rachael; Pryer, Helena] Univ Bristol, Sch Earth Sci, Queens Rd, Bristol BS8 1RJ, Avon, England; [Stewart, Joseph A.; Burke, Andrea; Rae, James W. B.] Univ St Andrews, Sch Earth &amp; Environm Sci, St Andrews KY16 9AL, Fife, Scotland; [Stewart, Joseph A.; Day, Russell D.] NIST, Chem Sci Div, Hollings Marine Lab, Charleston, SC USA; [Day, Russell D.] Marine Sci &amp; Naut Training Acad MANTA, 520 Folly Rd, Charleston, SC 29412 USA; [Samperiz, Ana] Cardiff Univ, Sch Earth &amp; Ocean Sci, Cardiff CF10 3AT, Wales; [Spooner, Peter T.] UCL, Dept Earth Sci, London, England; [Etnoyer, Peter J.; Wickes, Leslie N.] NOAA, Natl Ctr Coastal Ocean Sci, Charleston, SC 29412 USA; [Williams, Branwen] Claremont McKenna Pitzer Scripps Coll, Keck Sci Dept, Claremont, CA 91711 USA; [Paytan, Adina] Univ Calif Santa Cruz, Inst Marine Sci, Santa Cruz, CA 95064 USA; [Leng, Melanie J.] British Geol Survey, Nottingham NG12 5GG, England; [Leng, Melanie J.] Univ Nottingham, Sch Biosci, Loughborough LE12 5RD, Leics, England; [Haussermann, Vreni] Pontificia Univ Catolica Valparaiso, Fac Recursos Nat, Escuela Ciencias Mar, Huinay Sci Field Stn, Valparaiso, Chile</t>
  </si>
  <si>
    <t>University of Bristol; University of St Andrews; National Institute of Standards &amp; Technology (NIST) - USA; Cardiff University; University of London; University College London; National Oceanic Atmospheric Admin (NOAA) - USA; National Ocean Service, NOAA; National Centers for Coastal Ocean Science (NOOCS); Claremont Colleges; Claremont Graduate School; University of California System; University of California Santa Cruz; UK Research &amp; Innovation (UKRI); Natural Environment Research Council (NERC); NERC British Geological Survey; University of Nottingham; Pontificia Universidad Catolica de Valparaiso</t>
  </si>
  <si>
    <t>Stewart, JA (corresponding author), Univ Bristol, Sch Earth Sci, Queens Rd, Bristol BS8 1RJ, Avon, England.</t>
  </si>
  <si>
    <t>joseph.stewart@bristol.ac.uk</t>
  </si>
  <si>
    <t>; Rae, James/R-3812-2017</t>
  </si>
  <si>
    <t>Haussermann, Verena Susanne/0000-0001-9630-7477; Burke, Andrea/0000-0002-3754-1498; Stewart, Joseph/0000-0003-3092-5058; Rae, James/0000-0003-3904-2526; Pryer, Helena/0000-0001-8427-1358; Spooner, Peter/0000-0003-1147-081X; Williams, Branwen/0000-0001-6378-9828; Samperiz, Ana/0000-0002-9553-1124</t>
  </si>
  <si>
    <t>Dalio Explore Fund; NERC [278705, NE/S001743/1, NE/R005117/1, NE/N003861/1]; NERC Stable isotope Grant; Antarctic Bursary; ERC; NERC [NE/S001743/1, NE/N003861/1, NE/R005117/1, bgs06003] Funding Source: UKRI</t>
  </si>
  <si>
    <t>Dalio Explore Fund; NERC(UK Research &amp; Innovation (UKRI)Natural Environment Research Council (NERC)); NERC Stable isotope Grant; Antarctic Bursary; ERC(European Research Council (ERC)); NERC(UK Research &amp; Innovation (UKRI)Natural Environment Research Council (NERC))</t>
  </si>
  <si>
    <t>We acknowledge the crew and researchers on board the research vessels that obtained the samples for this study. AL0508 was supported by The Dalio Explore Fund. We also acknowledge the Galapagos National Park directorate for permission to map and collect submarine rock and biological samples (PC-44-15), and the Charles Darwin Foundation for facilitating scientific collaboration in the Galapagos. We thank C. Coath, C. Taylor, M. Knaak, Q. Liu, R. Greenop, E. Littley, and J. Crumpton-Banks for their help with laboratory work. This is publication number 175 of Huinay Scientific Field Station. Funding was provided by an Antarctic Bursary awarded to J.A.S., ERC and NERC grants awarded to L.F.R. (278705, NE/S001743/1, NE/R005117/1) and L.F.R. and J.W.B.R. (NE/N003861/1), and a NERC Stable isotope Grant.</t>
  </si>
  <si>
    <t>10.1016/j.epsl.2020.116412</t>
  </si>
  <si>
    <t>ML0RC</t>
  </si>
  <si>
    <t>WOS:000549183200012</t>
  </si>
  <si>
    <t>Campbell, SL; Jones, PJ; Williamson, GJ; Wheeler, AJ; Lucani, C; Bowman, DMJS; Johnston, FH</t>
  </si>
  <si>
    <t>Campbell, Sharon L.; Jones, Penelope J.; Williamson, Grant J.; Wheeler, Amanda J.; Lucani, Christopher; Bowman, David M. J. S.; Johnston, Fay H.</t>
  </si>
  <si>
    <t>Using Digital Technology to Protect Health in Prolonged Poor Air Quality Episodes: A Case Study of the AirRater App during the Australian 2019-20 Fires</t>
  </si>
  <si>
    <t>FIRE-SWITZERLAND</t>
  </si>
  <si>
    <t>smoke; particulate matter; smartphone app; digital technology</t>
  </si>
  <si>
    <t>CARDIOVASCULAR-DISEASE; BUSHFIRE SMOKE; MORTALITY; INDIVIDUALS; POLLUTION; WILDFIRE; RISK</t>
  </si>
  <si>
    <t>In the southern hemisphere summer of 2019-20, Australia experienced its most severe bushfire season on record. Smoke from fires affected 80% of the population, with large and prolonged exceedances of the Australian National Air Quality Standard for fine particulate matter (PM2.5) recorded in all major population centers. We examined if AirRater, a free smartphone app that reports air quality and tracks user symptoms in near real-time, assisted those populations to reduce their smoke exposure and protect their health. We distributed an online survey to over 13,000 AirRater users to assess how they used this information during the 2019-20 bushfire season, and why it was helpful to aid decision-making in reducing personal smoke exposure. We received responses from 1732 users (13.3%). Respondents reported the app was highly useful, supporting informed decision-making regarding daily activities during the smoke-affected period. Commonly reported activities supported by information provided through the app were staying inside (76%), rescheduling or planning outdoor activities (64%), changing locations to less affected areas (29%) and informing decisions on medication use (15%). Innovative and easy-to-use smartphone apps such as AirRater, that provide individual-level and location-specific data, can enable users to reduce their exposure to environmental hazards and therefore protect their health.</t>
  </si>
  <si>
    <t>[Campbell, Sharon L.; Jones, Penelope J.; Wheeler, Amanda J.; Johnston, Fay H.] Univ Tasmania, Menzies Inst Med Res, 17 Liverpool St, Hobart, Tas 7000, Australia; [Campbell, Sharon L.; Johnston, Fay H.] Dept Hlth Tasmania, Publ Hlth Serv, 25 Argyle St, Hobart, Tas 7000, Australia; [Williamson, Grant J.; Lucani, Christopher; Bowman, David M. J. S.] Univ Tasmania, Sch Nat Sci, Bay Campus,Churchill Ave, Hobart, Tas 7001, Australia; [Wheeler, Amanda J.] Australian Catholic Univ, Mary Mackillop Inst Hlth Res, 215 Spring St, Melbourne, Vic 3000, Australia</t>
  </si>
  <si>
    <t>University of Tasmania; Menzies Institute for Medical Research; University of Tasmania; Australian Catholic University; Melbourne Genomics Health Alliance</t>
  </si>
  <si>
    <t>Johnston, FH (corresponding author), Univ Tasmania, Menzies Inst Med Res, 17 Liverpool St, Hobart, Tas 7000, Australia.;Johnston, FH (corresponding author), Dept Hlth Tasmania, Publ Hlth Serv, 25 Argyle St, Hobart, Tas 7000, Australia.</t>
  </si>
  <si>
    <t>fay.johnston@utas.edu.au</t>
  </si>
  <si>
    <t>Williamson, Grant/J-7514-2014; Bowman, David M.J.S./A-2930-2011; Wheeler, Amanda/H-1493-2019</t>
  </si>
  <si>
    <t>Williamson, Grant/0000-0002-3469-7550; Bowman, David M.J.S./0000-0001-8075-124X; Wheeler, Amanda/0000-0001-9288-8163; Campbell, Sharon/0000-0002-9788-5372; Jones, Penelope/0000-0002-4880-6711; Johnston, Fay Helena/0000-0002-5150-8678</t>
  </si>
  <si>
    <t>Australian Postgraduate Award; Antarctic Climate and Ecosystems Cooperative Research Centre (ACE CRC); University of Tasmania; Tasmanian Department of Health; Northern Territory Environmental Protection Authority; ACT Health</t>
  </si>
  <si>
    <t>Australian Postgraduate Award(Australian Government); Antarctic Climate and Ecosystems Cooperative Research Centre (ACE CRC)(Australian GovernmentDepartment of Industry, Innovation and ScienceCooperative Research Centres (CRC) Programme); University of Tasmania; Tasmanian Department of Health; Northern Territory Environmental Protection Authority; ACT Health</t>
  </si>
  <si>
    <t>The first author is supported through the Australian Postgraduate Award and the Antarctic Climate and Ecosystems Cooperative Research Centre (ACE CRC). AirRater is a free public health intervention financially supported by the University of Tasmania and various state government agencies (Tasmanian Department of Health, ACT Health and the Northern Territory Environmental Protection Authority). AirRater acquires health data with the user's explicit consent in accordance with human ethics approvals.</t>
  </si>
  <si>
    <t>2571-6255</t>
  </si>
  <si>
    <t>FIRE-BASEL</t>
  </si>
  <si>
    <t>Fire-Switzerland</t>
  </si>
  <si>
    <t>10.3390/fire3030040</t>
  </si>
  <si>
    <t>Ecology; Forestry</t>
  </si>
  <si>
    <t>Environmental Sciences &amp; Ecology; Forestry</t>
  </si>
  <si>
    <t>US6XD</t>
  </si>
  <si>
    <t>WOS:000697569800015</t>
  </si>
  <si>
    <t>Siegelman, L; Klein, P; Thompson, AF; Torres, HS; Menemenlis, D</t>
  </si>
  <si>
    <t>Siegelman, Lia; Klein, Patrice; Thompson, Andrew F.; Torres, Hector S.; Menemenlis, Dimitris</t>
  </si>
  <si>
    <t>Altimetry-Based Diagnosis of Deep-Reaching Sub-Mesoscale Ocean Fronts</t>
  </si>
  <si>
    <t>FLUIDS</t>
  </si>
  <si>
    <t>altimetry; finite-size Lyapunov exponent; ocean dynamics; sub-mesoscale</t>
  </si>
  <si>
    <t>LYAPUNOV EXPONENTS; DYNAMICS; RESTRATIFICATION; EQUILIBRATION; DISSIPATION; DISPERSION; CRITERION; VELOCITY; VECTORS; MOTIONS</t>
  </si>
  <si>
    <t>Recent studies demonstrate that energetic sub-mesoscale fronts (10-50 km width) extend in the ocean interior, driving large vertical velocities and associated fluxes. However, diagnosing the dynamics of these deep-reaching fronts from in situ observations remains challenging because of the lack of information on the 3-D structure of the horizontal velocity. Here, a realistic numerical simulation in the Antarctic Circumpolar Current (ACC) is used to study the dynamics of submesocale fronts in relation to velocity gradients, responsible for the formation of these fronts. Results highlight that the stirring properties of the flow at depth, which are related to the velocity gradients, can be inferred from finite-size Lyapunov exponent (FSLE) at the surface. Satellite altimetry observations of FSLE and velocity gradients are then used in combination with recent in situ observations collected by an elephant seal in the ACC to reconstruct frontal dynamics and their associated vertical velocities down to 500 m. The approach proposed here is well suited for the analysis of sub-mesoscale-resolving datasets and the design of future sub-mesoscale field campaigns.</t>
  </si>
  <si>
    <t>[Siegelman, Lia; Klein, Patrice; Thompson, Andrew F.] CALTECH, Environm Sci &amp; Engn, Pasadena, CA 91125 USA; [Siegelman, Lia; Klein, Patrice; Torres, Hector S.; Menemenlis, Dimitris] CALTECH, Jet Prop Lab, Pasadena, CA 91109 USA; [Klein, Patrice] Univ Bretagne Occidentale, CNRS, IFREMER, Lab Ocean Phys &amp; Satellite Remote Sensing, F-29280 Plouzane, France; [Klein, Patrice] CNRS, Ecole Normale Super, Lab Meteorol Dynam, F-75005 Paris, France</t>
  </si>
  <si>
    <t>California Institute of Technology; National Aeronautics &amp; Space Administration (NASA); NASA Jet Propulsion Laboratory (JPL); California Institute of Technology; Universite de Bretagne Occidentale; Centre National de la Recherche Scientifique (CNRS); Ifremer; Universite PSL; Ecole Normale Superieure (ENS); Sorbonne Universite; Centre National de la Recherche Scientifique (CNRS)</t>
  </si>
  <si>
    <t>Siegelman, L (corresponding author), CALTECH, Environm Sci &amp; Engn, Pasadena, CA 91125 USA.;Siegelman, L (corresponding author), CALTECH, Jet Prop Lab, Pasadena, CA 91109 USA.</t>
  </si>
  <si>
    <t>lsiegelman@caltech.edu; pklein@caltech.edu; andrewt@caltech.edu; Hector.Torres.Gutierrez@jpl.nasa.gov; dimitris.menemenlis@jpl.nasa.gov</t>
  </si>
  <si>
    <t>Menemenlis, Dimitris/G-8091-2017; Torres, Héctor/GXG-1780-2022</t>
  </si>
  <si>
    <t>Menemenlis, Dimitris/0000-0001-9940-8409; Siegelman, Lia/0000-0003-3330-082X; Torres, Hector/0000-0003-2098-8012</t>
  </si>
  <si>
    <t>NASA; Physical Oceanography (PO) and Modeling, Analysis, and Prediction (MAP) Programs; Caltech-JPL postdoctoral fellowship; NASA NPP Senior Fellowship; SWOT; S-Mode project; David and Lucille Packard Foundation; NASA [NNX16AG42G]; NASA [NNX16AG42G, 905005] Funding Source: Federal RePORTER</t>
  </si>
  <si>
    <t>NASA(National Aeronautics &amp; Space Administration (NASA)); Physical Oceanography (PO) and Modeling, Analysis, and Prediction (MAP) Programs; Caltech-JPL postdoctoral fellowship; NASA NPP Senior Fellowship; SWOT; S-Mode project; David and Lucille Packard Foundation(The David &amp; Lucile Packard Foundation); NASA(National Aeronautics &amp; Space Administration (NASA)); NASA(National Aeronautics &amp; Space Administration (NASA))</t>
  </si>
  <si>
    <t>L.S., H.S.T. and D.M. carried research at the Jet Propulsion Laboratory, California Institute of Technology, under a contract with NASA with support from the Physical Oceanography (PO) and Modeling, Analysis, and Prediction (MAP) Programs. L.S. is a NASA-JVSRP affiliate and is supported by a Caltech-JPL postdoctoral fellowship. P.K. is supported by a NASA NPP Senior Fellowship and by the SWOT and S-Mode projects. A.F.T. is supported by the David and Lucille Packard Foundation and NASA grant NNX16AG42G.</t>
  </si>
  <si>
    <t>2311-5521</t>
  </si>
  <si>
    <t>Fluids</t>
  </si>
  <si>
    <t>10.3390/fluids5030145</t>
  </si>
  <si>
    <t>Mechanics; Physics, Fluids &amp; Plasmas</t>
  </si>
  <si>
    <t>Mechanics; Physics</t>
  </si>
  <si>
    <t>OE0PX</t>
  </si>
  <si>
    <t>WOS:000580244900001</t>
  </si>
  <si>
    <t>Hashihama, F; Saito, H; Shiozaki, T; Ehama, M; Suwa, S; Sugiyama, T; Kato, H; Kanda, J; Sato, M; Kodama, T; Yamaguchi, T; Horii, S; Tanita, I; Takino, S; Takahashi, K; Ogawa, H; Boyd, PW; Furuya, K</t>
  </si>
  <si>
    <t>Hashihama, Fuminori; Saito, Hiroaki; Shiozaki, Takuhei; Ehama, Makoto; Suwa, Shuhei; Sugiyama, Takanori; Kato, Haruka; Kanda, Jota; Sato, Mitsuhide; Kodama, Taketoshi; Yamaguchi, Tamaha; Horii, Sachiko; Tanita, Iwao; Takino, Shota; Takahashi, Kazutaka; Ogawa, Hiroshi; Boyd, Philip W.; Furuya, Ken</t>
  </si>
  <si>
    <t>Biogeochemical Controls of Particulate Phosphorus Distribution Across the Oligotrophic Subtropical Pacific Ocean</t>
  </si>
  <si>
    <t>NORTH PACIFIC; NITROGEN-FIXATION; PHOSPHATE AVAILABILITY; CARBON SEQUESTRATION; ULTIMATE CONTROL; ORGANIC-MATTER; EUPHOTIC ZONE; POLYPHOSPHATE; PLANKTON; NITRATE</t>
  </si>
  <si>
    <t>We investigated basin-wide distributions of total particulate phosphorus (TPP) and associated biogeochemical parameters in the euphotic zone (EZ) of the subtropical North and South Pacific Ocean. TPP is primarily composed of living microorganisms, and its distribution is likely controlled by nitrogen (N) supply in typical N-limited Pacific waters as well as phosphorus (P) supply in P-limited western North Pacific. TPP concentrations showed a vertically uniform distribution (approximately 15 nM) within the EZ at most stations, but at several northern North Pacific stations, TPP peaks (&gt;20 nM) were observed in the lower EZ where nitrate and nitrite concentrations were high. Relationships between TPP and biogeochemical parameters indicate that a possible factor controlling TPP in the upper EZ was dinitrogen fixation and that in the lower EZ was shoaling of the nitracline. Geographical distribution of TPP was relatively uniform compared to that of phosphate, which varied from 100 nM in the eastern North and South Pacific. The western North Pacific was a domain characterized by lower dissolved organic P (DOP) concentrations, higher alkaline phosphatase activities, and higher particulate polyphosphate (PpolyP):TPP ratios compared to other domains. These characteristics indicated that active DOP utilization and PpolyP accumulation could play important roles in the maintenance of TPP stocks as alternatives to phosphate utilization in this distinctive domain. Our results demonstrated that TPP distributions were vertically and geographically uniform across the subtropical Pacific Ocean, concealing that TPP stocks were likely underpinned by a range of nutrient supply mechanisms.</t>
  </si>
  <si>
    <t>[Hashihama, Fuminori; Ehama, Makoto; Suwa, Shuhei; Sugiyama, Takanori; Kato, Haruka; Kanda, Jota] Tokyo Univ Marine Sci &amp; Technol, Dept Ocean Sci, Tokyo, Japan; [Hashihama, Fuminori; Boyd, Philip W.] Univ Tasmania, Inst Marine &amp; Antarctic Studies, Hobart, Tas, Australia; [Saito, Hiroaki; Shiozaki, Takuhei; Ogawa, Hiroshi] Univ Tokyo, Atmosphere &amp; Ocean Res Inst, Chiba, Japan; [Shiozaki, Takuhei; Sato, Mitsuhide; Kodama, Taketoshi; Yamaguchi, Tamaha; Horii, Sachiko; Tanita, Iwao; Takino, Shota; Takahashi, Kazutaka; Furuya, Ken] Univ Tokyo, Grad Sch Agr &amp; Life Sci, Dept Aquat Biosci, Tokyo, Japan; [Kodama, Taketoshi; Yamaguchi, Tamaha] Japan Fisheries Res &amp; Educ Agcy, Fisheries Resources Inst, Kawasaki, Kanagawa, Japan; [Horii, Sachiko] Japan Fisheries Res &amp; Educ Agcy, Fisheries Resources Inst, Nagasaki, Japan; [Tanita, Iwao] Japan Fisheries Res &amp; Educ Agcy, Fisheries Technol Inst, Okinawa, Japan; [Furuya, Ken] Soka Univ, Grad Sch Sci &amp; Engn, Tokyo, Japan</t>
  </si>
  <si>
    <t>Tokyo University of Marine Science &amp; Technology; University of Tasmania; University of Tokyo; University of Tokyo; Japan Fisheries Research &amp; Education Agency (FRA); Japan Fisheries Research &amp; Education Agency (FRA); Japan Fisheries Research &amp; Education Agency (FRA); Soka University</t>
  </si>
  <si>
    <t>Hashihama, F (corresponding author), Tokyo Univ Marine Sci &amp; Technol, Dept Ocean Sci, Tokyo, Japan.;Hashihama, F (corresponding author), Univ Tasmania, Inst Marine &amp; Antarctic Studies, Hobart, Tas, Australia.</t>
  </si>
  <si>
    <t>f-hashi@kaiyodai.ac.jp</t>
  </si>
  <si>
    <t>Takahashi, Kazutaka/JGD-3301-2023; Boyd, Philip W/J-7624-2014; SAITO, HIROAKI/J-6948-2017; Kanda, Jota/O-1881-2014; Hashihama, Fuminori/O-1924-2014; Tanita, Iwao/AAL-9846-2021; Kodama, Taketoshi/D-4305-2018</t>
  </si>
  <si>
    <t>SAITO, HIROAKI/0000-0002-5502-9076; Kanda, Jota/0000-0002-5099-6278; Hashihama, Fuminori/0000-0003-3835-7681; Tanita, Iwao/0000-0001-5382-7624; furuya, ken/0000-0002-3507-5489; Kodama, Taketoshi/0000-0001-8031-7881; Shiozaki, Takuhei/0000-0002-5160-3472; Horii, Sachiko/0000-0002-7467-4046; Sato, Mitsuhide/0000-0002-4449-7050; Takahashi, Kazutaka/0000-0002-5846-0240</t>
  </si>
  <si>
    <t>JSPS/MEXT KAKENHI [22710006, 24710004, 24121001, 24121003, 24121005, 24121006, 15H02802, 17H01852]; Grants-in-Aid for Scientific Research [22710006, 24710004, 17H01852, 24121006, 15H02802] Funding Source: KAKEN</t>
  </si>
  <si>
    <t>JSPS/MEXT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</si>
  <si>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We thank the officers, crew, and scientists of the R/V Hakuho Maru (Japan Agency for Marine-Earth Science and Technology) for their cooperation at sea. The R/V Hakuho Maru cruises were performed under the cooperative research system of Atmosphere and Ocean Research Institute, the University of Tokyo. We also thank Thierry Moutin and an anonymous reviewer for constructive feedback. This work was financially supported by JSPS/MEXT KAKENHI (22710006, 24710004, 24121001, 24121003, 24121005, 24121006, 15H02802, and 17H01852).</t>
  </si>
  <si>
    <t>e2020GB006669</t>
  </si>
  <si>
    <t>10.1029/2020GB006669</t>
  </si>
  <si>
    <t>WOS:000576406900019</t>
  </si>
  <si>
    <t>Mardones, JI; Norambuena, L; Paredes, J; Fuenzalida, G; Dorantes-Aranda, JJ; Chang, KJL; Guzmán, L; Krock, B; Hallegraeff, G</t>
  </si>
  <si>
    <t>Mardones, Jorge, I; Norambuena, Luis; Paredes, Javier; Fuenzalida, Gonzalo; Dorantes-Aranda, Juan Jose; Chang, Kim J. Lee; Guzman, Leonardo; Krock, Bernd; Hallegraeff, Gustaaf</t>
  </si>
  <si>
    <t>Unraveling the Karenia selliformis complex with the description of a non-gymnodimine producing Patagonian phylotype</t>
  </si>
  <si>
    <t>Phylogeny; SEM; Growth rate; Ichthyotoxicity; ROS and PUFA; LC-MS/MS screening; Pigment composition, Chile</t>
  </si>
  <si>
    <t>RED TIDE DINOFLAGELLATE; GYMNODINIUM CF. MIKIMOTOI; FATTY-ACID 18/5N3; FISH GILL DAMAGE; ALEXANDRIUM-OSTENFELDII; MOLECULAR-DETECTION; PLANKTONIC DIATOMS; DINOPHYCEAE; BREVIS; PHYLOGENY</t>
  </si>
  <si>
    <t>Karenia selliformis is a bloom-forming toxic dinoflagellate known for production of gymnodimines (GYMs) and causing mass mortalities of marine fauna. Blooms have been reported from coastal waters of New Zealand, Mexico, Tunisia, Kuwait, Iran, China and Chile. Based on molecular phylogeny, morphology, toxin production, pigment composition and cell growth of Chilean K. selliformis isolated in 2018 (CREAN_KS01 and CREAN_KS02), this study revealed a more complex diversity within this species than previously thought. A phylogenetic reconstruction based on the large sub-unit ribosomal nucleotide (LSU rDNA) and Internal Transcriber Spacer (ITS) sequences of 12 worldwide isolates showed that within the K. selliformis clade there are at least two different phylotypes with clear phenotypic differences. Morphological differences related to the dorsal-ventral compression, shape of the hyposome and the presence of pores on the left lobe of the hyposome. A comparison of pigment signatures among worldwide isolates revealed the existence of both acyl-oxyfucoxanthin and fucoxanthin-rich strains within the phylotypes. A LC-MS/MS screening on both Chilean 2018 K. selliformis strains showed for first time no GYMs production among cultured clones of this species. However, both CREAN_KS01 and CREAN_KS02 contained two compounds with the same mass transition as brevenal, a brevetoxin related compound. A fish gill cell-based assay showed that the CREAN_KS02 strain was highly cytotoxic but pure GYM standard did not exhibit loss of cell viability, even at cell concentrations equivalent or exceeding those reported in nature. The fatty acid profile of CREAN_KS02 included high levels of saturated (14:0; 16:0) and polyunsaturated (18:3 omega 6+18:5 omega 3; 22:6 omega 3) fatty acids but superoxide production in this strain was low (0.86 +/- 0.53 pmol O-2- cell(-1) h(-1)). A factorial T-S growth experiment using the CREAN_KS02 strain showed a mu(max) of 0.41 +/- 0.03 d(-1) at high salinity and temperature, which points to its optimal environmental niche in offshore waters during the summer season. In conclusion, the present study provides evidence for significant genetic and phenotypic variability among worldwide isolates, which points to the existence of a K. selliformis species complex. The massive fauna mortality during K. selliformis bloom events in the Chilean coast cannot be explained by GYMs nor brevetoxins, but can to a large extent be accounted for by the high production of longchain PUFAs and/or still uncharacterized highly toxic compounds.</t>
  </si>
  <si>
    <t>[Mardones, Jorge, I; Norambuena, Luis; Paredes, Javier; Fuenzalida, Gonzalo; Guzman, Leonardo] Inst Fomento Pesquero IFOP, Ctr Estudios Algas Noc CREAN, Puerto Montt, Chile; [Dorantes-Aranda, Juan Jose; Hallegraeff, Gustaaf] Univ Tasmania, Inst Marine &amp; Antarctic Studies IMAS, Hobart, Tas, Australia; [Chang, Kim J. Lee] CSIRO Ocean &amp; Atmosphere, GPO Box 1538, Hobart, Tas 7001, Australia; [Krock, Bernd] Helmholtz Zentrum Polar &amp; Meeresforsch, Alfred Wegener Inst, Handelshafen 12, D-27570 Bremerhaven, Germany</t>
  </si>
  <si>
    <t>Instituto de Fomento Pesquero (Valparaiso); University of Tasmania; Commonwealth Scientific &amp; Industrial Research Organisation (CSIRO); Helmholtz Association; Alfred Wegener Institute, Helmholtz Centre for Polar &amp; Marine Research</t>
  </si>
  <si>
    <t>Mardones, JI (corresponding author), Inst Fomento Pesquero IFOP, Ctr Estudios Algas Noc CREAN, Puerto Montt, Chile.</t>
  </si>
  <si>
    <t>jorge.mardones@ifop.cl</t>
  </si>
  <si>
    <t>Dorantes-Aranda, Juan Jose/J-7737-2014; Hallegraeff, Gustaaf/C-8351-2013</t>
  </si>
  <si>
    <t>Dorantes-Aranda, Juan J./0000-0003-1513-6501; Norambuena, Luis/0000-0001-8196-1767; Hallegraeff, Gustaaf/0000-0001-8464-7343</t>
  </si>
  <si>
    <t>Instituto de Fomento Pesquero (IFOP) [MR656-114, MR656-123, CORFO 480-018]</t>
  </si>
  <si>
    <t>Instituto de Fomento Pesquero (IFOP)</t>
  </si>
  <si>
    <t>The authors thank Andrea Bourdelais, University of North Carolina Wilmington, for the provision of a CID spectrum of brevenal and colleagues from the CREAN laboratory for microalgae culture support. Funding was provided by the Instituto de Fomento Pesquero (IFOP) (Grants MR656-114, MR656-123, and CORFO 480-018).</t>
  </si>
  <si>
    <t>10.1016/j.hal.2020.101892</t>
  </si>
  <si>
    <t>WOS:000583196800009</t>
  </si>
  <si>
    <t>Banks, TM; Wang, TF; Fitzgibbon, QP; Smith, GG; Ventura, T</t>
  </si>
  <si>
    <t>Banks, Thomas M.; Wang, Tianfang; Fitzgibbon, Quinn P.; Smith, Gregory G.; Ventura, Tomer</t>
  </si>
  <si>
    <t>Double-Stranded RNA Binding Proteins in Serum Contribute to Systemic RNAi Across Phyla-Towards Finding the Missing Link in Achelata</t>
  </si>
  <si>
    <t>decapod crustaceans; dsRNA transport; gene silencing mechanism; serum dsRNA binding proteins; systemic RNAi</t>
  </si>
  <si>
    <t>CELLULAR UPTAKE; DESERT LOCUST; SPINY LOBSTER; DSRNA; CRAYFISH; INTERFERENCE; ENDOCYTOSIS; MECHANISMS; VIRUS; LIPOPROTEINS</t>
  </si>
  <si>
    <t>RNA interference (RNAi) has become a widely utilized method for studying gene function, yet despite this many of the mechanisms surrounding RNAi remain elusive. The core RNAi machinery is relatively well understood, however many of the systemic mechanisms, particularly double-stranded RNA (dsRNA) transport, are not. Here, we demonstrate that dsRNA binding proteins in the serum contribute to systemic RNAi and may be the limiting factor in RNAi capacity for species such as spiny lobsters, where gene silencing is not functional. Incubating sera from a variety of species across phyla with dsRNA led to a gel mobility shift in species in which systemic RNAi has been observed, with this response being absent in species in which systemic RNAi has never been observed. Proteomic analysis suggested lipoproteins may be responsible for this phenomenon and may transport dsRNA to spread the RNAi signal systemically. Following this, we identified the same gel shift in the slipper lobster Thenus australiensis and subsequently silenced the insulin androgenic gland hormone, marking the first time RNAi has been performed in any lobster species. These results pave the way for inducing RNAi in spiny lobsters and for a better understanding of the mechanisms of systemic RNAi in Crustacea, as well as across phyla.</t>
  </si>
  <si>
    <t>[Banks, Thomas M.; Wang, Tianfang; Ventura, Tomer] Univ Sunshine Coast Usc, GeneCol Res Ctr, Sch Sci &amp; Engn, 4 Locked Bag, Maroochydore, Qld 4558, Australia; [Fitzgibbon, Quinn P.; Smith, Gregory G.] Univ Tasmania, Inst Marine &amp; Antarctic Studies IMAS, Private Bag 49, Hobart, Tas 7001, Australia</t>
  </si>
  <si>
    <t>Ventura, T (corresponding author), Univ Sunshine Coast Usc, GeneCol Res Ctr, Sch Sci &amp; Engn, 4 Locked Bag, Maroochydore, Qld 4558, Australia.</t>
  </si>
  <si>
    <t>tmb042@student.usc.edu.au; twang@usc.edu.au; quinn.fitzgibbon@utas.edu.au; gregory.smith@utas.edu.au; tventura@usc.edu.au</t>
  </si>
  <si>
    <t>Wang, Tianfang/L-5192-2016; Ventura, T./H-9832-2019; Smith, Gregory/C-9263-2013</t>
  </si>
  <si>
    <t>Wang, Tianfang/0000-0002-4876-7767; Ventura, T./0000-0002-0777-2367; Smith, Gregory/0000-0002-8677-1230; Fitzgibbon, Quinn/0000-0002-1104-3052</t>
  </si>
  <si>
    <t>10.3390/ijms21186967</t>
  </si>
  <si>
    <t>OF6OO</t>
  </si>
  <si>
    <t>WOS:000581324600001</t>
  </si>
  <si>
    <t>Hernando, M; Varela, DE; Malanga, G; Almandoz, GO; Schloss, IR</t>
  </si>
  <si>
    <t>Hernando, Marcelo; Varela, Diana E.; Malanga, Gabriela; Almandoz, Gaston O.; Schloss, Irene R.</t>
  </si>
  <si>
    <t>Effects of climate-induced changes in temperature and salinity on phytoplankton physiology and stress responses in coastal Antarctica</t>
  </si>
  <si>
    <t>Phytoplankton assemblages; Antarctica; High temperature; Low salinity; Antioxidant; Biomass; Nutrients</t>
  </si>
  <si>
    <t>MARINE-PHYTOPLANKTON; NITRATE UPTAKE; OXIDATIVE STRESS; NITROGEN UPTAKE; DIATOMS; GROWTH; SIZE; CO2; OXYGEN; ACID</t>
  </si>
  <si>
    <t>Coastal phytoplankton assemblages from Potter Cove in Antarctica were exposed to low salinity (S-) and high temperature (T +) conditions to simulate oceanic changes resulting from global warming. The treatments were: low salinity (30) and high temperature (S-T +); low salinity and ambient temperature (1-2 degrees C) (S-T0); ambient salinity (34) and increased temperature (4-5 degrees C) (SOT +) and ambient salinity with ambient temperature (control, SOTO). Experiments were conducted in 100-L microcosms and monitored for 6 days. Compared to the control treatment, micro-size diatoms (25-50 mu m) dominated the phytoplankton assemblages while prasinophyceae were less abundant at the end of the S-T +/- and SOT + treatments. Nano-size diatoms (10-20 mu m) also increased significantly at the end of the experiment but only when exposed to SOT +. In S- treatments, the production of reactive oxygen/ nitrogen species (ROS/RNS) increased while phytoplankton biomass decreased. Under T+ conditions, the production of ROS/RNS was significantly lower than in T0 treatments. Throughout the experiment, alpha-Tocopherol (alpha-T) consumption may have prevented lipid damage, allowing for increases in photosynthetic rate and growth when nutrients concentrations were sufficiently high. Our results indicate that an increase in temperature can compensate for the lipid damage produced by low salinity, and stimulate carbon uptake in both conditions. This study demonstrated that the final composition of phytoplankton assemblages in all experimental treatments was strongly influenced by the original composition. Future changes in natural phytoplankton assemblages in Antarctic coastal waters will therefore depend on the planktonic species present at the time of the perturbation, which can strongly impact energy flow along food webs and the magnitude of carbon and nutrient fluxes in Antarctic waters.</t>
  </si>
  <si>
    <t>[Hernando, Marcelo] Comis Nacl Energia Atom, Dept Radiobiol, Buenos Aires, DF, Argentina; [Varela, Diana E.] Univ Victoria, Sch Earth &amp; Ocean Sci, Dept Biol, Victoria, BC, Canada; [Malanga, Gabriela] Univ Buenos Aires, Fac Farm &amp; Bioquim, IBIMOL Fis Quim, Buenos Aires, DF, Argentina; [Malanga, Gabriela; Almandoz, Gaston O.] Consejo Nacl Invest Cient &amp; Tecn, Buenos Aires, DF, Argentina; [Almandoz, Gaston O.] Univ Nacl La Plata, Div Ficol, Fac Ciencias Nat &amp; Museo, La Plata, Argentina; [Schloss, Irene R.] Inst Antartico Argentino, Buenos Aires, DF, Argentina; [Schloss, Irene R.] Ctr Austral Invest Cient CONICET, Ushuaia, Tierra Del Fueg, Argentina; [Schloss, Irene R.] Univ Nacl Tierra del Fuego, Ushuaia, Argentina</t>
  </si>
  <si>
    <t>Comision Nacional de Energia Atomica (CNEA); University of Victoria; University of Buenos Aires; Consejo Nacional de Investigaciones Cientificas y Tecnicas (CONICET); National University of La Plata; Museo La Plata; Instituto Antartico Argentino; Consejo Nacional de Investigaciones Cientificas y Tecnicas (CONICET)</t>
  </si>
  <si>
    <t>Hernando, M (corresponding author), Comis Nacl Energia Atom, Dept Radiobiol, Buenos Aires, DF, Argentina.</t>
  </si>
  <si>
    <t>mhernando@cnea.gov.ar</t>
  </si>
  <si>
    <t>National Agency for the Promotion of Science and Technology of Argentina (ANPCYT) [PICT 2011-1320]; Instituto Antartico Argentino; Consejo Nacional de Investigaciones Cientificas y Tecnicas (CONICET); Canadian NSERC Discovery Grant; IMCONet -Interdisciplinary Modelling of Climate Change in Coastal Western Antarctica -Network for Staff Exchange and Training, FP7-PEOPLE-2012-International Research Staff Exchange Scheme (IRSES) [318718]</t>
  </si>
  <si>
    <t>National Agency for the Promotion of Science and Technology of Argentina (ANPCYT)(ANPCyT); Instituto Antartico Argentino; Consejo Nacional de Investigaciones Cientificas y Tecnicas (CONICET)(Consejo Nacional de Investigaciones Cientificas y Tecnicas (CONICET)); Canadian NSERC Discovery Grant(Natural Sciences and Engineering Research Council of Canada (NSERC)); IMCONet -Interdisciplinary Modelling of Climate Change in Coastal Western Antarctica -Network for Staff Exchange and Training, FP7-PEOPLE-2012-International Research Staff Exchange Scheme (IRSES)</t>
  </si>
  <si>
    <t>We express our appreciation to the invaluable help provided by Silvia Rodriguez, Luis Vila, Leo Cantoni, Oscar Gonzalez and Alejandro Ulrich from the Instituto Antartico Argentino in the field and in the lab at the Carlini Station, and to Dr. Gustavo Ferreyra for his contributions to the design of the experiment and discussion of the results. Our thanks also go to Natalia Visintini for field and lab assistance for the alpha-T measurements. This study was supported by the National Agency for the Promotion of Science and Technology of Argentina (ANPCYT) (PICT 2011-1320 to Irene R. Schloss), the Instituto Antartico Argentino and Consejo Nacional de Investigaciones Cientificas y Tecnicas (CONICET). This study was part of the IMCONet -Interdisciplinary Modelling of Climate Change in Coastal Western Antarctica -Network for Staff Exchange and Training, FP7-PEOPLE-2012-International Research Staff Exchange Scheme (IRSES) 318718. Funding from a Canadian NSERC Discovery Grant awarded to D.E.V. was used to support isotopic and particulate elemental analysis and partial travel costs for D.E.V.</t>
  </si>
  <si>
    <t>10.1016/j.jembe.2020.151400</t>
  </si>
  <si>
    <t>WOS:000562582100004</t>
  </si>
  <si>
    <t>Anker, A; Barwick, SW; Bernhoff, H; Besson, DZ; Bingefors, N; García-Fernández, D; Gaswint, G; Glaser, C; Hallgren, A; Hanson, JC; Klein, SR; Kleinfelder, SA; Lahmann, R; Latif, U; Meyers, ZS; Nam, J; Novikov, A; Nelles, A; Paul, MP; Persichilli, C; Plaisier, I; Tatar, J; Wang, SH; Welling, C</t>
  </si>
  <si>
    <t>Anker, A.; Barwick, S. W.; Bernhoff, H.; Besson, D. Z.; Bingefors, N.; Garcia-Fernandez, D.; Gaswint, G.; Glaser, C.; Hallgren, A.; Hanson, J. C.; Klein, S. R.; Kleinfelder, S. A.; Lahmann, R.; Latif, U.; Meyers, Z. S.; Nam, J.; Novikov, A.; Nelles, A.; Paul, M. P.; Persichilli, C.; Plaisier, I; Tatar, J.; Wang, S-H; Welling, C.</t>
  </si>
  <si>
    <t>ARIANNA Collaboration</t>
  </si>
  <si>
    <t>Probing the angular and polarization reconstruction of the ARIANNA detector at the South Pole</t>
  </si>
  <si>
    <t>JOURNAL OF INSTRUMENTATION</t>
  </si>
  <si>
    <t>Data analysis; Performance of High Energy Physics Detectors; Systematic effects; Neutrino detectors</t>
  </si>
  <si>
    <t>The sources of ultra-high energy (UHE) cosmic rays, which can have energies up to 10(20) eV, remain a mystery. UHE neutrinos may provide important clues to understanding the nature of cosmic-ray sources. ARIANNA aims to detect UHE neutrinos via radio (Askaryan) emission from particle showers when a neutrino interacts with ice, which is an efficient method for neutrinos with energies between 10(16) eV and 10(20) eV. The ARIANNA radio detectors are located in Antarctic ice just beneath the surface. Neutrino observation requires that radio pulses propagate to the antennas at the surface with minimum distortion by the ice and firn medium. Using the residual hole from the South Pole Ice Core Project, radio pulses were emitted from a transmitter located up to 1.7 km below the snow surface. By measuring these signals with an ARIANNA surface station, the angular and polarization reconstruction abilities are quantified, which are required to measure the direction of the neutrino. After deconvolving the raw signals for the detector response and attenuation from propagation through the ice, the signal pulses show no significant distortion and agree with a reference measurement of the emitter made in an anechoic chamber. Furthermore, the signal pulses reveal no significant birefringence for our tested geometry of mostly vertical ice propagation. The origin of the transmitted radio pulse was measured with an angular resolution of 0.37 degrees indicating that the neutrino direction can be determined with good precision if the polarization of the radio-pulse can be well determined. In the present study we obtained a resolution of the polarization vector of 2.7 degrees. Neither measurement show a significant offset relative to expectation.</t>
  </si>
  <si>
    <t>[Anker, A.; Barwick, S. W.; Gaswint, G.; Glaser, C.; Lahmann, R.; Paul, M. P.; Persichilli, C.; Tatar, J.] Univ Calif Irvine, Dept Phys &amp; Astron, Irvine, CA 92697 USA; [Bernhoff, H.] Uppsala Univ, Div Elect, Dept Engn Sci, SE-75237 Uppsala, Sweden; [Besson, D. Z.; Latif, U.; Novikov, A.] Univ Kansas, Dept Phys &amp; Astron, Lawrence, KS 66045 USA; [Besson, D. Z.; Novikov, A.] Natl Res Nucl Univ MEPhI, Moscow Engn Phys Inst, Moscow 115409, Russia; [Bingefors, N.; Glaser, C.; Hallgren, A.] Uppsala Univ, Dept Phys &amp; Astron, SE-75237 Uppsala, Sweden; [Garcia-Fernandez, D.; Meyers, Z. S.; Nelles, A.; Plaisier, I; Welling, C.] DESY, D-15738 Zeuthen, Germany; [Garcia-Fernandez, D.; Lahmann, R.; Meyers, Z. S.; Nelles, A.; Plaisier, I; Welling, C.] Friedrich Alexander Univ Erlangen Nurnberg, ECAP, D-91058 Erlangen, Germany; [Hanson, J. C.] Whittier Coll Dept Phys, Whittier, CA 90602 USA; [Klein, S. R.] Lawrence Berkeley Natl Lab, Berkeley, CA 94720 USA; [Kleinfelder, S. A.] Univ Calif Irvine, Dept Elect Engn &amp; Comp Sci, Irvine, CA 92697 USA; [Nam, J.; Wang, S-H] Natl Taiwan Univ, Dept Phys, Taipei 10617, Taiwan; [Nam, J.; Wang, S-H] Natl Taiwan Univ, Leung Ctr Cosmol &amp; Particle Astrophys, Taipei 10617, Taiwan; [Tatar, J.] Univ Calif Irvine, Res Cyberinfrastruct Ctr, Irvine, CA 92697 USA</t>
  </si>
  <si>
    <t>University of California System; University of California Irvine; Uppsala University; University of Kansas; National Research Nuclear University MEPhI (Moscow Engineering Physics Institute); Uppsala University; Helmholtz Association; Deutsches Elektronen-Synchrotron (DESY); University of Erlangen Nuremberg; United States Department of Energy (DOE); Lawrence Berkeley National Laboratory; University of California System; University of California Irvine; National Taiwan University; National Taiwan University; University of California System; University of California Irvine</t>
  </si>
  <si>
    <t>Gaswint, G (corresponding author), Univ Calif Irvine, Dept Phys &amp; Astron, Irvine, CA 92697 USA.</t>
  </si>
  <si>
    <t>sbarwick@uci.edu; ggaswint@uci.edu; christian.glaser@physics.uu.se</t>
  </si>
  <si>
    <t>Glaser, Christian/R-3021-2019; Nelles, Anna/AAU-1193-2020</t>
  </si>
  <si>
    <t>Glaser, Christian/0000-0001-5998-2553; Nelles, Anna/0000-0002-1720-6350; Hanson, Jordan/0000-0003-4055-4553; Lahmann, Robert/0009-0005-5493-1702</t>
  </si>
  <si>
    <t>U.S. National Science Foundation-Office of Polar Programs, the U.S. National Science Foundation-Physics Division [NSF-1607719]; German research foundation (DFG) [GL 914/11, NE 2031/2-1]; Taiwan Ministry of Science and Technology; Swedish Government strategic program StandUp for Energy; MEPhIAcademic Excellence Project [02.a03.21.0005]; Megagrant 2013 program of Russia [14.12.31.0006]</t>
  </si>
  <si>
    <t>U.S. National Science Foundation-Office of Polar Programs, the U.S. National Science Foundation-Physics Division; German research foundation (DFG)(German Research Foundation (DFG)); Taiwan Ministry of Science and Technology; Swedish Government strategic program StandUp for Energy; MEPhIAcademic Excellence Project; Megagrant 2013 program of Russia</t>
  </si>
  <si>
    <t>We are grateful to the U.S. National Science Foundation-Office of Polar Programs, the U.S. National Science Foundation-Physics Division (grant NSF-1607719) for granting the ARIANNA array at Moore's Bay. Without the invaluable support of the people at McMurdo, the ARIANNA stations would have never been built.; We acknowledge funding from the German research foundation (DFG) under grants GL 914/11 (CG) and NE 2031/2-1 (DGF, ANe, IP, CW), and the Taiwan Ministry of Science and Technology (JN, SHW). HBacknowledges support from theSwedish Government strategic program StandUp for Energy. DB andANo acknowledge support from the MEPhIAcademic Excellence Project (Contract No. 02.a03.21.0005) and the Megagrant 2013 program of Russia, via agreement 14.12.31.0006 from 24.06.2013.</t>
  </si>
  <si>
    <t>1748-0221</t>
  </si>
  <si>
    <t>J INSTRUM</t>
  </si>
  <si>
    <t>J. Instrum.</t>
  </si>
  <si>
    <t>P09039</t>
  </si>
  <si>
    <t>10.1088/1748-0221/15/09/P09039</t>
  </si>
  <si>
    <t>Instruments &amp; Instrumentation</t>
  </si>
  <si>
    <t>NZ7GZ</t>
  </si>
  <si>
    <t>WOS:000577273400039</t>
  </si>
  <si>
    <t>Riley, TR; Flowerdew, MJ; Burton-Johnson, A; Leat, PT; Millar, IL; Whitehouse, MJ</t>
  </si>
  <si>
    <t>Riley, Teal R.; Flowerdew, Michael J.; Burton-Johnson, Alex; Leat, Philip T.; Millar, Ian L.; Whitehouse, Martin J.</t>
  </si>
  <si>
    <t>Cretaceous arc volcanism of Palmer Land, Antarctic Peninsula: Zircon U-Pb geochronology, geochemistry, distribution and field relationships</t>
  </si>
  <si>
    <t>Gondwana; Rhyolite; Ignimbrite; Volcanic; Hafnium</t>
  </si>
  <si>
    <t>COAST INTRUSIVE SUITE; PROTO-PACIFIC MARGIN; SEA RIFT SYSTEM; WEST ANTARCTICA; ALEXANDER ISLAND; GRAHAM LAND; LU-HF; SILICIC VOLCANISM; PATAGONIAN ANDES; SHEAR ZONE</t>
  </si>
  <si>
    <t>The Cretaceous marks an episode of enhanced magmatism, sedimentation and tectonic processes along the entire proto-Pacific convergent margin of West Gondwana. Cretaceous magmatism across the Antarctic Peninsula is dominated by the intrusive Lassiter Coast intrusive suite which developed as episodic 'flare-up' events during the mid-Cretaceous, at a time of increased convergence. Volcanic rocks of this age are poorly defined, as a consequence of limited field observations and an absence of accurate geochronology. Recent field mapping, combined with unpublished field observations has identified a region &gt;10,000 km(2) of dominantly subaerial rhyolitic pyroclastic and epiclastic successions from northern Palmer Land of the Antarctic Peninsula. Volcanic successions up to 1500 m in thickness consist of dominantly silicic ignimbrites, lavas, heterolithic brecdas and lahar deposits, fed by caldera-forming eruptions. The volcanic rocks of this region were widely considered to be Early Cretaceous in age based on field relationships and early geochronology. New U-Pb zircon ages identify three distinct volcanic episodes during the Late Cretaceous/Early Cenozoic at similar to 108 Ma, similar to 93 Ma and similar to 64 Ma. Lu-Hf data indicate significant proportions of ancient crust in the petrogenesis of the volcanic rocks and the slightly negative epsilon Hf values are consistent with a mid-position (similar to 120 km) within the magmatic arc, relative to more juvenile compositions dose to the trench. (C) 2020 Elsevier B.V. All rights reserved.</t>
  </si>
  <si>
    <t>[Riley, Teal R.; Burton-Johnson, Alex; Leat, Philip T.] British Antarctic Survey, Madingley Rd, Cambridge CB3 0ET, England; [Flowerdew, Michael J.] CASP, Madingley Rd, Cambridge CB3 0UD, England; [Leat, Philip T.] Univ Leicester, Sch Geog Geol &amp; Environm, Univ Rd, Leicester LE1 7RH, Leics, England; [Millar, Ian L.] British Geol Survey, Nottingham NG12 5GG, England; [Whitehouse, Martin J.] Swedish Museum Nat Hist, Box 50007, SE-10405 Stockholm, Sweden</t>
  </si>
  <si>
    <t>UK Research &amp; Innovation (UKRI); Natural Environment Research Council (NERC); NERC British Antarctic Survey; University of Cambridge; University of Leicester; UK Research &amp; Innovation (UKRI); Natural Environment Research Council (NERC); NERC British Geological Survey; Swedish Museum of Natural History</t>
  </si>
  <si>
    <t>Whitehouse, Martin J/E-1425-2013; Millar, Ian L/F-1541-2010</t>
  </si>
  <si>
    <t>Riley, Teal/0000-0002-3333-5021; Flowerdew, Michael/0000-0002-9710-2593</t>
  </si>
  <si>
    <t>Natural Environment Research Council; NERC [bgs06001, bas0100029] Funding Source: UKRI</t>
  </si>
  <si>
    <t>This study is part of the British Antarctic Survey Polar Science for Planet Earth programme, funded by the Natural Environment Research Council. Bradley Morrell, Rob Grant and the air operations staff at Rothera Research Station in Antarctica are thanked for their field support. Kerstin Linden is thanked for her assistance at the NordSIMfacility. This is NordSIMcontribution number 646. This paper has benefited considerably from the thoughtful comments of two anonymous reviewers.</t>
  </si>
  <si>
    <t>10.1016/j.jvolgeores.2020.106969</t>
  </si>
  <si>
    <t>MV5CW</t>
  </si>
  <si>
    <t>WOS:000556376900032</t>
  </si>
  <si>
    <t>Kapun, M; Barrón, MG; Staubach, F; Obbard, DJ; Wiberg, RAW; Vieira, J; Goubert, C; Rota-Stabelli, O; Kankare, M; Bogaerts-Márquez, M; Haudry, A; Waidele, L; Kozeretska, I; Pasyukova, EG; Loeschcke, V; Pascual, M; Vieira, CP; Serga, S; Montchamp-Moreau, C; Abbott, J; Gibert, P; Porcelli, D; Posnien, N; Sánchez-Gracia, A; Grath, S; Sucena, É; Bergland, AO; Guerreiro, MPG; Onder, BS; Argyridou, E; Guio, L; Schou, MF; Deplancke, B; Vieira, C; Ritchie, MG; Zwaan, BJ; Tauber, E; Orengo, DJ; Puerma, E; Aguadé, M; Schmidt, P; Parsch, J; Betancourt, AJ; Flatt, T; González, J</t>
  </si>
  <si>
    <t>Kapun, Martin; Barron, Maite G.; Staubach, Fabian; Obbard, Darren J.; Wiberg, R. Axel W.; Vieira, Jorge; Goubert, Clement; Rota-Stabelli, Omar; Kankare, Maaria; Bogaerts-Marquez, Maria; Haudry, Annabelle; Waidele, Lena; Kozeretska, Iryna; Pasyukova, Elena G.; Loeschcke, Volker; Pascual, Marta; Vieira, Cristina P.; Serga, Svitlana; Montchamp-Moreau, Catherine; Abbott, Jessica; Gibert, Patricia; Porcelli, Damiano; Posnien, Nico; Sanchez-Gracia, Alejandro; Grath, Sonja; Sucena, Elio; Bergland, Alan O.; Garcia Guerreiro, Maria Pilar; Onder, Banu Sebnem; Argyridou, Eliza; Guio, Lain; Schou, Mads Fristrup; Deplancke, Bart; Vieira, Cristina; Ritchie, Michael G.; Zwaan, Bas J.; Tauber, Eran; Orengo, Dorcas J.; Puerma, Eva; Aguade, Montserrat; Schmidt, Paul; Parsch, John; Betancourt, Andrea J.; Flatt, Thomas; Gonzalez, Josefa</t>
  </si>
  <si>
    <t>Genomic Analysis of European Drosophila melanogaster Populations Reveals Longitudinal Structure, Continent-Wide Selection, and Previously Unknown DNA Viruses</t>
  </si>
  <si>
    <t>MOLECULAR BIOLOGY AND EVOLUTION</t>
  </si>
  <si>
    <t>population genomics; adaptation; demography; selection; clines; SNPs; structural variants</t>
  </si>
  <si>
    <t>INCIPIENT SEXUAL ISOLATION; AMINO-ACID POLYMORPHISM; TRANSPOSABLE ELEMENTS; INVERSION IN(3R)PAYNE; LATITUDINAL CLINE; NEXT-GENERATION; NORTH-AMERICAN; LIFE-HISTORY; NUCLEOTIDE POLYMORPHISM; NATURAL-POPULATIONS</t>
  </si>
  <si>
    <t>Genetic variation is the fuel of evolution, with standing genetic variation especially important for short-term evolution and local adaptation. To date, studies of spatiotemporal patterns of genetic variation in natural populations have been challenging, as comprehensive sampling is logistically difficult, and sequencing of entire populations costly. Here, we address these issues using a collaborative approach, sequencing 48 pooled population samples from 32 locations, and perform the first continent-wide genomic analysis of genetic variation in European Drosophila melanogaster. Our analyses uncover longitudinal population structure, provide evidence for continent-wide selective sweeps, identify candidate genes for local climate adaptation, and document clines in chromosomal inversion and transposable element frequencies. We also characterize variation among populations in the composition of the fly microbiome, and identify five new DNA viruses in our samples.</t>
  </si>
  <si>
    <t>[Kapun, Martin; Barron, Maite G.; Staubach, Fabian; Obbard, Darren J.; Wiberg, R. Axel W.; Vieira, Jorge; Goubert, Clement; Rota-Stabelli, Omar; Kankare, Maaria; Bogaerts-Marquez, Maria; Haudry, Annabelle; Waidele, Lena; Kozeretska, Iryna; Pasyukova, Elena G.; Loeschcke, Volker; Pascual, Marta; Vieira, Cristina P.; Serga, Svitlana; Montchamp-Moreau, Catherine; Abbott, Jessica; Gibert, Patricia; Porcelli, Damiano; Posnien, Nico; Sanchez-Gracia, Alejandro; Grath, Sonja; Sucena, Elio; Bergland, Alan O.; Garcia Guerreiro, Maria Pilar; Onder, Banu Sebnem; Argyridou, Eliza; Guio, Lain; Schou, Mads Fristrup; Deplancke, Bart; Vieira, Cristina; Ritchie, Michael G.; Zwaan, Bas J.; Tauber, Eran; Orengo, Dorcas J.; Puerma, Eva; Aguade, Montserrat; Schmidt, Paul; Parsch, John; Betancourt, Andrea J.; Flatt, Thomas; Gonzalez, Josefa] European Drosophila Populat Genom Consortium Dros, Barcelona, Spain; [Kapun, Martin; Flatt, Thomas] Univ Lausanne, Dept Ecol &amp; Evolut, Lausanne, Switzerland; [Kapun, Martin; Flatt, Thomas] Univ Fribourg, Dept Biol, Fribourg, Switzerland; [Barron, Maite G.; Bogaerts-Marquez, Maria; Guio, Lain; Gonzalez, Josefa] Univ Pompeu Fabra, Inst Evolutionary Biol, CSIC, Barcelona, Spain; [Staubach, Fabian; Waidele, Lena] Univ Freiburg, Dept Evolutionary Biol &amp; Ecol, Freiburg, Germany; [Obbard, Darren J.] Univ Edinburgh, Inst Evolutionary Biol, Edinburgh, Midlothian, Scotland; [Wiberg, R. Axel W.; Ritchie, Michael G.] Univ St Andrews, Sch Biol, Ctr Biol Divers, St Andrews, Fife, Scotland; [Wiberg, R. Axel W.] Univ Basel, Zool Inst, Dept Environm Sci, Basel, Switzerland; [Vieira, Jorge; Vieira, Cristina P.] Univ Porto, Inst Biol Mol &amp; Celular IBMC, Porto, Portugal; [Vieira, Jorge; Vieira, Cristina P.] Univ Porto, Inst Invest &amp; Inovacao Saude I3S, Porto, Portugal; [Goubert, Clement; Haudry, Annabelle; Gibert, Patricia; Vieira, Cristina] Univ Lyon 1, Univ Lyon, CNRS, Lab Biometrie &amp; Biol Evolut,UMR 5558, Villeurbanne, France; [Goubert, Clement] Cornell Univ, Dept Mol Biol &amp; Genet, Ithaca, NY USA; [Rota-Stabelli, Omar] Fdn Edmund Mach, Res &amp; Innovat Ctr, San Michele All Adige, Italy; [Kankare, Maaria] Univ Jyvaskyla, Dept Biol &amp; Environm Sci, Jyvaskyla, Finland; [Kozeretska, Iryna; Serga, Svitlana] Taras Shevchenko Natl Univ Kyiv, Gen &amp; Med Genet Dept, Kiev, Ukraine; [Kozeretska, Iryna] Minist Educ &amp; Sci Ukraine, State Inst Natl Antarctic Sci Ctr, Kiev, Ukraine; [Pasyukova, Elena G.] RAS, Lab Genome Variat, Inst Mol Genet, Moscow, Russia; [Loeschcke, Volker; Schou, Mads Fristrup] Aarhus Univ, Dept Biosci Genet Ecol &amp; Evolut, Aarhus C, Denmark; [Pascual, Marta; Sanchez-Gracia, Alejandro; Orengo, Dorcas J.; Puerma, Eva; Aguade, Montserrat] Univ Barcelona, Fac Biol, Dept Genet Microbiol &amp; Estadist, Barcelona, Spain; [Pascual, Marta; Sanchez-Gracia, Alejandro; Orengo, Dorcas J.; Puerma, Eva; Aguade, Montserrat] Univ Barcelona, Inst Recerca Biodiversitat IRBio, Barcelona, Spain; [Montchamp-Moreau, Catherine] Univ Paris Saclay, UMR Evolut Genomes Comportement &amp; Ecol, IRD, CNRS, F-91198 Gif Sur Yvette, France; [Abbott, Jessica; Schou, Mads Fristrup] Lund Univ, Dept Biol, Sect Evolutionary Ecol, Lund, Sweden; [Porcelli, Damiano] Dept Anim &amp; Plant Sci, Sheffield, S Yorkshire, England; [Posnien, Nico] Univ Gottingen, Johann Friedrich Blumenbach Inst Zool &amp; Anthropol, Gottingen, Germany; [Grath, Sonja; Argyridou, Eliza; Parsch, John] Ludwig Maximilians Univ Munchen, Fac Biol, Div Evolutionary Biol, Planegg, Germany; [Sucena, Elio] Inst Gulbenkian Ciencias, Oeiras, Portugal; [Sucena, Elio] Univ Lisbon, Dept Biol Anim, Fac Ciencias, Lisbon, Portugal; [Bergland, Alan O.] Univ Virginia, Dept Biol, Charlottesville, VA USA; [Garcia Guerreiro, Maria Pilar] Univ Autonoma Barcelona, Dept Genet &amp; Microbiol, Barcelona, Spain; [Onder, Banu Sebnem] Hacettepe Univ, Fac Sci, Dept Biol, Ankara, Turkey; [Deplancke, Bart] Ecole Polytech Fed Lausanne, Inst Bioengn, Sch Life Sci, Lausanne, Switzerland; [Zwaan, Bas J.] Wageningen Univ, Dept Plant Sci, Lab Genet, Wageningen, Netherlands; [Tauber, Eran] Univ Haifa, Dept Evolutionary &amp; Environm Biol, Haifa, Israel; [Tauber, Eran] Univ Haifa, Inst Evolut, Haifa, Israel; [Schmidt, Paul] Univ Penn, Dept Biol, Philadelphia, PA 19104 USA; [Betancourt, Andrea J.] Univ Liverpool, Dept Evolut Ecol &amp; Behav, Liverpool, Merseyside, England; [Kapun, Martin] Univ Zurich, Dept Evolutionary Biol &amp; Environm Sci, Zurich, Switzerland; [Kapun, Martin] Med Univ Vienna, Div Cell &amp; Dev Biol, Vienna, Austria</t>
  </si>
  <si>
    <t>University of Lausanne; University of Fribourg; Consejo Superior de Investigaciones Cientificas (CSIC); CSIC-UPF - Institut de Biologia Evolutiva (IBE); Pompeu Fabra University; University of Freiburg; University of Edinburgh; University of St Andrews; University of Basel; Universidade do Porto; Universidade do Porto; i3S - Instituto de Investigacao e Inovacao em Saude, Universidade do Porto; Centre National de la Recherche Scientifique (CNRS); CNRS - Institute of Ecology &amp; Environment (INEE); Universite Claude Bernard Lyon 1; VetAgro Sup; Cornell University; Fondazione Edmund Mach; University of Jyvaskyla; Ministry of Education &amp; Science of Ukraine; Taras Shevchenko National University of Kyiv; Ministry of Education &amp; Science of Ukraine; State Institution National Antarctic Scientific Center; Russian Academy of Sciences; Aarhus University; University of Barcelona; University of Barcelona; Centre National de la Recherche Scientifique (CNRS); Universite Paris Cite; Institut de Recherche pour le Developpement (IRD); Universite Paris Saclay; Lund University; University of Gottingen; University of Munich; Instituto Gulbenkian de Ciencia; Universidade de Lisboa; University of Virginia; Autonomous University of Barcelona; Hacettepe University; Swiss Federal Institutes of Technology Domain; Ecole Polytechnique Federale de Lausanne; Wageningen University &amp; Research; University of Haifa; University of Haifa; University of Pennsylvania; University of Liverpool; University of Zurich; Medical University of Vienna</t>
  </si>
  <si>
    <t>Kapun, M; Flatt, T; González, J (corresponding author), European Drosophila Populat Genom Consortium Dros, Barcelona, Spain.;Kapun, M; Flatt, T (corresponding author), Univ Lausanne, Dept Ecol &amp; Evolut, Lausanne, Switzerland.;Kapun, M; Flatt, T (corresponding author), Univ Fribourg, Dept Biol, Fribourg, Switzerland.;González, J (corresponding author), Univ Pompeu Fabra, Inst Evolutionary Biol, CSIC, Barcelona, Spain.;Kapun, M (corresponding author), Univ Zurich, Dept Evolutionary Biol &amp; Environm Sci, Zurich, Switzerland.;Kapun, M (corresponding author), Med Univ Vienna, Div Cell &amp; Dev Biol, Vienna, Austria.</t>
  </si>
  <si>
    <t>martin.kapun@uzh.ch; thomas.flatt@unifr.ch; josefa.gonzalez@ibe.upf-csic.es</t>
  </si>
  <si>
    <t>Orengo, Dorcas/AAG-6201-2021; Schou, Mads Fristrup/J-2148-2014; Kapun, Martin/GLU-9265-2022; Kapun, Martin/I-3536-2019; Kapun, Martin/GVT-4278-2022; Posnien, Nico/D-1639-2012; Pascual, Marta/ABG-3782-2020; Pascual, Marta/M-7626-2015; Rota-Stabelli, Omar/G-8477-2011; Sanchez-Gracia, Alejandro/F-4686-2014; Obbard, Darren/A-9235-2008; Pasyukova, Elena G./I-8377-2017; Tauber, Eran/F-9826-2011; Vieira, Cristina/HMP-0963-2023; Kozeretska, Iryna A/F-1383-2010; Tauber, Eran/AAA-1562-2022; Sucena, Élio/ABF-6684-2020; Guerreiro, Maria Pilar Garcia/AAB-5507-2019; Betancourt, Andrea J/E-9667-2012; Abbott, Jessica/F-5848-2010; Zwaan, Bas/D-8721-2015; Ritchie, Michael G/F-7055-2013; Onder, Banu Sebnem/A-3275-2013; Vieira, Jorge/J-7477-2013; Vieira, Cristina/K-1775-2013</t>
  </si>
  <si>
    <t>Orengo, Dorcas/0000-0001-7911-3224; Schou, Mads Fristrup/0000-0001-5521-5269; Kapun, Martin/0000-0002-3810-0504; Kapun, Martin/0000-0002-3810-0504; Kapun, Martin/0000-0002-3810-0504; Posnien, Nico/0000-0003-0700-5595; Pascual, Marta/0000-0002-6189-0612; Pascual, Marta/0000-0002-6189-0612; Sanchez-Gracia, Alejandro/0000-0003-4543-4577; Obbard, Darren/0000-0001-5392-8142; Tauber, Eran/0000-0003-4018-6535; Vieira, Cristina/0000-0003-3414-3993; Tauber, Eran/0000-0003-4018-6535; Sucena, Élio/0000-0001-8810-870X; Guerreiro, Maria Pilar Garcia/0000-0001-9951-1879; Flatt, Thomas/0000-0002-5990-1503; Abbott, Jessica/0000-0002-8743-2089; Zwaan, Bas/0000-0002-8221-4998; Ritchie, Michael G/0000-0001-7913-8675; Onder, Banu Sebnem/0000-0002-3003-248X; Kankare, Maaria/0000-0003-1541-9050; Puerma, Eva/0000-0001-7261-187X; Vieira, Jorge/0000-0001-7032-5220; Grath, Sonja/0000-0003-3621-736X; Vieira, Cristina/0000-0002-7139-2107; Schmidt, Paul/0000-0002-8076-6705</t>
  </si>
  <si>
    <t>Special Topic Networks (STN) grant from the European Society for Evolutionary Biology (ESEB); Wellcome Trust ISSF award [105621/Z/14/Z]; University of Freiburg Research Innovation Fund 2014; Deutsche Forschungsgemeinschaft (DFG) [STA1154/41, 408908608]; Academy of Finland [268241, 272927]; Russian Foundation of Basic Research [15-54-46009 CT_a]; Danish Natural Science Research Council [400200113]; Ministerio de Economia y Competitividad [CTM2017-88080, CGL2013-42432-P]; Centre National de la Recherche Scientifique [UMR 9191]; Vetenskapsradet [2011-05679, 2015-04680]; Emmy Noether Programme of the DFG [PO 1648/3-1]; National Institute of Health [R35GM119686, R01GM100366]; Scientific and Technological Research Council of Turkey (TUBITAK) [214Z238]; Agence Nationale de la Recherche Exhyb [14-CE19-0016]; FP6, Network of Excellence LifeSpan [FP6 036894]; FP7, IDEAL [FP7/2007-2011/259679]; Israel Science Foundation [1737/17]; Deutsche Forschungsgemeinschaft [PA 903/8-1]; Austrian Science Fund (FWF) [P32275, P27048]; Biotechnology and Biological Sciences Research Council (BBSRC) [BB/P00685X/1]; Swiss National Science Foundation (SNSF) [PP00P3_133641, PP00P3_165836, 31003A_182262]; European Commission [H2020-ERC-2014CoG-647900]; Secretaria d'Universitats i Recerca, Department Economia i Coneixement, Generalitat de Catalunya [GRC 2017 SGR 880]; Ministerio de Economia y Competitividad/FEDER [BFU2014-57779-P]; Ministerio de Ciencia e Innovacion/AEI/FEDER, EU [BFU2017-82937-P]; Austrian Science Fund (FWF) [P27048, P32275] Funding Source: Austrian Science Fund (FWF); Swedish Research Council [2015-04680, 2011-05679] Funding Source: Swedish Research Council; Swiss National Science Foundation (SNF) [31003A_182262] Funding Source: Swiss National Science Foundation (SNF); BBSRC [BB/P00685X/1] Funding Source: UKRI; Academy of Finland (AKA) [272927] Funding Source: Academy of Finland (AKA)</t>
  </si>
  <si>
    <t>Special Topic Networks (STN) grant from the European Society for Evolutionary Biology (ESEB); Wellcome Trust ISSF award(Wellcome Trust); University of Freiburg Research Innovation Fund 2014; Deutsche Forschungsgemeinschaft (DFG)(German Research Foundation (DFG)); Academy of Finland(Research Council of Finland); Russian Foundation of Basic Research(Russian Foundation for Basic Research (RFBR)); Danish Natural Science Research Council(Danish Natural Science Research Council); Ministerio de Economia y Competitividad(Spanish Government); Centre National de la Recherche Scientifique(Centre National de la Recherche Scientifique (CNRS)); Vetenskapsradet(Swedish Research Council); Emmy Noether Programme of the DFG(German Research Foundation (DFG)); National Institute of Health(United States Department of Health &amp; Human ServicesNational Institutes of Health (NIH) - USA); Scientific and Technological Research Council of Turkey (TUBITAK)(Turkiye Bilimsel ve Teknolojik Arastirma Kurumu (TUBITAK)); Agence Nationale de la Recherche Exhyb(Agence Nationale de la Recherche (ANR)); FP6, Network of Excellence LifeSpan(Marie Curie ActionsEuropean Union (EU)); FP7, IDEAL; Israel Science Foundation(Israel Science Foundation); Deutsche Forschungsgemeinschaft(German Research Foundation (DFG)); Austrian Science Fund (FWF)(Austrian Science Fund (FWF)); Biotechnology and Biological Sciences Research Council (BBSRC)(UK Research &amp; Innovation (UKRI)Biotechnology and Biological Sciences Research Council (BBSRC)); Swiss National Science Foundation (SNSF)(Swiss National Science Foundation (SNSF)); European Commission(European Union (EU)European Commission Joint Research Centre); Secretaria d'Universitats i Recerca, Department Economia i Coneixement, Generalitat de Catalunya(Generalitat de Catalunya); Ministerio de Economia y Competitividad/FEDER(Spanish Government); Ministerio de Ciencia e Innovacion/AEI/FEDER, EU; Austrian Science Fund (FWF)(Austrian Science Fund (FWF)); Swedish Research Council(Swedish Research Council); Swiss National Science Foundation (SNF)(Swiss National Science Foundation (SNSF)); BBSRC(UK Research &amp; Innovation (UKRI)Biotechnology and Biological Sciences Research Council (BBSRC)); Academy of Finland (AKA)(Research Council of Finland)</t>
  </si>
  <si>
    <t>We acknowledge support of the publication fee by the CSIC Open Access Publication Support Initiative through its Unit of Information Resources for Research (URICI). We thank three anonymous reviewers and the editors for their helpful comments on a previous version of our article. We are grateful to the members of the DrosEU and Dros-RTEC consortia and to Dmitri Petrov (Stanford University) for support and discussion. DrosEU is funded by a Special Topic Networks (STN) grant from the European Society for Evolutionary Biology (ESEB). Computational analyses were partially executed at the Vital-IT bioinformatics facility of the University of Lausanne (Switzerland), the computing facilities of the CC LBBE/PRABI in Lyon (France), the bwUniCluster of the state of Baden-Wurttemberg (bwHPC), and the University of St Andrews Bioinformatics Unit which is funded by a Wellcome Trust ISSF award (Grant No. 105621/Z/14/Z). We are also grateful to Simon Boitard and Oscar Gaggiotti for their helpful technical advice on Pool-hmm and BayeScEnv analyses, respectively. This study was supported by University of Freiburg Research Innovation Fund 2014, Deutsche Forschungsgemeinschaft (DFG) (Grant No. STA1154/41Project 408908608 to F.S.); Academy of Finland (Grant Nos. 268241 and 272927 to M.K.); Russian Foundation of Basic Research (Grant No. 15-54-46009 CT_a to E.G.P.); Danish Natural Science Research Council (Grant No. 400200113 to V.L.); Ministerio de Economia y Competitividad (Grant Nos. CTM2017-88080 [AEI/FEDER, UE] and CGL2013-42432-P to M.P. and M.P.G.G., respectively); Centre National de la Recherche Scientifique (Grant No. UMR 9191 to C.M.-M.); Vetenskapsradet (Grant Nos. 2011-05679 and 2015-04680 to J.A.); Emmy Noether Programme of the DFG (Grant No. PO 1648/3-1 to N.P.); National Institute of Health (Grant Nos. R35GM119686 and R01GM100366 to A.O.B. and P.S.S., respectively); Scientific and Technological Research Council of Turkey (TUBITAK) (Grant No. 214Z238 to B.S.O.); Agence Nationale de la Recherche Exhyb (Grant No. 14-CE19-0016 to C.V.); FP6, Network of Excellence LifeSpan (Grant No. FP6 036894 to B.J.Z.); FP7, IDEAL (Grant No. FP7/2007-2011/259679 to B.J.Z.); Israel Science Foundation (Grant No. 1737/17 to E.T.); Deutsche Forschungsgemeinschaft (Grant No. PA 903/8-1 to J.P.); Austrian Science Fund (FWF) (Grant Nos. P32275 and P27048 to M.K. and A.J.B., respectively); Biotechnology and Biological Sciences Research Council (BBSRC) (Grant No. BB/P00685X/1 to A.J.B.); Swiss National Science Foundation (SNSF) (Grant Nos. PP00P3_133641, PP00P3_165836, and 31003A_182262 to T.F.); European Commission (Grant No. H2020-ERC-2014CoG-647900 to J.G.); Secretaria d'Universitats i Recerca, Department Economia i Coneixement, Generalitat de Catalunya (Grant No. GRC 2017 SGR 880 to J.G.); Ministerio de Economia y Competitividad/FEDER (Grant No. BFU2014-57779-P to J.G.); and Ministerio de Ciencia e Innovacion/AEI/FEDER, EU (Grant No. BFU2017-82937-P to J.G.)</t>
  </si>
  <si>
    <t>0737-4038</t>
  </si>
  <si>
    <t>1537-1719</t>
  </si>
  <si>
    <t>MOL BIOL EVOL</t>
  </si>
  <si>
    <t>Mol. Biol. Evol.</t>
  </si>
  <si>
    <t>10.1093/molbev/msaa120</t>
  </si>
  <si>
    <t>Biochemistry &amp; Molecular Biology; Evolutionary Biology; Genetics &amp; Heredity</t>
  </si>
  <si>
    <t>NV5UO</t>
  </si>
  <si>
    <t>Green Published, hybrid, Green Submitted</t>
  </si>
  <si>
    <t>WOS:000574386500016</t>
  </si>
  <si>
    <t>Suter, L; Polanowski, AM; Clarke, LJ; Kitchener, JA; Deagle, BE</t>
  </si>
  <si>
    <t>Suter, Leonie; Polanowski, Andrea Maree; Clarke, Laurence John; Kitchener, John Andrew; Deagle, Bruce Emerson</t>
  </si>
  <si>
    <t>Capturing open ocean biodiversity: Comparing environmental DNA metabarcoding to the continuous plankton recorder</t>
  </si>
  <si>
    <t>MOLECULAR ECOLOGY</t>
  </si>
  <si>
    <t>biodiversity; biomonitoring; continuous plankton recorder; environmental DNA; metabarcoding; open ocean</t>
  </si>
  <si>
    <t>COMMUNITY STRUCTURE; CLIMATE-CHANGE; EDNA; TOOL; INDICATOR; HABITATS; CHOICE; RATES</t>
  </si>
  <si>
    <t>Environmental DNA (eDNA) metabarcoding is emerging as a novel, objective tool for monitoring marine metazoan biodiversity. Zooplankton biodiversity in the vast open ocean is currently monitored through continuous plankton recorder (CPR) surveys, using ship-based bulk plankton sampling and morphological identification. We assessed whether eDNA metabarcoding (2 L filtered seawater) could capture similar Southern Ocean zooplankton biodiversity as conventional CPR bulk sampling (similar to 1,500 L filtered seawater per CPR sample). We directly compared eDNA metabarcoding with (a) conventional morphological CPR sampling and (b) bulk DNA metabarcoding of CPR collected plankton (two transects for each comparison, 40 and 44 paired samples, respectively). A metazoan-targeted cytochromecoxidase I (COI) marker was used to characterize species-level diversity. In the 2 L seawater eDNA samples, this marker amplified large amounts of non-metazoan picoplanktonic algae, but eDNA metabarcoding still detected up to 1.6 times more zooplankton species than morphologically analysed bulk CPR samples. COI metabarcoding of bulk DNA samples mostly avoided nonmetazoan amplifications and recovered more zooplankton species than eDNA metabarcoding. However, eDNA metabarcoding detected roughly two thirds of metazoan species and identified similar taxa contributing to community differentiation across the subtropical front separating transects. We observed a diurnal pattern in eDNA data for copepods which perform diel vertical migrations, indicating a surprisingly short temporal eDNA signal. Compared to COI, a eukaryote-targeted 18S ribosomal RNA marker detected a higher proportion, but lower diversity, of metazoans in eDNA. With refinement and standardization of methodology, eDNA metabarcoding could become an efficient tool for monitoring open ocean biodiversity.</t>
  </si>
  <si>
    <t>[Suter, Leonie; Polanowski, Andrea Maree; Clarke, Laurence John; Kitchener, John Andrew; Deagle, Bruce Emerson] Dept Agr Water &amp; Environm, Australian Antarctic Div, 203 Channel Highway, Kingston, Tas 7050, Australia; [Clarke, Laurence John] Univ Tasmania, Inst Marine &amp; Antarctic Studies, Hobart, Tas, Australia; [Deagle, Bruce Emerson] CSIRO, Battery Point, Tas, Australia</t>
  </si>
  <si>
    <t>Australian Antarctic Division; University of Tasmania; Commonwealth Scientific &amp; Industrial Research Organisation (CSIRO)</t>
  </si>
  <si>
    <t>Suter, L (corresponding author), Dept Agr Water &amp; Environm, Australian Antarctic Div, 203 Channel Highway, Kingston, Tas 7050, Australia.</t>
  </si>
  <si>
    <t>leonle.suter@awe.gov.au</t>
  </si>
  <si>
    <t>Deagle, Bruce E/R-2999-2019; Suter, Leonie/A-3157-2017; Clarke, Laurence/N-3579-2017</t>
  </si>
  <si>
    <t>Deagle, Bruce E/0000-0001-7651-3687; Suter, Leonie/0000-0002-6434-1766; Kitchener, John/0000-0003-4642-3044; Polanowski, Andrea/0000-0002-9612-220X; Clarke, Laurence/0000-0002-0844-4453</t>
  </si>
  <si>
    <t>Australian Antarctic Science Program [4556, 4107]; Australian Government's Business Cooperative Research Centres Programme through the Antarctic Climate and Ecosystems Cooperative Research Centre</t>
  </si>
  <si>
    <t>Australian Antarctic Science Program; Australian Government's Business Cooperative Research Centres Programme through the Antarctic Climate and Ecosystems Cooperative Research Centre</t>
  </si>
  <si>
    <t>The research was funded by the Australian Antarctic Science Program (AAS Projects 4556 and 4107). We thank the crew aboard the RSV Aurora Australia for CPR deployments, James Marthick (Menzies Research Institute, University of Tasmania) for facilitating use of the MiSeq Genome Sequencer and Andrew Bissett (CSIRO Hobart) for 18S data processing. This work was supported by the Australian Government's Business Cooperative Research Centres Programme through the Antarctic Climate and Ecosystems Cooperative Research Centre.</t>
  </si>
  <si>
    <t>0962-1083</t>
  </si>
  <si>
    <t>1365-294X</t>
  </si>
  <si>
    <t>MOL ECOL</t>
  </si>
  <si>
    <t>Mol. Ecol.</t>
  </si>
  <si>
    <t>10.1111/mec.15587</t>
  </si>
  <si>
    <t>TJ0LH</t>
  </si>
  <si>
    <t>WOS:000564348700001</t>
  </si>
  <si>
    <t>Holbrook, NJ; Sen Gupta, A; Oliver, ECJ; Hobday, AJ; Benthuysen, JA; Scannell, HA; Smale, DA; Wernberg, T</t>
  </si>
  <si>
    <t>Holbrook, Neil J.; Sen Gupta, Alex; Oliver, Eric C. J.; Hobday, Alistair J.; Benthuysen, Jessica A.; Scannell, Hillary A.; Smale, Dan A.; Wernberg, Thomas</t>
  </si>
  <si>
    <t>Keeping pace with marine heatwaves</t>
  </si>
  <si>
    <t>NATURE REVIEWS EARTH &amp; ENVIRONMENT</t>
  </si>
  <si>
    <t>SEA-SURFACE TEMPERATURE; HEMISPHERE ATMOSPHERIC BLOCKING; NORTH PACIFIC; WESTERN-AUSTRALIA; INDIAN-OCEAN; VARIABILITY; IMPACTS; ATLANTIC; SUMMER; WATER</t>
  </si>
  <si>
    <t>Marine heatwaves (MHWs) are prolonged extreme oceanic warm water events. They can have devastating impacts on marine ecosystems - for example, causing mass coral bleaching and substantial declines in kelp forests and seagrass meadows - with implications for the provision of ecological goods and services. Effective adaptation and mitigation efforts by marine managers can benefit from improved MHW predictions, which at present are inadequate. In this Perspective, we explore MHW predictability on short-term, interannual to decadal, and centennial timescales, focusing on the physical processes that offer prediction. While there may be potential predictability of MHWs days to years in advance, accuracy will vary dramatically depending on the regions and drivers. Skilful MHW prediction has the potential to provide critical information and guidance for marine conservation, fisheries and aquaculture management. However, to develop effective prediction systems, better understanding is needed of the physical drivers, subsurface MHWs, and predictability limits. Prolonged extreme oceanic warm water events, known as marine heatwaves, can have devastating impacts on marine ecosystems. This Perspective explores the predictability of marine heatwaves, taking into account the physical drivers, monitoring and prediction approaches, and stakeholder considerations.</t>
  </si>
  <si>
    <t>[Holbrook, Neil J.] Univ Tasmania, Inst Marine &amp; Antarctic Studies, Hobart, Tas, Australia; [Holbrook, Neil J.] Univ Tasmania, Australian Res Council, Ctr Excellence Climate Extremes, Hobart, Tas, Australia; [Sen Gupta, Alex] Univ New South Wales, Climate Change Res Ctr, Sydney, NSW, Australia; [Sen Gupta, Alex] Univ New South Wales, Ctr Excellence Climate Extremes, Australian Res Council, Sydney, NSW, Australia; [Oliver, Eric C. J.] Dalhousie Univ, Dept Oceanog, Halifax, NS, Canada; [Hobday, Alistair J.] CSIRO Oceans &amp; Atmosphere, Hobart, Tas, Australia; [Benthuysen, Jessica A.] Australian Inst Marine Sci, Crawley, WA, Australia; [Scannell, Hillary A.] Univ Washington, Sch Oceanog, Seattle, WA 98195 USA; [Smale, Dan A.] Marine Biol Assoc UK, Plymouth, Devon, England; [Wernberg, Thomas] Univ Western Australia, UWA Oceans Inst, Crawley, WA, Australia; [Wernberg, Thomas] Univ Western Australia, Sch Biol Sci, Crawley, WA, Australia; [Wernberg, Thomas] Roskilde Univ, Dept Sci &amp; Environm, Roskilde, Denmark</t>
  </si>
  <si>
    <t>University of Tasmania; University of Tasmania; University of New South Wales Sydney; University of New South Wales Sydney; Dalhousie University; Commonwealth Scientific &amp; Industrial Research Organisation (CSIRO); Australian Institute of Marine Science; University of Washington; University of Washington Seattle; Marine Biological Association United Kingdom; University of Western Australia; University of Western Australia; Roskilde University</t>
  </si>
  <si>
    <t>Holbrook, NJ (corresponding author), Univ Tasmania, Inst Marine &amp; Antarctic Studies, Hobart, Tas, Australia.;Holbrook, NJ (corresponding author), Univ Tasmania, Australian Res Council, Ctr Excellence Climate Extremes, Hobart, Tas, Australia.</t>
  </si>
  <si>
    <t>neil.holbrook@utas.edu.au</t>
  </si>
  <si>
    <t>Smale, Dan A/B-3240-2011; Wernberg, Thomas/B-4172-2010; Hobday, Alistair/A-1460-2012; Sen Gupta, Alexander/B-7995-2011; Oliver, Eric/G-5118-2014; Holbrook, Neil/M-7544-2013</t>
  </si>
  <si>
    <t>Wernberg, Thomas/0000-0003-1185-9745; Benthuysen, Jessica/0000-0001-7615-6587; Hobday, Alistair/0000-0002-3194-8326; Sen Gupta, Alexander/0000-0001-5226-871X; Oliver, Eric/0000-0002-4006-2826; Holbrook, Neil/0000-0002-3523-6254; Smale, Dan/0000-0003-4157-541X</t>
  </si>
  <si>
    <t>Australian Research Council (ARC) Centre of Excellence for Climate Extremes [CE170100023]; Australian Government National Environmental Science Program (NESP) Earth Systems and Climate Change (ESCC) Hub [5.8]; UK Research and Innovation (UKRI) Future Leaders Fellowships scheme [MR/S032827/1]; ARC [DP170100023]; NESP Tropical Water Quality (TWQ) Hub [4.2]; FLF [MR/S032827/1] Funding Source: UKRI</t>
  </si>
  <si>
    <t>Australian Research Council (ARC) Centre of Excellence for Climate Extremes(Australian Research Council); Australian Government National Environmental Science Program (NESP) Earth Systems and Climate Change (ESCC) Hub; UK Research and Innovation (UKRI) Future Leaders Fellowships scheme(UK Research &amp; Innovation (UKRI)); ARC(Australian Research Council); NESP Tropical Water Quality (TWQ) Hub; FLF</t>
  </si>
  <si>
    <t>N.J.H. acknowledges support from the Australian Research Council (ARC) Centre of Excellence for Climate Extremes (grant CE170100023) and the Australian Government National Environmental Science Program (NESP) Earth Systems and Climate Change (ESCC) Hub (Project 5.8). D.A.S. was supported by the UK Research and Innovation (UKRI) Future Leaders Fellowships scheme (MR/S032827/1). T.W. also acknowledges support from the ARC for marine heatwave work (DP170100023). J.A.B. was supported through the NESP Tropical Water Quality (TWQ) Hub (Project 4.2). Sea-surface-temperature retrievals in Fig. 4 were produced by the Australian Bureau of Meteorology as a contribution to the Integrated Marine Observing System (IMOS), an initiative of the Australian Government being conducted as part of the National Collaborative Research Infrastructure Strategy (NCRIS) and the Super Science Initiative. The imagery data were acquired from the National Polar-orbiting Operational Environmental Satellite System Preparatory Project (NPP) satellite by the National Oceanic and Atmospheric Administration (NOAA) and from the NOAA spacecraft by the Bureau of Meteorology, Australian Institute of Marine Science, Australian Commonwealth Scientific and Industrial Research Organisation, Geoscience Australia and Western Australian Satellite Technology and Applications Consortium. Australia's IMOS is enabled by the NCRIS. It is operated by a consortium of institutions as an unincorporated joint venture, with the University of Tasmania as Lead Agent.</t>
  </si>
  <si>
    <t>2662-138X</t>
  </si>
  <si>
    <t>NAT REV EARTH ENV</t>
  </si>
  <si>
    <t>Nat. Rev. Earth Environ.</t>
  </si>
  <si>
    <t>10.1038/s43017-020-0068-4</t>
  </si>
  <si>
    <t>SA6YU</t>
  </si>
  <si>
    <t>WOS:000649448400009</t>
  </si>
  <si>
    <t>Hernández-Reséndiz, P; Cruz-Ramírez, H; U'Ren, AB; Cervantes-de la Cruz, KE; Segura, A</t>
  </si>
  <si>
    <t>Hernandez-Resendiz, Patricia; Cruz-Ramirez, Hector; U'Ren, Alfred B.; Cervantes-de la Cruz, Karina Elizabeth; Segura, Antigona</t>
  </si>
  <si>
    <t>Citlalmitl: A Laser-based Device for Meteoritical Sample Fabrication with Arbitrary Thermal Histories</t>
  </si>
  <si>
    <t>PLANETARY SCIENCE JOURNAL</t>
  </si>
  <si>
    <t>ANTARCTIC MICROMETEORITES; PETROGRAPHIC CONSTRAINTS; EXPERIMENTAL SIMULATION; ATMOSPHERIC ENTRY; SOLAR NEBULA; CHONDRULES; PRECURSORS; TEXTURES; ORIGIN; REPRODUCTION</t>
  </si>
  <si>
    <t>We present Citlalmitl (the word for meteorite in the Nahuatl language), a new experimental device designed and built to simulate high-temperature processes relevant for meteoritics, including chondrule formation and the atmospheric entry of micrometeorites (MMs). The main component of Citlalmitl is a 50 W CO2 laser, used to melt samples that simulate the precursors of meteoritical materials. As examples of the operation of our device, we have irradiated silicate samples controlling the laser duty cycle to reproduce heating profiles predicted by shock-wave simulations. Citlalmitl records the sample temperature during and after irradiation, a unique feature that allows us to directly measure the thermal history of the sample, a key parameter for the characteristics observed in MMs and chondrules. We demonstrate that Citlalmitl can reproduce different heating profiles useful to mimic thermal histories in meteoritical processes.</t>
  </si>
  <si>
    <t>[Hernandez-Resendiz, Patricia; Cruz-Ramirez, Hector; U'Ren, Alfred B.; Segura, Antigona] Univ Nacl Autonoma Mexico, Inst Ciencias Nucl, Mexico City, DF, Mexico; [Cervantes-de la Cruz, Karina Elizabeth] Univ Nacl Autonoma Mexico, Fac Ciencias, Dept Fis, Mexico City, DF, Mexico</t>
  </si>
  <si>
    <t>Universidad Nacional Autonoma de Mexico; Universidad Nacional Autonoma de Mexico</t>
  </si>
  <si>
    <t>Hernández-Reséndiz, P (corresponding author), Univ Nacl Autonoma Mexico, Inst Ciencias Nucl, Mexico City, DF, Mexico.</t>
  </si>
  <si>
    <t>patricia.hernandez@correo.nucleares.unam.mx</t>
  </si>
  <si>
    <t>Cervantes-de la Cruz, Karina Elizabeth/GPW-8197-2022; Segura, Antígona/ABE-4086-2021</t>
  </si>
  <si>
    <t>Cervantes-de la Cruz, Karina Elizabeth/0000-0002-0089-9023; Segura, Antígona/0000-0002-2240-2452; Hernandez-Resendiz, Patricia/0000-0003-3988-7289; U'Ren, Alfred/0000-0002-4963-9388</t>
  </si>
  <si>
    <t>UNAM-PAPIIT [IN117619]; Conacyt scholarship [301412]; PAPIIT (UNAM) [IN104418]; CONACYT Fronteras de la Ciencia [1667]; AFOSR [FA9550-16-1-1458]</t>
  </si>
  <si>
    <t>UNAM-PAPIIT(Programa de Apoyo a Proyectos de Investigacion e Innovacion Tecnologica (PAPIIT)Universidad Nacional Autonoma de Mexico); Conacyt scholarship(Consejo Nacional de Ciencia y Tecnologia (CONACyT)); PAPIIT (UNAM)(Programa de Apoyo a Proyectos de Investigacion e Innovacion Tecnologica (PAPIIT)Universidad Nacional Autonoma de Mexico); CONACYT Fronteras de la Ciencia; AFOSR(United States Department of DefenseAir Force Office of Scientific Research (AFOSR))</t>
  </si>
  <si>
    <t>K.C. is thankful for support from the grant UNAM-PAPIIT IN117619. P.H.-R. acknowledges the support from Conacyt scholarship number 301412. A.U. acknowledges support from PAPIIT ( UNAM) grant IN104418, CONACYT Fronteras de la Ciencia grant 1667, and AFOSR grant FA9550-16-1-1458. The authors thank Jose Rangel for manufacture assistance; Carlos Linares from Laboratorio Universitario de Petrologia-LANGEM in Instituto de Geofisica, UNAM; Sonia Angeles and Maria del Consuelo Macias from Instituto de Geologia, UNAM for technical assistance; Gabriela Solis and Teodoro Hernandez from LUGIS in Instituto de Geofisica, UNAM; Claudia Camargo and Dr. Negron from the Chemical Evolution Laboratory at ICN, UNAM; and Taller de Mineralogia y Petrologia from Departamento de Fisica, Facultad de Ciencias, UNAM for letting us use their instruments. We specially thank the reviewers for their helpful comments.</t>
  </si>
  <si>
    <t>IOP Publishing Ltd</t>
  </si>
  <si>
    <t>2632-3338</t>
  </si>
  <si>
    <t>PLANET SCI J</t>
  </si>
  <si>
    <t>Planet. Sci. J.</t>
  </si>
  <si>
    <t>10.3847/PSJ/aba3c5</t>
  </si>
  <si>
    <t>7V7TW</t>
  </si>
  <si>
    <t>WOS:000913017400001</t>
  </si>
  <si>
    <t>Roca, IT; Van Opzeeland, I</t>
  </si>
  <si>
    <t>Roca, Irene T.; Van Opzeeland, Ilse</t>
  </si>
  <si>
    <t>Using acoustic metrics to characterize underwater acoustic biodiversity in the Southern Ocean</t>
  </si>
  <si>
    <t>REMOTE SENSING IN ECOLOGY AND CONSERVATION</t>
  </si>
  <si>
    <t>Acoustic metrics; Antarctic; community composition; marine acoustic environments; passive acoustic monitoring; species diversity</t>
  </si>
  <si>
    <t>SPATIAL HETEROGENEITY; BETA REGRESSION; SOUNDSCAPE; INDEXES; DIVERSITY; COMMUNITY; ECOLOGY; TOOL</t>
  </si>
  <si>
    <t>Acoustic metrics (AM) assist our interpretation of acoustic environments by aggregating a complex signal into a unique number. NumerousAMhave been developed for terrestrial ecosystems, with applications ranging from rapid biodiversity assessments to characterizing habitat quality. However, there has been comparatively little research aimed at understanding how these metrics perform to characterize the acoustic features of marine habitats and their relation with ecosystem biodiversity. Our objectives were to 1) assess whetherAMare able to capture the spectral and temporal differences between two distinct Antarctic marine acoustic environment types (i.e., pelagic vs. on-shelf), 2) evaluate the performance of a combination ofAMcompared to the signal full frequency spectrum to characterize marine mammals acoustic assemblages (i.e., species richness-SR-and species identity) and 3) estimate the contribution ofSRto the local marine acoustic heterogeneity measured by singleAM. We used 23 differentAMto develop a supervised machine learning approach to discriminate between acoustic environments.AMperformance was similar to the full spectrum, achieving correct classifications forSRlevels of 58% and 92% for pelagic and on-shelf sites respectively and &gt; 88% for species identities. Our analyses show that a combination ofAMis a promising approach to characterize marine acoustic communities. It allows an intuitive ecological interpretation of passive acoustic data, which in the light of ongoing environmental changes, supports the holistic approach needed to detect and understand trends in species diversity, acoustic communities and underwater habitat quality.</t>
  </si>
  <si>
    <t>[Roca, Irene T.; Van Opzeeland, Ilse] Carl von Ossietzky Univ Oldenburg, HIFMB, Ammerlander Heerstr 231, D-26129 Oldenburg, Germany; [Van Opzeeland, Ilse] Alfred Wegener Inst, Helmholtz Ctr Polar &amp; Marine Res, Ocean Acoust Lab, Klussmannstr 3, D-27570 Bremerhaven, Germany</t>
  </si>
  <si>
    <t>Carl von Ossietzky Universitat Oldenburg; Helmholtz Association; Alfred Wegener Institute, Helmholtz Centre for Polar &amp; Marine Research</t>
  </si>
  <si>
    <t>Roca, IT (corresponding author), Carl von Ossietzky Univ Oldenburg, HIFMB, Ammerlander Heerstr 231, D-26129 Oldenburg, Germany.</t>
  </si>
  <si>
    <t>iroca@hifmb.de</t>
  </si>
  <si>
    <t>Roca, Irene/HSG-2997-2023</t>
  </si>
  <si>
    <t>Ministry for Science and Culture of Lower Saxony; Volkswagen Foundation through the `Nieders_achsisches Vorab' grant programme [ZN3285]</t>
  </si>
  <si>
    <t>Ministry for Science and Culture of Lower Saxony; Volkswagen Foundation through the `Nieders_achsisches Vorab' grant programme</t>
  </si>
  <si>
    <t>The authors who developed this work were employed at the Helmholtz Institute for Functional Marine Biodiversity at the University of Oldenburg (HIFMB) and the Alfred-Wegener Institute, Helmholtz Centre for Polar and Marine Research (AWI). HIFMB is a collaboration between the AWI and the Carl-von-Ossietzky University Oldenburg, initially funded by the Ministry for Science and Culture of Lower Saxony and the Volkswagen Foundation through the `Nieders_achsisches Vorab' grant programme (grant number ZN3285). We thank Olaf Boebel for coordinating the HAFOS observatory, which forms the mooring backbone of the acoustic recording network in the Weddell Sea, and its maintenance. We also thank the crews of RV Polarstern expeditions ANT-XXV/2, ANT-XXIV/3, ANT-XXVII/2, ANT-XXIX/2 and the mooring team of the AWI's physical oceanography department for the deployment and recovery of the acoustic recorders. We thank Stefanie Spiesecke for managing and cleaning of the data and Karolin Thomisch, Diego Filun, Rike Vooth, Ramona Matmueller and Marlene Meister for the complementary information they provided about the acoustic datasets.</t>
  </si>
  <si>
    <t>2056-3485</t>
  </si>
  <si>
    <t>REMOTE SENS ECOL CON</t>
  </si>
  <si>
    <t>Remote Sens. Ecol. Conserv.</t>
  </si>
  <si>
    <t>10.1002/rse2.129</t>
  </si>
  <si>
    <t>Ecology; Remote Sensing</t>
  </si>
  <si>
    <t>NR1TW</t>
  </si>
  <si>
    <t>WOS:000571345100005</t>
  </si>
  <si>
    <t>Balestrieri, ML; Olivetti, V; Rossetti, F; Gautheron, C; Cattò, S; Zattin, M</t>
  </si>
  <si>
    <t>Balestrieri, Maria Laura; Olivetti, Valerio; Rossetti, Federico; Gautheron, Cecile; Catto, Silvia; Zattin, Massimiliano</t>
  </si>
  <si>
    <t>Topography, structural and exhumation history of the Admiralty Mountains region, northern Victoria Land, Antarctica</t>
  </si>
  <si>
    <t>GEOSCIENCE FRONTIERS</t>
  </si>
  <si>
    <t>Antarctica; Thermochronology; Transantarctic mountains; Rift margin uplift</t>
  </si>
  <si>
    <t>APATITE FISSION-TRACK; PARTICLE STOPPING DISTANCES; TRANSANTARCTIC MOUNTAINS; (U-TH)/HE THERMOCHRONOMETRY; ROSS SEA; STATISTICAL-MODELS; STRUCTURE BENEATH; RADIATION-DAMAGE; ADJACENT AREAS; RIFT FLANKS</t>
  </si>
  <si>
    <t>The Admiralty Mountains region forms the northern termination of the northern Victoria Land, Antarctica. Few quantitative data are available to reconstruct the Cenozoic morpho-tectonic evolution of this sector of the Antarctic plate, where the Admiralty Mountains region forms the northern termination of the western shoulder of the Mesozoic-Cenozoic West Antarctica Rift System. In this study we combine new low-temperature thermochronological data (apatite fission-track and (U-Th-Sm)/He analyses) with structural and topography analysis. The regional pattern of the fission-track ages shows a general tendency to older ages (80-60 Ma) associated with shortened mean track-lengths in the interior, and younger fission-track ages clustering at 38-26 Ma with long mean track-lengths in the coastal region. Differently from other regions of Victoria Land, the younger ages are found as far as 50-70 km inland. Single grain apatite (U-Th-Sm)/He ages cluster at 50-30 Ma with younger ages in the coastal domain. Topography analysis reveals that the Admiralty Mountains has high local relief, with an area close to the coast, 180 km long and 70 km large, having the highest local relief of &gt;2500 m. This coincides with the location of the youngest fission-track ages. The shape of the area with highest local relief matches the shape of a recently detected low velocity zone beneath the northern TAM, indicating that high topography of the Admiralty Mountains region is likely sustained by a mantle thermal anomaly. We used the obtained constraints on the amount of removed crustal section to reconstruct back-eroded profiles and calculate the erosional load in order to test flexural uplift models. We found that our back-eroded profiles are better reproduced by a constant elastic thickness of intermediate values (Te = 20-30 km). This suggests that, beneath the Admiralty Mountains, the elastic properties of the lithosphere are different with respect to other TAM sectors, likely due to a stationary Cenozoic upper mantle thermal anomaly in the region.</t>
  </si>
  <si>
    <t>[Balestrieri, Maria Laura] CNR, Sede Secondaria Firenze, Ist Geosci &amp; Georisorse, Via G La Pira 4, I-50121 Florence, Italy; [Olivetti, Valerio; Catto, Silvia; Zattin, Massimiliano] Univ Padua, Dipartimento Geosci, Padua, Italy; [Rossetti, Federico] Univ Roma 3, Dipartimento Sci, Rome, Italy; [Gautheron, Cecile] Univ Paris Sud, Univ Paris Saclay, GEOPS, CNRS, F-91405 Orsay, France</t>
  </si>
  <si>
    <t>Consiglio Nazionale delle Ricerche (CNR); Istituto di Geoscienze e Georisorse (IGG-CNR); University of Padua; Roma Tre University; Universite Paris Cite; Universite Paris Saclay; Centre National de la Recherche Scientifique (CNRS)</t>
  </si>
  <si>
    <t>Olivetti, V (corresponding author), Univ Padua, Dipartimento Geosci, Padua, Italy.</t>
  </si>
  <si>
    <t>valerio.olivetti@unipd.it</t>
  </si>
  <si>
    <t>Gautheron, Cecile/ABC-9034-2020; Zattin, Massimiliano/A-8943-2012; olivetti, valerio/IAQ-1471-2023; Gautheron, Cecile/HPH-3944-2023; Balestrieri, Maria Laura/AAX-3560-2020</t>
  </si>
  <si>
    <t>Gautheron, Cecile/0000-0001-7068-9868; Gautheron, Cecile/0000-0001-7068-9868; ROSSETTI, Federico/0000-0001-8071-7252; Catto, Silvia/0000-0001-7289-0039</t>
  </si>
  <si>
    <t>PNRA (Italian Research Program in Antarctica) [PDR2013/AZ2.07, PNRA16_00263]</t>
  </si>
  <si>
    <t>PNRA (Italian Research Program in Antarctica)</t>
  </si>
  <si>
    <t>The research was carried out in the framework of the research projects PDR2013/AZ2.07 (coordinated by F. Rossetti) and PNRA16_00263 (coordinated by V. Olivetti) funded by PNRA (Italian Research Program in Antarctica). We are warmly grateful for the logistics provided by the PNRA and ENEA-UTA (expedition leader: A. Della Rovere), and acknowledge the Helicopters New Zealand (HNZ) pilots (Carl and Dominic) and all colleagues sharing time in the Castle Rock remote camp and at the Italian base Mario Zucchelli. Donate Pace is thanked for his help in sample preparation. Rosella Pinna-Jamme is thanked for her help during the (U-Th-Sm)/He analysis. We thank the Museo Nazionale dell'Antartide (sez. Siena) for operational support.</t>
  </si>
  <si>
    <t>CHINA UNIV GEOSCIENCES, BEIJING</t>
  </si>
  <si>
    <t>HAIDIAN DISTRICT</t>
  </si>
  <si>
    <t>29 XUEYUAN RD, HAIDIAN DISTRICT, 100083, PEOPLES R CHINA</t>
  </si>
  <si>
    <t>1674-9871</t>
  </si>
  <si>
    <t>GEOSCI FRONT</t>
  </si>
  <si>
    <t>Geosci. Front.</t>
  </si>
  <si>
    <t>10.1016/j.gsf.2020.01.018</t>
  </si>
  <si>
    <t>NA4XO</t>
  </si>
  <si>
    <t>WOS:000559821700025</t>
  </si>
  <si>
    <t>Rangel, KC; Villela, LZ; Pereira, KD; Colepicolo, P; Debonsi, HM; Gaspar, LR</t>
  </si>
  <si>
    <t>Rangel, Karen Cristina; Villela, Leonardo Zambotti; Pereira, Karina de Castro; Colepicolo, Pio; Debonsi, Hosana Maria; Gaspar, Lorena Rigo</t>
  </si>
  <si>
    <t>Assessment of the photoprotective potential and toxicity of Antarctic red macroalgae extracts from Curdiea racovitzae and Iridaea cordata for cosmetic use</t>
  </si>
  <si>
    <t>ALGAL RESEARCH-BIOMASS BIOFUELS AND BIOPRODUCTS</t>
  </si>
  <si>
    <t>Curdiea racovitzae; Iridaea cordata; Photostability; Phototoxicity; Photoprotection</t>
  </si>
  <si>
    <t>ORGANIC UV-FILTERS; AMINO-ACIDS MAAS; ANTIOXIDANT ACTIVITY; ULTRAVIOLET-RADIATION; NATURAL ANTIOXIDANTS; PHOTODEGRADATION; PHOTOSTABILITY; PHOTOTOXICITY; FORMULATIONS; SUNSCREENS</t>
  </si>
  <si>
    <t>Botanical and marine extracts have been used in cosmetic products as natural antioxidants or UV-absorbers to reduce the use of organic UV filters. However, despite the high UV exposure of Antarctic macroalgae that induces the production of photoprotective compounds, the use of marine macroalgae extracts for photoprotection has been little explored. Thus our objective was to assess the photoprotective potential and the toxicity of extracts from two red macroalgae Curdiea racovitzae and Iridaea cordata. Chemical characterization was based on the qualitative and quantitative analyses of mycosporine-like amino acids (MAAs) by high performance liquid chromatography coupled to mass spectrometry. Photoprotective properties were assessed by UV spectrophotometry and photostability assay. Antioxidant capacity was studied by DPPH and superoxide radical scavenging assays. UVB and UVA photoprotection was assessed in keratinocytes by cell viability analysis after UVB irradiation and quantification of intracellular reactive oxygen species (ROS) induced by UVA, respectively. Toxicity was estimated by cytotoxicity, phototoxicity and HET-CAM (Hen's egg test-chorioallantoic membrane) assays. Red algae extracts had high concentrations of MAAs, mainly consisted of palythine. The extracts absorbed in the UVB and UVA-II and were photostable. The C. racovitzae extract showed antioxidant activity against superoxide radicals. In addition, the C. racovitzae (1.0 and 0.5 mg/mL) and I. cordata (1.0 mg/mL) extracts had an UVB photoprotection similar to benzophenone-3, which was dependent on the total MAAs concentration. Besides, the C. racovitzae extract decreased ROS generation by 31 and 24% at 100 and 50 mu g/mL, respectively. Furthermore, it was more effective in reducing ROS generation than quercetin and Helioguard 365 (R). Finally, both extracts were considered to be non-cytotoxic, non-phototoxic and non-irritant. Therefore, the C. racovitzae extract is a good candidate to be added to anti-aging and sunscreen formulations in order to protect against oxidative stress and to improve the absorption spectra of UV filters.</t>
  </si>
  <si>
    <t>[Rangel, Karen Cristina; Pereira, Karina de Castro; Debonsi, Hosana Maria; Gaspar, Lorena Rigo] Univ Sao Paulo, Sch Pharmaceut Sci Ribeirao Preto, BR-14040903 Ribeirao Preto, SP, Brazil; [Villela, Leonardo Zambotti; Colepicolo, Pio] Univ Sao Paulo, Inst Chem, BR-05508000 Sao Paulo, SP, Brazil</t>
  </si>
  <si>
    <t>Universidade de Sao Paulo; Universidade de Sao Paulo</t>
  </si>
  <si>
    <t>Gaspar, LR (corresponding author), Univ Sao Paulo, Sch Pharmaceut Sci Ribeirao Preto, BR-14040903 Ribeirao Preto, SP, Brazil.</t>
  </si>
  <si>
    <t>karen_kcr@hotmail.com; lorena@fcfrp.usp.br</t>
  </si>
  <si>
    <t>Debonsi, Hosana M/C-6120-2012; Fapesp, Biota/F-8655-2017; Cordeiro, Lorena Gaspar/AAR-1504-2020</t>
  </si>
  <si>
    <t>Fapesp, Biota/0000-0002-9887-8449; Cordeiro, Lorena Gaspar/0000-0002-1550-3036; Cristina Rangel, Karen/0000-0003-2496-5926; Zambotti-Villela, Leonardo/0000-0003-1064-569X</t>
  </si>
  <si>
    <t>Fundacao de Amparo a Pesquisa do Estado de Sao Paulo -Brasil (FAPESP) [2016/06931-4]; Ministerio da Ciencia, Tecnologia e Inovacao/Conselho Nacional de Desenvolvimento Cientifico e Tecnologico/Fundo Nacional de Desenvolvimento Cientifico e Tecnologico -Brasil (MCTI/CNPq/FNDCT)-Acao Transversal Programa Antartico Brasileiro [407588/2013-2]; Coordenacao de Aperfeicoamento de Pessoal de Nivel Superior -Brasil (CAPES) [001]; National Institute of Science and Technology -Brasil (INCT: BioNat) (CNPq) [465637/2014-0]; National Institute of Science and Technology -Brasil (INCT: BioNat) (FAPESP) [2014/50926-0]; Fundacao de Amparo a Pesquisa do Estado de Sao Paulo (FAPESP) [16/06931-4, 14/50926-0] Funding Source: FAPESP</t>
  </si>
  <si>
    <t>Fundacao de Amparo a Pesquisa do Estado de Sao Paulo -Brasil (FAPESP)(Fundacao de Amparo a Pesquisa do Estado de Sao Paulo (FAPESP)); Ministerio da Ciencia, Tecnologia e Inovacao/Conselho Nacional de Desenvolvimento Cientifico e Tecnologico/Fundo Nacional de Desenvolvimento Cientifico e Tecnologico -Brasil (MCTI/CNPq/FNDCT)-Acao Transversal Programa Antartico Brasileiro; Coordenacao de Aperfeicoamento de Pessoal de Nivel Superior -Brasil (CAPES)(Coordenacao de Aperfeicoamento de Pessoal de Nivel Superior (CAPES)); National Institute of Science and Technology -Brasil (INCT: BioNat) (CNPq)(Conselho Nacional de Desenvolvimento Cientifico e Tecnologico (CNPQ)); National Institute of Science and Technology -Brasil (INCT: BioNat) (FAPESP); Fundacao de Amparo a Pesquisa do Estado de Sao Paulo (FAPESP)(Fundacao de Amparo a Pesquisa do Estado de Sao Paulo (FAPESP))</t>
  </si>
  <si>
    <t>The authors are grateful for the financial support of Fundacao de Amparo a Pesquisa do Estado de Sao Paulo -Brasil (FAPESP) (Grant #2016/06931-4), Ministerio da Ciencia, Tecnologia e Inovacao/Conselho Nacional de Desenvolvimento Cientifico e Tecnologico/Fundo Nacional de Desenvolvimento Cientifico e Tecnologico -Brasil (MCTI/CNPq/FNDCT)-Acao Transversal Programa Antartico Brasileiro (Grant #407588/2013-2), Coordenacao de Aperfeicoamento de Pessoal de Nivel Superior -Brasil (CAPES) (Code 001) and National Institute of Science and Technology -Brasil (INCT: BioNat) (CNPq Grant #465637/2014-0, and FAPESP Grant #2014/50926-0). The authors are also grateful to the Laboratory of Biochemistry of Prof. Yara Maria Lucisano Valim (FCFRP-USP) for helping with the superoxide radical scavenging assay. The authors are also grateful to Dr. Cesar Bertagia Pasqualetti and Maria Beatriz Barbosa de Barros Barreto for identifying and depositing the voucher specimens in the herbarium of Botanical Institute of Sao Paulo State and to Dr. Toyota Fujii Mutue for the collaboration in taxonomic description and discussion.</t>
  </si>
  <si>
    <t>2211-9264</t>
  </si>
  <si>
    <t>ALGAL RES</t>
  </si>
  <si>
    <t>Algal Res.</t>
  </si>
  <si>
    <t>10.1016/j.algal.2020.101984</t>
  </si>
  <si>
    <t>MY8RF</t>
  </si>
  <si>
    <t>WOS:000558685000006</t>
  </si>
  <si>
    <t>Wang, HJ; Liu, SH; Wang, TL; Liu, HW; Xu, XH; Chen, KS; Zhang, PY</t>
  </si>
  <si>
    <t>Wang, Huijuan; Liu, Shenghao; Wang, Tailin; Liu, Hongwei; Xu, Xinhui; Chen, Kaoshan; Zhang, Pengying</t>
  </si>
  <si>
    <t>The moss flavone synthase I positively regulates the tolerance of plants to drought stress and UV-B radiation</t>
  </si>
  <si>
    <t>PLANT SCIENCE</t>
  </si>
  <si>
    <t>Abiotic stress; Bryophyte; Flavonoids; Flavone synthase; UV-B light</t>
  </si>
  <si>
    <t>FUNCTIONAL-CHARACTERIZATION; ARABIDOPSIS; EXPRESSION; RESPONSES</t>
  </si>
  <si>
    <t>Flavonoids are extensively distributed secondary metabolites in land plants. They play a critical role in plant evolution from aquatic to terrestrial and plant adaption to ultraviolet radiation. However, the downstream branching pathway of flavonoids and its regulatory mechanism in bryophytes, which are the most ancient of terrestrial plants, remain unclear. Here, a type I flavone synthase (PnFNSI) was characterized from the Antarctic moss Pohlia means. PnFNSI was primarily distributed in the cytoplasm, as detected by subcellular localization. PnFNSI could catalyze the conversion of naringenin to apigenin with an optimal temperature between 15 and 20 degrees C in vitro. Overexpression of PnFNSI in Arabidopsis alleviated the growth restriction caused by naringenin and accumulated apigenin product. PnFNSI-overexpressing plants showed enhanced plant tolerance to drought stress and UV-B radiation. PnFNSI also increased the enzyme activities and gene transcription levels of reactive oxygen species (ROS) scavengers, protecting plants against oxidative stress. Moreover, overexpression of PnFNSI enhanced the flavone biosynthesis pathway in Arabidopsis. Therefore, this moss FNSI-type enzyme participates in flavone metabolism, conferring protection against drought stress and UV-B radiation.</t>
  </si>
  <si>
    <t>[Wang, Huijuan; Wang, Tailin; Liu, Hongwei; Xu, Xinhui; Chen, Kaoshan; Zhang, Pengying] Shandong Univ, Natl Glycoengn Res Ctr, Sch Life Sci, Qingdao 266237, Peoples R China; [Liu, Shenghao] Nat Resources Minist, Inst Oceanog 1, Marine Ecol Res Ctr, Qingdao 266061, Peoples R China</t>
  </si>
  <si>
    <t>Shandong University</t>
  </si>
  <si>
    <t>Zhang, PY (corresponding author), Shandong Univ Qingdao, Sch Life Sci, 72 Coastal Highway, Qingdao 266000, Shandong, Peoples R China.</t>
  </si>
  <si>
    <t>zhangpy80@sdu.edu.cn</t>
  </si>
  <si>
    <t>wang, hui/GRS-4730-2022; WANG, HUIYUAN/IXX-2427-2023; wang, jian/HRB-9588-2023; wang, huimin/HDM-8421-2022; wang, hui/HSG-6135-2023; Wang, Hui/HMU-9512-2023; Liu, Shenghao/ISU-3076-2023; wang, hao/HSE-7975-2023</t>
  </si>
  <si>
    <t>Liu, Shenghao/0000-0002-1449-3526;</t>
  </si>
  <si>
    <t>National Natural Science Foundation of China [41976225]; Central Public-Interest Scientific Institution Basal Research Foundation of China [GY0219Q05]; Natural Science Foundation of Shandong Province [ZR2017MD013]; Key Technology Research and Development Program of Shandong Province [2019GSF107064]</t>
  </si>
  <si>
    <t>National Natural Science Foundation of China(National Natural Science Foundation of China (NSFC)); Central Public-Interest Scientific Institution Basal Research Foundation of China; Natural Science Foundation of Shandong Province(Natural Science Foundation of Shandong Province); Key Technology Research and Development Program of Shandong Province</t>
  </si>
  <si>
    <t>National Natural Science Foundation of China (41976225), Central Public-Interest Scientific Institution Basal Research Foundation of China (GY0219Q05), Natural Science Foundation of Shandong Province (ZR2017MD013), and Key Technology Research and Development Program of Shandong Province (2019GSF107064).</t>
  </si>
  <si>
    <t>ELSEVIER IRELAND LTD</t>
  </si>
  <si>
    <t>CLARE</t>
  </si>
  <si>
    <t>ELSEVIER HOUSE, BROOKVALE PLAZA, EAST PARK SHANNON, CO, CLARE, 00000, IRELAND</t>
  </si>
  <si>
    <t>0168-9452</t>
  </si>
  <si>
    <t>1873-2259</t>
  </si>
  <si>
    <t>PLANT SCI</t>
  </si>
  <si>
    <t>Plant Sci.</t>
  </si>
  <si>
    <t>10.1016/j.plantsci.2020.110591</t>
  </si>
  <si>
    <t>Biochemistry &amp; Molecular Biology; Plant Sciences</t>
  </si>
  <si>
    <t>MX7BB</t>
  </si>
  <si>
    <t>WOS:000557874400034</t>
  </si>
  <si>
    <t>Chen, JC; Chen, MY; Fang, C; Zheng, RH; Jiang, YL; Zhang, YS; Wang, KJ; Bailey, C; Segner, H; Bo, J</t>
  </si>
  <si>
    <t>Chen, Jin-Can; Chen, Meng-Yun; Fang, Chao; Zheng, Rong-Hui; Jiang, Yu-Lu; Zhang, Yu-Sheng; Wang, Ke-Jian; Bailey, Christyn; Segner, Helmut; Bo, Jun</t>
  </si>
  <si>
    <t>Microplastics negatively impact embryogenesis and modulate the immune response of the marine medaka Oryzias melastigma</t>
  </si>
  <si>
    <t>Cardiovascular toxicity; Hatching rate; Heart beats; Inflammation; Immunotoxicity</t>
  </si>
  <si>
    <t>LIFE STAGES; FISH MODEL; EXPOSURE; NANOPARTICLES; EXPRESSION; INGESTION; TOXICITY; ACTIVATION; COMPONENTS; ORGANISMS</t>
  </si>
  <si>
    <t>Microplastic (MP) pollution is an emerging contaminant in aquatic environments worldwide. Nonetheless, the developmental toxicity of MPs in the early life stages of fish and the mechanisms involved are not yet fully understood. The present study investigated the effects of different concentrations of polystyrene (PS) MPs on the early development of the marine model fish the medaka Oryzias melastigma. Our results showed that waterborne exposure to PS MPs significantly delayed the hatching time, altered the heartbeat and decreased the hatching rate of embryos. Furthermore, the genes involved in cardiac development, encoding for embryo-hatching enzymes, as well as inflammatory responses were significantly upregulated. The transcriptome results showed that mainly the pathways involved in metabolism, immune response, genetic information processing and diseases were significantly enriched. These results demonstrate that PS MPs negatively impact embryogenesis and the immune response of O. melastigma.</t>
  </si>
  <si>
    <t>[Chen, Jin-Can; Chen, Meng-Yun; Fang, Chao; Zheng, Rong-Hui; Jiang, Yu-Lu; Zhang, Yu-Sheng; Bo, Jun] Minist Nat Resources, Inst Oceanol 3, Lab Marine Biol &amp; Ecol, Xiamen 361102, Peoples R China; [Chen, Jin-Can; Jiang, Yu-Lu; Wang, Ke-Jian] Xiamen Univ, Coll Ocean &amp; Earth Sci, State Key Lab Marine Environm Sci, Xiamen 361005, Peoples R China; [Bailey, Christyn] Anim Hlth Res Ctr CISA INIA, Fish Immunol &amp; Pathol Lab, Madrid, Spain; [Segner, Helmut] Univ Bern, Ctr Fish &amp; Wildlife Hlth, Dept Infect Dis &amp; Pathobiol, Bern, Switzerland</t>
  </si>
  <si>
    <t>Ministry of Natural Resources of the People's Republic of China; Xiamen University; University of Bern</t>
  </si>
  <si>
    <t>Bo, J (corresponding author), Minist Nat Resources, Inst Oceanol 3, Lab Marine Biol &amp; Ecol, Xiamen 361102, Peoples R China.</t>
  </si>
  <si>
    <t>bojun@tio.org.cn</t>
  </si>
  <si>
    <t>yang, zhuo/JPK-3133-2023; Chen, Jincan/AAA-1906-2022; Chen, Jincan/IYJ-2608-2023; Wang, Kejian/AAC-7524-2020; Li, Guo/JNR-1700-2023; Bo, Jun/ABG-7639-2020; Jiang, yulu/IQU-5600-2023; Bailey, Christyn/JXY-0114-2024; Bailey, Christyn/AFV-6214-2022</t>
  </si>
  <si>
    <t>Chen, Jincan/0000-0003-0312-7034; Chen, Jincan/0000-0003-0312-7034; Wang, Kejian/0000-0002-8385-6714; Bo, Jun/0000-0002-8726-1654;</t>
  </si>
  <si>
    <t>National Key Research and Development Program of China [2019YFD0901101]; Scientific Research Foundation of the Third Institute of Oceanography, Ministry of Natural Resources [2012019, 2018019]; National Natural Science Foundation of China [41977211]; National Program on Global Change and Air-Sea Interaction [GASI-02-SCS-YDsum]; Chinese Arctic and Antarctic Administration; SNF Post Doc Mobility Fellowship [P400PB_183824]</t>
  </si>
  <si>
    <t>National Key Research and Development Program of China; Scientific Research Foundation of the Third Institute of Oceanography, Ministry of Natural Resources; National Natural Science Foundation of China(National Natural Science Foundation of China (NSFC)); National Program on Global Change and Air-Sea Interaction; Chinese Arctic and Antarctic Administration; SNF Post Doc Mobility Fellowship</t>
  </si>
  <si>
    <t>This work was sponsored by the National Key Research and Development Program of China (No. 2019YFD0901101), the Scientific Research Foundation of the Third Institute of Oceanography, Ministry of Natural Resources (No. 2012019 and 2018019), the National Natural Science Foundation of China (No. 41977211), the National Program on Global Change and Air-Sea Interaction (GASI-02-SCS-YDsum) and the Chinese Arctic and Antarctic Administration. CB was supported SNF Post Doc Mobility Fellowship number P400PB_183824. The authors would like to thank Chen Hui-Yun (Xiamen University) for the assistance in confocal imaging and Johanna Croton for improving the English.</t>
  </si>
  <si>
    <t>10.1016/j.marpolbul.2020.111349</t>
  </si>
  <si>
    <t>MU2JQ</t>
  </si>
  <si>
    <t>WOS:000555500000007</t>
  </si>
  <si>
    <t>Matias, RS; Seco, J; Gregory, S; Belchier, M; Pereira, ME; Bustamante, P; Xavier, JC</t>
  </si>
  <si>
    <t>Matias, Ricardo S.; Seco, Jose; Gregory, Susan; Belchier, Mark; Pereira, Maria E.; Bustamante, Paco; Xavier, Jose C.</t>
  </si>
  <si>
    <t>Antarctic octopod beaks as proxy for mercury concentrations in soft tissues</t>
  </si>
  <si>
    <t>Total mercury; South Georgia; Cephalopoda; Toxicology</t>
  </si>
  <si>
    <t>TOOTHFISH DISSOSTICHUS-ELEGINOIDES; SOUTH GEORGIA; TROPHIC POSITION; CEPHALOPOD PREY; FOOD-CHAIN; DIET; BIOACCUMULATION; ADELIELEDONE; ACCUMULATION; ALBATROSSES</t>
  </si>
  <si>
    <t>As the role of mercury is poorly known in Southern Ocean biota, the total mercury (T-Hg) concentrations were evaluated in upper/lower beaks, digestive gland, gills and mantle muscle of Adelieledone polymorpha and Pareledone turqueti, two of the most abundant octopod species around South Georgia. Beaks had the lowest T-Hg concentrations (A. polymorpha: [T-H](Upper) = 27.2 +/- 12.9 ng.g(-1) and [T-Hg](Lower) = 27.5 +/- 20.0 ng.g(-1); P. turqueti: [T-Hg](Upper) = 34.6 +/- 13.9 ng.g(-1) and [T-Hg](Lower) = 56.8 +/- 42.0 ng.g(-1)), followed by gills and muscle. The highest values were recorded in the digestive gland (A. polymorpha: 251.6 +/- 69.7 ng.g(-1) ; P. turqueti: 347.0 +/- 177.0 ng.g(-1)). Significant relationships were found between the concentrations of T-Hg in the beaks and muscle of A. polymorpha (T-Hg in muscle is 10 times higher than in beaks). This study shows that beaks can be used as proxy for T-Hg in muscle for some octopod species, and a helpful tool for estimating total Hg body burden from beaks.</t>
  </si>
  <si>
    <t>[Matias, Ricardo S.; Xavier, Jose C.] Univ Coimbra, Marine &amp; Environm Sci Ctr MARE, Dept Life Sci, Fac Sci &amp; Technol, P-3000456 Coimbra, Portugal; [Seco, Jose; Pereira, Maria E.] Univ Aveiro, Dept Chem, Campus Univ Santiago, P-3810193 Aveiro, Portugal; [Seco, Jose; Pereira, Maria E.] Univ Aveiro, CESAM REQUIMTE, Campus Univ Santiago, P-3810193 Aveiro, Portugal; [Seco, Jose] Univ St Andrews, Sch Biol, St Andrews KY16 9ST, Fife, Scotland; [Gregory, Susan; Belchier, Mark; Xavier, Jose C.] British Antarctic Survey, Nat Environm Res Council, Madingley Rd, Cambridge CB3 0ET, England; [Gregory, Susan] Govt South Georgia &amp; South Sandwich Isl, Stanley, Falkland Island; [Bustamante, Paco] La Rochelle Univ, Littoral Environm &amp; Soc LIENSs, UMR 7266 CNRS, 2 Rue Olympe de Gouges, F-17000 La Rochelle, France; [Bustamante, Paco] Inst Univ France IUF, 1 Rue Descartes, F-75005 Paris, France</t>
  </si>
  <si>
    <t>Universidade de Coimbra; Universidade de Aveiro; Universidade de Aveiro; University of St Andrews; UK Research &amp; Innovation (UKRI); Natural Environment Research Council (NERC); NERC British Antarctic Survey; Centre National de la Recherche Scientifique (CNRS); CNRS - Institute of Ecology &amp; Environment (INEE); Institut Universitaire de France</t>
  </si>
  <si>
    <t>Matias, RS (corresponding author), Univ Coimbra, Marine &amp; Environm Sci Ctr MARE, Dept Life Sci, Fac Sci &amp; Technol, P-3000456 Coimbra, Portugal.</t>
  </si>
  <si>
    <t>ricardomatias.bio@gmail.com; jseco@ua.pt</t>
  </si>
  <si>
    <t>Bustamante, Paco/G-5833-2011; Xavier, José/KFB-6739-2024; Matias, Ricardo/JNS-8750-2023</t>
  </si>
  <si>
    <t>Bustamante, Paco/0000-0003-3877-9390; Matias, Ricardo/0000-0002-3236-1551; Seco, Jose/0000-0002-7957-6488; /0000-0002-9621-6660</t>
  </si>
  <si>
    <t>Foundation for Science and Technology (FCT-Portugal) [UID/MAR/04292/2019]; FCT-Portugal [SRFH/PD/BD113487]; IUF (Institut Universitaire de France); NERC [bas0100035] Funding Source: UKRI</t>
  </si>
  <si>
    <t>Foundation for Science and Technology (FCT-Portugal)(Fundacao para a Ciencia e a Tecnologia (FCT)); FCT-Portugal(Fundacao para a Ciencia e a Tecnologia (FCT)); IUF (Institut Universitaire de France); NERC(UK Research &amp; Innovation (UKRI)Natural Environment Research Council (NERC))</t>
  </si>
  <si>
    <t>We thank all colleagues (and logistical support) of the British Antarctic Survey that have collected samples. This work is part of the BAS-CEPH monitoring long-term project and PROPOLAR, SCAR AntERA, SCAR EGBAMM and ICED programs. This study benefited from strategic program of MARE, financed by Foundation for Science and Technology (FCT-Portugal; UID/MAR/04292/2019). We also acknowledge FCT-Portugal for supporting J. Seco through a PhD grant (SRFH/PD/BD113487). The IUF (Institut Universitaire de France) is acknowledged for its support to P. Bustamante as a Senior Member.</t>
  </si>
  <si>
    <t>10.1016/j.marpolbul.2020.111447</t>
  </si>
  <si>
    <t>WOS:000555500000080</t>
  </si>
  <si>
    <t>Sánchez, A; Gómez-León, A; Pérez-Tribouillier, H; Rey-Villiers, N; Ortiz-Hernández, MC; Rodríguez-Figueroa, G; Shumilin, E</t>
  </si>
  <si>
    <t>Sanchez, Alberto; Gomez-Leon, Adriana; Perez-Tribouillier, Habacuc; Rey-Villiers, Nestor; Concepcion Ortiz-Hernandez, Ma; Rodriguez-Figueroa, Griselda; Shumilin, Evgueni</t>
  </si>
  <si>
    <t>Vertical variability of benthic foraminifera and trace elements in a tropical coastal lagoon in the Gulf of California</t>
  </si>
  <si>
    <t>Benthic foraminifera; Ammonia; Nontolerant species; Trace elements; Gulf of California; Environmental quality</t>
  </si>
  <si>
    <t>BILBAO ESTUARY; INDICATORS; QUALITY; ENVIRONMENT; POLLUTION; HABITATS; PROXIES; FJORD; BAY</t>
  </si>
  <si>
    <t>Population growth around water bodies is deteriorating environmental quality. The benthic foraminiferal and trace element concentration in a pair of short sediment cores were used to establish the quality of the sedimentary environment in a tropical coastal lagoon in the southwestern Gulf of California. From 25 cm depth towards the surface of the sediment core, Ammonia beccarii was dominant over nontolerant species and the concentrations of V, Ni, Co, Zn, Cu, Hg and Pb in the sediments increased compared with the lower depth intervals. This finding suggests a deterioration in the environmental quality of the lagoon since 1980, associated with an increase in the sizes of the population and vehicle fleet in the city of La Paz, Baja California Sur, and with the operation of three fossil fuel-based thermoelectric plants since 1985.</t>
  </si>
  <si>
    <t>[Sanchez, Alberto; Gomez-Leon, Adriana; Rey-Villiers, Nestor; Rodriguez-Figueroa, Griselda; Shumilin, Evgueni] Inst Politecn Nacl, Ctr Interdisciplinario Ciencias Marinas, Av IPN SN, La Paz, Bcs, Mexico; [Perez-Tribouillier, Habacuc] Univ Tasmania, Inst Marine &amp; Antarctic Studies, Hobart, Tas, Australia; [Concepcion Ortiz-Hernandez, Ma] El Colegio Frontera Sur, Unidad Chetumal, Av Centenario Km 5-5, Chetmal, Quintana Roo, Mexico</t>
  </si>
  <si>
    <t>Instituto Politecnico Nacional - Mexico; University of Tasmania; El Colegio de la Frontera Sur (ECOSUR)</t>
  </si>
  <si>
    <t>Sánchez, A (corresponding author), Inst Politecn Nacl, Ctr Interdisciplinario Ciencias Marinas, Apdo Postal 592, La Paz, Baja California, Mexico.</t>
  </si>
  <si>
    <t>alsanchezg@ipn.mx</t>
  </si>
  <si>
    <t>Sanchez, Alberto/AAF-7096-2021</t>
  </si>
  <si>
    <t>Rey-Villiers, Nestor/0000-0002-2013-2479</t>
  </si>
  <si>
    <t>SIP, IPN Grant [SIP20180664, SIP20195113, SIP20131764]</t>
  </si>
  <si>
    <t>SIP, IPN Grant</t>
  </si>
  <si>
    <t>Funding for this work was provided by SIP, IPN Grant SIP20180664 and SIP20195113 to A. Sanchez, as well as Grant SIP20131764 to Dr. E. Shumilin. We acknowledge to two anonymous reviewers for their valuable and helpful comments on the manuscript.</t>
  </si>
  <si>
    <t>10.1016/j.marpolbul.2020.111417</t>
  </si>
  <si>
    <t>WOS:000555500000056</t>
  </si>
  <si>
    <t>Timoney, R; Worrall, K; Firstbrook, D; Harkness, P; Rix, J; Ashurst, D; Mulvaney, R; Bentley, MJ</t>
  </si>
  <si>
    <t>Timoney, Ryan; Worrall, Kevin; Firstbrook, David; Harkness, Patrick; Rix, Julius; Ashurst, Daniel; Mulvaney, Robert; Bentley, Michael J.</t>
  </si>
  <si>
    <t>A low resource subglacial bedrock sampler: The percussive rapid access isotope drill (P-RAID)</t>
  </si>
  <si>
    <t>Polar Drilling; Planetary Drilling; Paleoclimatology</t>
  </si>
  <si>
    <t>TECHNOLOGY</t>
  </si>
  <si>
    <t>The paleoclimate community has an interest in distributed subglacial bedrock sampling but, while capable drill systems do exist, they are often incompatible with Twin Otter logistics aircraft. To address this issue, a design built on the existing low footprint ice-sampler, the Rapid Access Isotope Drill (RAID), is investigated. The new device will retain key features of the parent system, but the ice drilling elements of the RAID will be replaced by a self-contained rotary-percussive core-drill capable of penetrating ice-consolidated and rocky terrain at and below the ice/rock interface. This new front-end will only be deployed once the interface itself has been attained, providing a pristine core sample from the underlying terrain. The proposed Percussive Rapid Access Isotope Drill (P-RAID) has been inspired by planetary drilling technologies to allow autonomous operations at the bottom of the hole. This paper details the development and testing of the proof-of-concept hardware. The mechanical and electrical design challenges encountered, and the results obtained from a series of prolonged cold chamber tests will be discussed, alongside lessons learned from initial testing in Antarctica.</t>
  </si>
  <si>
    <t>[Timoney, Ryan; Worrall, Kevin; Firstbrook, David; Harkness, Patrick] Univ Glasgow, Sch Engn, Glasgow G12 8QQ, Lanark, Scotland; [Rix, Julius; Ashurst, Daniel; Mulvaney, Robert] British Antarctic Survey, Madingley Rd, Cambridge CB3 0ET, England; [Bentley, Michael J.] Univ Durham, Dept Geog, Durham DH1 3LE, England</t>
  </si>
  <si>
    <t>University of Glasgow; UK Research &amp; Innovation (UKRI); Natural Environment Research Council (NERC); NERC British Antarctic Survey; Durham University</t>
  </si>
  <si>
    <t>Harkness, P (corresponding author), Univ Glasgow, Sch Engn, Glasgow G12 8QQ, Lanark, Scotland.</t>
  </si>
  <si>
    <t>patrick.harkness@glasgow.ac.uk</t>
  </si>
  <si>
    <t>Bentley, Michael J/F-7386-2011; Mulvaney, Robert/K-3929-2012; Harkness, Patrick G/E-7916-2011</t>
  </si>
  <si>
    <t>Bentley, Michael J/0000-0002-2048-0019; Rix, Julius/0000-0002-8048-9445</t>
  </si>
  <si>
    <t>Natural Environment Research Council [NE/P003761/1]; UK Space Agency [ST/R00269X/1]; University of Glasgow Impact Acceleration Account; British Antarctic Survey through the Collaborative Antarctic Science Scheme; NERC [bas0100034, NE/P003761/1, bas0100030] Funding Source: UKRI; UK Space Agency [ST/R00269X/1] Funding Source: researchfish</t>
  </si>
  <si>
    <t>Natural Environment Research Council(UK Research &amp; Innovation (UKRI)Natural Environment Research Council (NERC)); UK Space Agency; University of Glasgow Impact Acceleration Account; British Antarctic Survey through the Collaborative Antarctic Science Scheme; NERC(UK Research &amp; Innovation (UKRI)Natural Environment Research Council (NERC)); UK Space Agency</t>
  </si>
  <si>
    <t>This research was supported by the Natural Environment Research Council (NE/P003761/1), the UK Space Agency (ST/R00269X/1), the University of Glasgow Impact Acceleration Account, and the British Antarctic Survey through the Collaborative Antarctic Science Scheme.</t>
  </si>
  <si>
    <t>10.1016/j.coldregions.2020.103113</t>
  </si>
  <si>
    <t>MT3QN</t>
  </si>
  <si>
    <t>WOS:000554882900007</t>
  </si>
  <si>
    <t>O'Brien, PE; Post, AL; Edwards, S; Martin, T; Caburlotto, A; Donda, F; Leitchenkov, G; Romeo, R; Duffy, M; Evangelinos, D; Holder, L; Leventer, A; López-Quirós, A; Opdyke, BN; Armand, LK</t>
  </si>
  <si>
    <t>O'Brien, P. E.; Post, A. L.; Edwards, S.; Martin, T.; Caburlotto, A.; Donda, F.; Leitchenkov, G.; Romeo, R.; Duffy, M.; Evangelinos, D.; Holder, L.; Leventer, A.; Lopez-Quiros, A.; Opdyke, B. N.; Armand, L. K.</t>
  </si>
  <si>
    <t>Continental slope and rise geomorphology seaward of the Totten Glacier, East Antarctica (112°E-122°E)</t>
  </si>
  <si>
    <t>Antarctica; Continental slope and rise; Totten Glacier; Submarine canyons; Ridges</t>
  </si>
  <si>
    <t>SUBMARINE-CANYON EVOLUTION; ICE-SHEET; WILKES LAND; SEDIMENTARY PROCESSES; AMUNDSEN SEA; TERRE ADELIE; WEST; MORPHOLOGY; TURBIDITE; RETREAT</t>
  </si>
  <si>
    <t>The continental slope and rise seaward of the Totten Glacier and the Sabrina Coast, East Antarctica features continental margin depositional systems with high sediment input and consistent along-slope current activity. Understanding their genesis is a necessary step in interpreting the paleoenvironmental records they contain. Geomorphic mapping using a systematic multibeam survey shows variations in the roles of downslope and along slope sediment transport influenced by broad-scale topography and oceanography. The study area contains two areas with distinct geomorphology. Canyons in the eastern part of the area have concave thalwegs, are linked to the shelf edge and upper slope and show signs of erosion and deposition along their beds suggesting cycles of activity controlled by climate cycles. Ridges between these canyons are asymmetric with crests close to the west bank of adjacent canyons and are mostly formed by westward advection of fine sediment lofted from turbidity currents and deposition of hemipelagic sediment. They can be thought of as giant levee deposits. The ridges in the western part of the area have more gently sloping eastern flanks and rise to shallower depths than those in the east. The major canyon in the western part of the area is unusual in having a convex thalweg; it is likely fed predominantly by mass movement from the flanks of the adjacent ridges with less sediment input from the shelf edge. The western ridges formed by accretion of suspended sediment moving along the margin as a broad plume in response to local oceanography supplemented with detritus originating from the Totten Glacier. This contrasts with interpretations of similar ridges described from other parts of Antarctica which emphasise sediment input from canyons immediately up-current. The overall geomorphology of the Sabrina Coast slope is part of a continuum of mixed contourite-turbidite systems identified on glaciated margins.</t>
  </si>
  <si>
    <t>[O'Brien, P. E.] Macquarie Univ, Dept Environm Sci, Sydney, NSW, Australia; [Post, A. L.] Geosci Australia, Canberra, ACT, Australia; [Edwards, S.; Martin, T.] CSIRO Oceans &amp; Atmosphere, Hobart, Tas, Australia; [Caburlotto, A.; Donda, F.; Romeo, R.] Ist Nazl Oceanog &amp; Geofis Sperimentale OGS, Sgonico, TS, Italy; [Leitchenkov, G.] St Petersburg State Univ, All Russia Sci Res Inst Geol &amp; Mineral Resources, St Petersburg, Russia; [Duffy, M.; Leventer, A.] Colgate Univ, Hamilton, NY USA; [Evangelinos, D.; Lopez-Quiros, A.] Univ Granada, Inst Andaluz Ciencias Tierra, CSIC, Avda Palmeras 4, Granada 18100, Spain; [Holder, L.] Imperial Coll, London, England; [Opdyke, B. N.; Armand, L. K.] Australian Natl Univ, Canberra, ACT, Australia</t>
  </si>
  <si>
    <t>Macquarie University; Geoscience Australia; Commonwealth Scientific &amp; Industrial Research Organisation (CSIRO); Istituto Nazionale di Oceanografia e di Geofisica Sperimentale; Saint Petersburg State University; Colgate University; University of Granada; Consejo Superior de Investigaciones Cientificas (CSIC); CSIC - Instituto Andaluz de Ciencias de la Tierra (IACT); Imperial College London; Australian National University</t>
  </si>
  <si>
    <t>O'Brien, PE (corresponding author), Macquarie Univ, Dept Environm Sci, Sydney, NSW, Australia.</t>
  </si>
  <si>
    <t>phil.obrien.ant@gmail.com</t>
  </si>
  <si>
    <t>Evagelinos, Dimitris/ISU-3607-2023; Evangelinos, Dimitris/ABH-5910-2020; López Quirós, Adrián/K-6513-2017; Martin Ruiz, Tomas/J-9222-2014</t>
  </si>
  <si>
    <t>Evangelinos, Dimitris/0000-0002-4978-3056; López Quirós, Adrián/0000-0002-7522-2834; Martin Ruiz, Tomas/0000-0002-9504-7287; ROMEO, Roberto/0000-0001-5867-8998; Leventer, Amy/0000-0001-9401-0987; caburlotto, andrea/0000-0001-7259-6884</t>
  </si>
  <si>
    <t>Australian Government's Australian Antarctic Science Grant Program [4333]; Australian Government through the Australian Research Council [DP170100557]; Italian Programma Nazionale di Richerch in Antartide (PNRA); Spanish Ministry of Science and Innovation [CTM2014-60451-C2-1-P, CTM2017-89711-C2-1-P]</t>
  </si>
  <si>
    <t>Australian Government's Australian Antarctic Science Grant Program(Australian Government); Australian Government through the Australian Research Council(Australian Research Council); Italian Programma Nazionale di Richerch in Antartide (PNRA); Spanish Ministry of Science and Innovation(Spanish Government)</t>
  </si>
  <si>
    <t>We thank the Marine National Facility, the IN2017-V01 scientific party-led by the Chief Scientists L.K. Armand and P. E. O'Brien, MNF support staff and ASP crew members led by Capt. M. Watson for their help and support on board the RV Investigator. We thank laboratory staff from Geoscience Australia for sediment grainsize analysis, particularly Ian Long, Christian Thun, Aziah Williamson and Simon Webber. This Project is supported through funding from the Australian Government's Australian Antarctic Science Grant Program (AAS #4333) and by the Australian Government through the Australian Research Council (DP170100557). Seismic data acquisition and processing was supported by the Italian Programma Nazionale di Richerch in Antartide (PNRA) under the TYTAN Project. A. Lopez-Quiros and D. Evangelinos acknowledge funding provided by Spanish Ministry of Science and Innovation (grants CTM2014-60451-C2-1-P and CTM2017-89711-C2-1-P). A. Post publishes with the permission of the CEO, Geoscience Australia, under Creative Commons. We also thank the anonymous reviewers for their comments.</t>
  </si>
  <si>
    <t>10.1016/j.margeo.2020.106221</t>
  </si>
  <si>
    <t>MP3WA</t>
  </si>
  <si>
    <t>WOS:000552135700009</t>
  </si>
  <si>
    <t>Steinmann, L; Baques, M; Wenau, S; Schwenk, T; Spiess, V; Piola, AR; Bozzano, G; Violante, R; Kasten, S</t>
  </si>
  <si>
    <t>Steinmann, L.; Baques, M.; Wenau, S.; Schwenk, T.; Spiess, V; Piola, A. R.; Bozzano, G.; Violante, R.; Kasten, S.</t>
  </si>
  <si>
    <t>Discovery of a giant cold-water coral mound province along the northern Argentine margin and its link to the regional Contourite Depositional System and oceanographic setting</t>
  </si>
  <si>
    <t>Cold-water coral mounds; Contourite Depositional System; Hydroacoustic dataset; Bottom currents; Antarctic Intermediate Water; Upper Circumpolar Deep Water</t>
  </si>
  <si>
    <t>ANTARCTIC INTERMEDIATE WATER; MIDPLEISTOCENE CLIMATE TRANSITION; ROCKALL TROUGH MARGIN; CARBONATE MOUNDS; PORCUPINE SEABIGHT; SOUTHERN GULF; ANAEROBIC OXIDATION; CONTINENTAL-SLOPE; GEOSTROPHIC CIRCULATION; SEDIMENTARY PROCESSES</t>
  </si>
  <si>
    <t>In the southern oceans, only a few cold-water coral mound sites have so far been reported compared to the extensively surveyed North Atlantic. Here, we document for the first time the widespread occurrence of exposed and buried coral mounds at the northern Argentine margin named Northern Argentine Mound Province (NAMP). The integration of multibeam bathymetry, sediment echosounder, Acoustic Doppler Current Profiler (ADCP), and CTD data allowed the characterisation of its morphosedimentary, stratigraphic, and hydrodynamic setting. The NAMP, covering at least 2000 km(2), represents the largest coral mound province in terms of areal extent reported so far and a major site in the southern oceans. The coral mound distribution is directly linked to morphosedimentary features of the regional Contourite Depositional System (CDS) influenced by the Antarctic Intermediate Water (AAIW), the Upper Circumpolar Deep Water (UCDW), and their interface, forming a complex bottom-current-controlled environment here termed Coral-Contourite System. Coral mounds are most abundant in the lower AAIW between 900 and 1050 m, just above the Ewing Terrace Moat, which has been shaped by high-velocity currents associated with the AAIW-UCDW boundary. This clustering appears to be the result of an increased concentration of suspended sediment and food particles, transported along the AAIW-UCDW density gradient and delivered upward by turbulent hydrodynamic processes, which are enhanced by the irregular moat topography. Within the Ewing Terrace Moat, coral mounds are restricted to topographic obstacles, modifying the otherwise highly erosive, destructive hydrodynamic regime and thereby locally creating favourable conditions for coral growth. The low-velocity currents of the UCDW, currently influencing the Ewing Terrace, promote extensive contourite deposition, which has led to a progressive demise and burial of pre-existing mounds. The presence of these buried mounds suggests past mound aggradation 100 to 150 m deeper likely due to a downward shift of the AAIW during glacials as a consequence of sea-level lowering. Overall, the mound formation in the NAMP seems to be mainly controlled by the availability of suspended particles, in combination with a sufficient bottom-current strength, keeping material in suspension while preventing destructive erosion and excessive sedimentation. Our study highlights (1) the importance of high-energy processes at water-mass boundaries for the delivery of sediment and food particles to corals, (2) the role of the AAIW as a crucial water mass for coral mound development, (3) the variability of mounds in response to glacial-interglacial cycles, and (4) the potential of CDSs in general and the Argentine margin in particular as hotspots for coral mounds and, thus, ideal site for future studies.</t>
  </si>
  <si>
    <t>[Steinmann, L.; Wenau, S.; Schwenk, T.; Spiess, V; Kasten, S.] Univ Bremen, Fac Geosci, Bremen, Germany; [Baques, M.] Argentinian Navy Res Off, Acoust Propagat Dept, Buenos Aires, DF, Argentina; [Baques, M.] Minist Def, UNIDEF Natl Council Sci &amp; Tech Res, Buenos Aires, DF, Argentina; [Baques, M.; Piola, A. R.; Bozzano, G.; Violante, R.] Dept Oceanog, Argentine Hydrog Serv, Buenos Aires, DF, Argentina; [Kasten, S.] Helmholtz Ctr Polar &amp; Marine Res, Alfred Wegener Inst, Bremerhaven, Germany; [Kasten, S.] Univ Bremen, MARUM Ctr Marine Environm Sci, Bremen, Germany</t>
  </si>
  <si>
    <t>University of Bremen; Helmholtz Association; Alfred Wegener Institute, Helmholtz Centre for Polar &amp; Marine Research; University of Bremen</t>
  </si>
  <si>
    <t>Steinmann, L (corresponding author), Univ Bremen, Fac Geosci, Bremen, Germany.</t>
  </si>
  <si>
    <t>lena.steinmann@uni-bremen.de</t>
  </si>
  <si>
    <t>Spiess, Volkhard/E-4376-2010; Schwenk, Tilmann/AGD-5168-2022; Wenau, Stefan/P-4898-2017; Piola, Alberto/O-2280-2013</t>
  </si>
  <si>
    <t>Spiess, Volkhard/0000-0001-5019-5844; Schwenk, Tilmann/0000-0002-9916-0340; Steinmann, Lena/0000-0001-5443-0581; Piola, Alberto/0000-0002-5003-8926; Wenau, Stefan/0000-0002-3520-7437</t>
  </si>
  <si>
    <t>DFG Research Centre/Cluster of Excellence 'The Ocean in the Earth System' (MARUM - Center for Marine Environmental Sciences at the University of Bremen); Helmholtz Association (Alfred Wegener Institute Helmholtz Centre for Polar and Marine Research, Bremerhaven)</t>
  </si>
  <si>
    <t>We thank the nautical and scientific crew, in particular the geophysics team R. Brune, O. Ogunleye, A. Thieblemont, and F. Warnke, for on-board assistance during the RV SONNE Cruise SO260. RV SONNE Expedition SO260 was funded by and carried out in the framework of the DFG Research Centre/Cluster of Excellence 'The Ocean in the Earth System' (MARUM - Center for Marine Environmental Sciences at the University of Bremen). We received additional funding from the Helmholtz Association (Alfred Wegener Institute Helmholtz Centre for Polar and Marine Research, Bremerhaven). We are grateful to K. Zonneveld and K.H. Baumann for the acquisition and handling of the CTD data during the SO260 Cruise. We also thank S. Brix-Elsig, C.M. Chiessi, and D. Hebbeln for constructive discussions and useful comments during the writing process. We acknowledge Schlumberger for providing the VISTA 2D/3D Seismic Data Processing software package and to IHS for providing the KINGDOM seismic interpretation software. We would also like to thank the anonymous reviewers, who have contributed to improve this manuscript with their constructive comments.</t>
  </si>
  <si>
    <t>10.1016/j.margeo.2020.106223</t>
  </si>
  <si>
    <t>WOS:000552135700010</t>
  </si>
  <si>
    <t>Jubinville, I; Williams, TD; Trathan, PN; Crossin, GT</t>
  </si>
  <si>
    <t>Jubinville, Isabelle; Williams, Tony D.; Trathan, Phil N.; Crossin, Glenn T.</t>
  </si>
  <si>
    <t>Trade-off between aerobic performance and egg production in migratory macaroni penguins</t>
  </si>
  <si>
    <t>COMPARATIVE BIOCHEMISTRY AND PHYSIOLOGY A-MOLECULAR &amp; INTEGRATIVE PHYSIOLOGY</t>
  </si>
  <si>
    <t>Migration; Hematocrit; Reticulocyte index; Vitellogenesis</t>
  </si>
  <si>
    <t>HEMATOLOGICAL-CHANGES; SIZE DIMORPHISM; HEMATOCRIT; REDUCTION; DYNAMICS; STRESS; GROWTH; MOLT</t>
  </si>
  <si>
    <t>When successive stages of an organism's life-history overlap, conflicts and trade-offs can emerge due to competition among physiological pathways. For example, long periods of sustained locomotion in migrating birds are supported by the androgenic up-regulation of aerobic factors, such as new red blood cell production and hematocrit. However, towards the end of migration, many female birds begin up-regulating 17 beta-estradiol (E-2) to support vitellogenesis and egg production, but E-2 secretion is known to have suppressive effects on red blood cell production (anti-erythropoiesis). We explored potential trade-offs between factors related to aerobic performance (hematocrit, reticulocyte index) and the expression of factors related to E-2-mediated vitellogenesis (i.e. yolk precursor production) in female macaroni penguins (Eudyptes chrysolophus), a species in which the physiologies controlling egg production and migratory activity run simultaneously (e.g. females experience a migratory conflict). We collected blood samples from penguins immediately upon their return to the colony, prior to egg laying. Hematocrit was elevated when the penguins returned to the colony (50.05% +/- 3.40 SD), which is similar to pre-laying values observed in other migratory bird species. Furthermore, mean reticulocyte levels were elevated (34.87% +/- 2.34), which is the highest level yet recorded in birds. Similarly, both plasma vitellogenin and yolk-targeted very low density lipoprotein levels were upregulated (2.30 +/- 0.06 mu g Zn ml(-1), and 9.70 +/- 0.19 mmol l(-1), respectively), indicating that penguins were reproductively active and producing eggs during migration and upon arrival on land. As predicted, a negative relationship between hematocrit and plasma vitellogenin was found, but we found no evidence to suggest that birds were experiencing reproductive anemia. Alternatively, we attribute the negative relationship to a hemodilution effect of yolk precursor secretion into circulation. It appears that female macaroni penguins are able to preserve hematocrit levels and new red blood cell production when migratory activity overlaps with reproductive processes.</t>
  </si>
  <si>
    <t>[Jubinville, Isabelle; Crossin, Glenn T.] Dalhousie Univ, Dept Biol, Halifax, NS B3H 4R2, Canada; [Williams, Tony D.] Simon Fraser Univ, Biol Sci Dept, Burnaby, BC V5A 1S6, Canada; [Trathan, Phil N.] British Antarctic Survey, Nat Environm Res Council, Cambridge CB3 0ET, England</t>
  </si>
  <si>
    <t>Dalhousie University; Simon Fraser University; UK Research &amp; Innovation (UKRI); Natural Environment Research Council (NERC); NERC British Antarctic Survey</t>
  </si>
  <si>
    <t>Crossin, GT (corresponding author), Dalhousie Univ, Dept Biol, Halifax, NS B3H 4R2, Canada.</t>
  </si>
  <si>
    <t>gtc@dal.ca</t>
  </si>
  <si>
    <t>Jubinville, Isabelle/0000-0002-0976-0810; Crossin, Glenn/0000-0003-1080-1189</t>
  </si>
  <si>
    <t>Natural Sciences and Engineering Research Council of Canada [04044-2014-RGPIN]; NERC [bas0100035] Funding Source: UKRI</t>
  </si>
  <si>
    <t>Natural Sciences and Engineering Research Council of Canada(Natural Sciences and Engineering Research Council of Canada (NSERC)CGIAR); NERC(UK Research &amp; Innovation (UKRI)Natural Environment Research Council (NERC))</t>
  </si>
  <si>
    <t>Thanks to Fabrice Le Bouard for assistance in the field, and to Chris Harvey-Clark for advice on microscopy. Financial support was provided by a Natural Sciences and Engineering Research Council of Canada Discovery Grant to GTC (#04044-2014-RGPIN).</t>
  </si>
  <si>
    <t>1095-6433</t>
  </si>
  <si>
    <t>1531-4332</t>
  </si>
  <si>
    <t>COMP BIOCHEM PHYS A</t>
  </si>
  <si>
    <t>Comp. Biochem. Physiol. A-Mol. Integr. Physiol.</t>
  </si>
  <si>
    <t>10.1016/j.cbpa.2020.110742</t>
  </si>
  <si>
    <t>Biochemistry &amp; Molecular Biology; Physiology; Zoology</t>
  </si>
  <si>
    <t>ML0QU</t>
  </si>
  <si>
    <t>WOS:000549182400010</t>
  </si>
  <si>
    <t>Espejo, W; Padilha, JD; Kidd, KA; Dorneles, P; Malm, O; Chiang, G; Celis, JE</t>
  </si>
  <si>
    <t>Espejo, Winfred; Padilha, Janeide de A.; Kidd, Karen A.; Dorneles, Paulo; Malm, Olaf; Chiang, Gustavo; Celis, Jose E.</t>
  </si>
  <si>
    <t>Concentration and Trophic Transfer of Copper, Selenium, and Zinc in Marine Species of the Chilean Patagonia and the Antarctic Peninsula Area</t>
  </si>
  <si>
    <t>BIOLOGICAL TRACE ELEMENT RESEARCH</t>
  </si>
  <si>
    <t>Bioaccumulation; Biomagnification; Heavy metals; Trace elements; Marine food webs; Patagonia; Antarctica</t>
  </si>
  <si>
    <t>PEARL RIVER ESTUARY; TRACE-ELEMENTS; FOOD-WEB; BRACHYDANIO-RERIO; AQUATIC ORGANISMS; BENTHIC ORGANISMS; STABLE-ISOTOPES; HEAVY-METALS; BIOMAGNIFICATION; CARBON</t>
  </si>
  <si>
    <t>Patagonia and Antarctica are biodiverse regions in the Southern Hemisphere, but little is known about the levels of trace elements in marine organisms from these remote coastal ecosystems. In this study, selenium (Se), copper (Cu), zinc (Zn), and stable isotopes of nitrogen (delta N-15; relative trophic level) were measured in 36 marine species collected from two locations of the Chilean Patagonia and two locations of the Antarctic Peninsula area to determine whether biomagnification of these trace elements occurs in the food webs. Results indicated that Cu, Se, and Zn levels were slightly lower than those in similar species from elsewhere, and the highest metal levels were found in marine macroinvertebrates compared with fishes. There was evidence of Cu, Se, and Zn biomagnification but only within the lower-trophic-level organisms. When assessing whole food webs, levels of these elements typically decreased from macroinvertebrates to fishes or birds, suggesting lower risks of metal toxicity to higher-level consumers.</t>
  </si>
  <si>
    <t>[Espejo, Winfred; Celis, Jose E.] Univ Concepcion, Fac Ciencias Vet, Dept Anim Sci, Av Vicente Mendez 595, Chillan, Chile; [Espejo, Winfred; Chiang, Gustavo] Fdn MERI, Melimoyu Ecosyst Res Inst, Santiago 7650720, Chile; [Padilha, Janeide de A.; Dorneles, Paulo; Malm, Olaf] Univ Fed Rio de Janeiro, Radioisotopes Lab, Biophys Inst, Rio De Janeiro, Brazil; [Kidd, Karen A.] McMaster Univ, Dept Biol, 1280 Main St W, Hamilton, ON L8S 4K1, Canada; [Kidd, Karen A.] McMaster Univ, Sch Geog &amp; Earth Sci, 1280 Main St W, Hamilton, ON L8S 4K1, Canada</t>
  </si>
  <si>
    <t>Universidad de Concepcion; Universidade Federal do Rio de Janeiro; McMaster University; McMaster University</t>
  </si>
  <si>
    <t>Celis, JE (corresponding author), Univ Concepcion, Fac Ciencias Vet, Dept Anim Sci, Av Vicente Mendez 595, Chillan, Chile.</t>
  </si>
  <si>
    <t>jcelis@udec.cl</t>
  </si>
  <si>
    <t>Espejo, Winfred/AAO-7150-2020; CELIS, JOSE/AAP-6048-2021; Kidd, Karen/ABG-3237-2020; de Assis Padilha, Janeide/S-1115-2016; Chiang, Gustavo/ABA-9349-2020</t>
  </si>
  <si>
    <t>Kidd, Karen/0000-0002-5619-1358; de Assis Padilha, Janeide/0000-0002-1901-5822; CELIS, JOSE E./0000-0002-2458-1239; Espejo, Winfred/0000-0002-3753-2006; Malm, Olaf/0000-0002-4116-7160; Chiang, Gustavo/0000-0003-4504-355X</t>
  </si>
  <si>
    <t>Fondo Nacional de Ciencia y Tecnología (FONDECYT) [1161504] Funding Source: Medline; Vicerrectoría de Investigación y Desarrollo of the Universidad de Concepción [219.153.026-P] Funding Source: Medline; Instituto Antártico Chileno (INACH) [RG01-18] Funding Source: Medline</t>
  </si>
  <si>
    <t>Fondo Nacional de Ciencia y Tecnología (FONDECYT)(Comision Nacional de Investigacion Cientifica y Tecnologica (CONICYT)CONICYT FONDECYT); Vicerrectoría de Investigación y Desarrollo of the Universidad de Concepción; Instituto Antártico Chileno (INACH)</t>
  </si>
  <si>
    <t>HUMANA PRESS INC</t>
  </si>
  <si>
    <t>TOTOWA</t>
  </si>
  <si>
    <t>999 RIVERVIEW DRIVE SUITE 208, TOTOWA, NJ 07512 USA</t>
  </si>
  <si>
    <t>0163-4984</t>
  </si>
  <si>
    <t>1559-0720</t>
  </si>
  <si>
    <t>BIOL TRACE ELEM RES</t>
  </si>
  <si>
    <t>Biol. Trace Elem. Res.</t>
  </si>
  <si>
    <t>10.1007/s12011-019-01992-0</t>
  </si>
  <si>
    <t>Biochemistry &amp; Molecular Biology; Endocrinology &amp; Metabolism</t>
  </si>
  <si>
    <t>MI4PA</t>
  </si>
  <si>
    <t>WOS:000547390800030</t>
  </si>
  <si>
    <t>Ibrahim, S; Zulkharnain, A; Zahri, KNM; Lee, GLY; Convey, P; Gomez-Fuentes, C; Sabri, S; Khalil, KAK; Alias, SA; Gonzalez-Rocha, G; Ahmad, SA</t>
  </si>
  <si>
    <t>Ibrahim, S.; Zulkharnain, A.; Zahri, K. N. M.; Lee, G. L. Y.; Convey, P.; Gomez-Fuentes, C.; Sabri, S.; Khalil, K. A. K.; Alias, S. A.; Gonzalez-Rocha, G.; Ahmad, S. A.</t>
  </si>
  <si>
    <t>Effect of heavy metals and other xenobiotics on biodegradation of waste canola oil by cold-adapted Rhodococcus sp. strain AQ5-07</t>
  </si>
  <si>
    <t>REVISTA MEXICANA DE INGENIERIA QUIMICA</t>
  </si>
  <si>
    <t>Arctica; biodegradation; canola oil; heavy metals; Rhodococcus; xenobiotics</t>
  </si>
  <si>
    <t>ACINETOBACTER SP; WATER; DEGRADATION; PHENOL; BIOREMEDIATION; RESISTANCE; ACRYLAMIDE; BACTERIUM; POLLUTION; SOIL</t>
  </si>
  <si>
    <t>The Antarctic is generally considered to be one of the most pristine areas in the world. However, both long and short-range pollutants are now known to be present in the Antarctic environment. Canola oil is an example of a polluting hydrocarbon that can be accidentally released into the Antarctic environment in oil wastewater treatment plants. The Antarctic soil bacterial strain Rhodococcus sp. AQ5-07, known to be capable of using waste canola oil (WCO) as its sole source of carbon, was tested for its ability to degrade canola oil in the presence of different heavy metals and xenobiotics. Rhodococcus sp. AQ5-07 was grown on minimum salt media containing different heavy metals (Zn, Co, Ni, Ag, Pb, Cu, Cr, Hg, Cd and As), xenobiotics (acrylamide and phenol) supplemented with 3% WCO. Three out of the 10 heavy metals tested (Hg, Cd and Ag) led a significant reduction in canola oil degradation at a concentration of 1 ppm. The IC50 values of Hg, Cd and Ag were 0.38, 0.45 and 0.32 ppm, respectively. The strain could also withstand 10 mg/L acrylamide, 50 mg/L phenol and 0.5% (v/v) diesel. This study confirmed the ability of Rhodococcus sp. AQ5-07 to degrade canola oil in the presence of various heavy metals and other xenobiotics, supporting its potential use in bioremediation of vegetable oil and wastewater treatments in low temperature environments.</t>
  </si>
  <si>
    <t>[Ibrahim, S.; Zahri, K. N. M.; Lee, G. L. Y.; Ahmad, S. A.] Univ Putra Malaysia, Dept Biochem, Fac Biotechnol &amp; Biomol Sci, Upm Serdang 43400, Selangor, Malaysia; [Ibrahim, S.] Bayero Univ, Ctr Biotechnol Res, PMB 3011, Kano, Nigeria; [Zulkharnain, A.] Shibaura Inst Technol, Coll Syst Engn &amp; Sci, Dept Biosci &amp; Engn, Minuma Ku, 307 Fukasaku, Saitama 3378570, Japan; [Convey, P.] British Antarctic Survey, NERC, Madingley Rd, Cambridge CB3 0ET, England; [Gomez-Fuentes, C.] Univ Magallanes, Dept Chem Engn, Avda Bulnes 01855, Punta Arenas, Region De Magal, Chile; [Sabri, S.] Univ Putra Malaysia, Fac Biotechnol &amp; Biomol Sci, Dept Microbiol, Upm Serdang 43400, Selangor, Malaysia; [Khalil, K. A. K.] Univ Teknol MARA, Fac Appl Sci, Dept Biomol Sci, Shah Alam 40450, Selangor, Malaysia; [Alias, S. A.; Ahmad, S. A.] Univ Malaya, Natl Antarctic Res Ctr, B303 Level 3,Block B,IPS Bldg, Kuala Lumpur 50603, Malaysia; [Gonzalez-Rocha, G.] Univ Concepcion, Fac Ciencias Biol, Lab Invest Agentes Antibacterianos, Concepcion, Chile</t>
  </si>
  <si>
    <t>Universiti Putra Malaysia; Bayero University; Shibaura Institute of Technology; UK Research &amp; Innovation (UKRI); Natural Environment Research Council (NERC); NERC British Antarctic Survey; Universidad de Magallanes; Universiti Putra Malaysia; Universiti Teknologi MARA; Universiti Malaya; Universidad de Concepcion</t>
  </si>
  <si>
    <t>Ahmad, SA (corresponding author), Univ Putra Malaysia, Dept Biochem, Fac Biotechnol &amp; Biomol Sci, Upm Serdang 43400, Selangor, Malaysia.;Ahmad, SA (corresponding author), Univ Malaya, Natl Antarctic Res Ctr, B303 Level 3,Block B,IPS Bldg, Kuala Lumpur 50603, Malaysia.</t>
  </si>
  <si>
    <t>Ibrahim, Salihu/AAW-8045-2020; Gonzalez, Gerardo/KHE-5265-2024; Zahri, Khadijah Nabilah Mohd/AEQ-4594-2022; Gonzalez-Rocha, Gerardo E/M-3610-2014; Convey, Peter/AAV-5728-2020; Sabri, Suriana/AAT-5269-2021; FASc, SITI AISYAH A. HJ ALIAS/B-9785-2010; Zulkharnain, Azham/AAV-1241-2020</t>
  </si>
  <si>
    <t>Convey, Peter/0000-0001-8497-9903; Sabri, Suriana/0000-0003-4027-5730; FASc, SITI AISYAH A. HJ ALIAS/0000-0002-6759-5745; Zulkharnain, Azham/0000-0001-9173-8171; Ibrahim, Salihu/0000-0002-5012-9430; Zahri, Khadijah/0009-0000-2963-3109; Ahmad, Siti Aqlima/0000-0002-7625-3704</t>
  </si>
  <si>
    <t>Matching Grant PUTRA [UPM 9300436]; Tertiary Education Trust Fund (Tetfund); Bayero University, Kano; PUTRA Berimpak [9660000, 9678900]; NERC</t>
  </si>
  <si>
    <t>Matching Grant PUTRA; Tertiary Education Trust Fund (Tetfund); Bayero University, Kano; PUTRA Berimpak; NERC(UK Research &amp; Innovation (UKRI)Natural Environment Research Council (NERC))</t>
  </si>
  <si>
    <t>This work was supported by Matching Grant PUTRA (UPM 9300436), PUTRA Berimpak (9660000 and 9678900). We acknowledge Tertiary Education Trust Fund (Tetfund) and Bayero University, Kano for sponsorship and Universiti Putra Malaysia for providing an enabling environment to conduct the research. P. Convey is supported by NERC core funding to the British Antarctic Survey 'Biodiversity. Evolution and Adaptation' Team. The authors also would like to thank Centro de Investigacion y Monitoreo Ambiental Antarctico (CIMAA), Chilean Army and the Antarctic General Bernardo O'Higgins Station sta ff especially the Comandante de la Base O'Higgins; Teniente Coronel Jose Ignacio Alvarado Camps, Chef; Suboficial Juan David Sandoval Navarrete and Sargento Juan Eduardo Cortinez Padovani, Nancy Calisto-Ulloa, Yayasan Penyelidikan Antartika Sultan Mizan (YPASM), National Antarctic Research Centre (NARC) and Instituto Antartico Chileno (INACH).</t>
  </si>
  <si>
    <t>UNIV AUTONOMA METROPOLITANA-IZTAPALAPA</t>
  </si>
  <si>
    <t>MEXICO</t>
  </si>
  <si>
    <t>C/O DR JAIME VERNON-CARTER, SAN RAFAEL ATLIXCO NO 186, COL VICENTINA, DELEGACION IZTAPALAPA, MEXICO, 09340, MEXICO</t>
  </si>
  <si>
    <t>1665-2738</t>
  </si>
  <si>
    <t>REV MEX ING QUIM</t>
  </si>
  <si>
    <t>Rev. Mex. Ing. Quim.</t>
  </si>
  <si>
    <t>SEP-DEC</t>
  </si>
  <si>
    <t>10.24275/rmiq/Bio917</t>
  </si>
  <si>
    <t>Chemistry, Applied; Engineering, Chemical</t>
  </si>
  <si>
    <t>Chemistry; Engineering</t>
  </si>
  <si>
    <t>MI4HO</t>
  </si>
  <si>
    <t>WOS:000547371200003</t>
  </si>
  <si>
    <t>Zakaria, NN; Roslee, AFA; Gomez-Fuentes, C; Zulkharnain, A; Abdulrasheed, M; Sabri, S; Ramírez-Moreno, N; Calisto-Ulloa, N; Ahmad, SA</t>
  </si>
  <si>
    <t>Zakaria, N. N.; Roslee, A. F. A.; Gomez-Fuentes, C.; Zulkharnain, A.; Abdulrasheed, M.; Sabri, S.; Ramirez-Moreno, N.; Calisto-Ulloa, N.; Ahmad, S. A.</t>
  </si>
  <si>
    <t>Kinetic studies of marine psychrotolerant microorganisms capable of degrading diesel in the presence of heavy metals</t>
  </si>
  <si>
    <t>Antarctica; bacteria; diesel; heavy metal; marine</t>
  </si>
  <si>
    <t>BACTERIA HIGHLY RESISTANT; GROWTH; BIODEGRADATION; CHROMIUM; IMPACTS; LAG; MINERALIZATION; DETOXIFICATION; CONTAMINATION; HYDROCARBONS</t>
  </si>
  <si>
    <t>The presence of heavy metals in Antarctica is an emerging issue as human influence becomes more discernible over the years. The study of pollution in Antarctica can help people to understand the real influence of human activities on the environmental pollution from polar regions. Bioremediation of petroleum hydrocarbons in the polar environment where toxic metals co-existed involves selecting strictly autochthonous Antarctic strains with dual catabolic competence and tolerance to toxic metals. In this study, diesel degradation was observed in the presence of 1 ppm of eight selected heavy metals; Ag, Al, Cd, Co, Cr, Hg, Ni and Zn. Bacterial growth was inhibited in increasing order of Zn&gt; Cr&gt; Cd&gt; Al&gt; Ni&gt; Hg&gt; Co&gt; Ag. Bacterial growth was the highest in Zn at OD600 0.556 (P&gt;0.05) and lowest in Ag at OD600 0.151 (P&lt;0.05). Diesel degradation was inhibited in the order of Co&gt; Ni&gt; Cd&gt; Ag&gt; Zn&gt; Al&gt; Cr&gt; Hg, which was analysed using gravimetry analysis. Degradation was the highest in Hg at 52.23% (P&gt;0.05) and lowest in Co at 22.76% (P&lt;0.05). This work serves as a pilot study in gathering data to analyse and gather more data for inhibition concentration of heavy metals for the Antarctic marine bacteria.</t>
  </si>
  <si>
    <t>[Zakaria, N. N.; Roslee, A. F. A.; Abdulrasheed, M.; Ahmad, S. A.] Univ Putra Malaysia, Fac Biotechnol &amp; Biomol Sci, Dept Biochem, Upm Serdang 43400, Selangor, Malaysia; [Gomez-Fuentes, C.; Calisto-Ulloa, N.] Univ Magallanes, Dept Chem Engn, Avda Bulnes 01855, Punta Arenas, Region De Magal, Chile; [Zulkharnain, A.] Shibaura Inst Technol, Coll Syst Engn &amp; Sci, Dept Biosci &amp; Engn, Minuma Ku, 307 Fukasaku, Saitama 3378570, Japan; [Abdulrasheed, M.] Gombe State Univ, Fac Sci, Dept Microbiol, PMB 127, Tudun Wada, Gombe, Nigeria; [Sabri, S.] Univ Putra Malaysia, Fac Biotechnol &amp; Biomol Sci, Dept Microbiol, Upm Serdang 43400, Selangor, Malaysia; [Ramirez-Moreno, N.] Pontificia Univ Catolica Valparaiso, Sch Biochem Engn, Brasil 2085, Valparaiso, Chile; [Zakaria, N. N.] Univ Malaya, Natl Antarctic Res Ctr, B303 Level 3,Block B,IPS Bldg, Kuala Lumpur 50603, Malaysia</t>
  </si>
  <si>
    <t>Universiti Putra Malaysia; Universidad de Magallanes; Shibaura Institute of Technology; Universiti Putra Malaysia; Pontificia Universidad Catolica de Valparaiso; Universiti Malaya</t>
  </si>
  <si>
    <t>Ahmad, SA (corresponding author), Univ Putra Malaysia, Fac Biotechnol &amp; Biomol Sci, Dept Biochem, Upm Serdang 43400, Selangor, Malaysia.</t>
  </si>
  <si>
    <t>Sabri, Suriana/AAT-5269-2021; Zulkharnain, Azham/AAV-1241-2020</t>
  </si>
  <si>
    <t>Sabri, Suriana/0000-0003-4027-5730; Zulkharnain, Azham/0000-0001-9173-8171; Calisto Ulloa, Nancy Cristina/0000-0002-5517-1750; Ahmad, Siti Aqlima/0000-0002-7625-3704</t>
  </si>
  <si>
    <t>Universiti Putra Malaysia PUTRA [9678900]; YPASM Smart Partnership Initiative 2019; Centro de Investigacion y Monitoreo Ambiental Antarctico (CIMAA); Public Service Department of Malaysia (JPA)</t>
  </si>
  <si>
    <t>Universiti Putra Malaysia PUTRA; YPASM Smart Partnership Initiative 2019; Centro de Investigacion y Monitoreo Ambiental Antarctico (CIMAA); Public Service Department of Malaysia (JPA)</t>
  </si>
  <si>
    <t>This work was supported by Universiti Putra Malaysia PUTRA (Berimpak (9678900), YPASM Smart Partnership Initiative 2019 and Centro de Investigacion y Monitoreo Ambiental Antarctico (CIMAA). The authors also would like to thank Chilean Army and the Antarctic General Bernardo O'Higgins Station 2019 staff especially Capitan Elias Figueroa Rios, Sargento primero Sergio Gonzalez Alarcon, Sargento primero Jose Ramirez Marquez and Sargento segundo Mauricio cabezas Vallejos, National Antarctic Research Centre (NARC) and Instituto Antartico Chileno (INACH). We also thank the Public Service Department of Malaysia (JPA) for granting a master programme scholarship to Ahmad Fareez Ahmad Roslee.</t>
  </si>
  <si>
    <t>10.24275/rmiq/Bio1072</t>
  </si>
  <si>
    <t>WOS:000547371200029</t>
  </si>
  <si>
    <t>Batista, TM; Hilario, HO; de Brito, GAM; Moreira, RG; Furtado, C; de Menezes, GCA; Rosa, CA; Rosa, LH; Franco, GR</t>
  </si>
  <si>
    <t>Batista, Thiago Mafra; Hilario, Heron Oliveira; Mendes de Brito, Gabriel Antonio; Moreira, Rennan Garcias; Furtado, Carolina; Alves de Menezes, Graciele Cunha; Rosa, Carlos Augusto; Rosa, Luiz Henrique; Franco, Gloria Regina</t>
  </si>
  <si>
    <t>Whole-genome sequencing of the endemic Antarctic fungus Antarctomyces pellizariae reveals an ice-binding protein, a scarce set of secondary metabolites gene clusters and provides insights on Thelebolales phylogeny</t>
  </si>
  <si>
    <t>GENOMICS</t>
  </si>
  <si>
    <t>Ice-binding protein; Extremophile; Psychrophilic; Thelebolales</t>
  </si>
  <si>
    <t>ANTIFREEZE PROTEIN; HETEROLOGOUS EXPRESSION; COLD TOLERANCE; DIVERSITY; ANNOTATION; TOOL; ALIGNMENT; BACTERIA; CONFERS</t>
  </si>
  <si>
    <t>The snow-covered surfaces of Antarctica comprise an extreme environment that favors the development of life forms with adaptations to adverse low-temperature habitats. The ability to survive and such temperatures might involve the production of antifreeze proteins and ice-binding proteins that attenuate the effects of intense cold temperatures. He, we sequenced and reconstructed the nuclear and mitochondrial genomes of the endemic Antarctic fungus Antarctomyces pellizariae UFMGCB 12416. We then have identified a putative ice-binding protein-coding gene, mapped the presence of secondary metabolite gene clusters, and reconstructed the phylogenetic relationships of a A. pellizariae with others Leotiomycetes from the alignment of hundreds of orthologous single-copy proteins. Our results will deepen the understanding of microbial ice-binding proteins and the genomic aspects of psychrophilic fungi. Dataset: The GenBank/EMBL/DDBJ accession number for the gene sequence of ice-binding protein from A. pellizariae determined in this study is MN867686. The Whole Genome Shotgun project of strain A. pellizariae UFMGCB 12416 has been deposited at DDBJ/ENA/GenBank under accession WCAA00000000. The version described in this paper is version WCAA01000000. The mitochondrial genome has been deposited under accession MT197497.</t>
  </si>
  <si>
    <t>[Batista, Thiago Mafra] Univ Fed Sul Bahia, Ctr Formacao Ciencias Ambientais, BR-45810000 Porto Seguro, Brazil; [Batista, Thiago Mafra; Hilario, Heron Oliveira; Mendes de Brito, Gabriel Antonio; Franco, Gloria Regina] Univ Fed Minas Gerais, Dept Bioquim &amp; Imunol, ICB, BR-31270901 Belo Horizonte, MG, Brazil; [Alves de Menezes, Graciele Cunha; Rosa, Carlos Augusto; Rosa, Luiz Henrique] Univ Fed Minas Gerais, Dept Microbiol, ICB, BR-31270901 Belo Horizonte, MG, Brazil; [Moreira, Rennan Garcias] Univ Fed Minas Gerais, Lab Multiusuario Genom, ICB, BR-31270901 Belo Horizonte, MG, Brazil; [Furtado, Carolina] Inst Nacl Canc INCA, Rio De Janeiro, Brazil</t>
  </si>
  <si>
    <t>Universidade Federal do Sul da Bahia; Universidade Federal de Minas Gerais; Universidade Federal de Minas Gerais; Universidade Federal de Minas Gerais; National Cancer Institute (Inca)</t>
  </si>
  <si>
    <t>Batista, TM (corresponding author), Univ Fed Sul Bahia, Ctr Formacao Ciencias Ambientais, BR-45810000 Porto Seguro, Brazil.</t>
  </si>
  <si>
    <t>thiagomafra@ufsb.edu.br</t>
  </si>
  <si>
    <t>Batista, Thiago Mafra/ABH-5086-2020; Franco, Glória/I-3654-2013</t>
  </si>
  <si>
    <t>Batista, Thiago Mafra/0000-0002-0755-1206; Franco, Glória/0000-0001-5245-2365; Hilario, Heron/0000-0002-2548-1053</t>
  </si>
  <si>
    <t>CNPq PROANTAR [442258/2018-6]; INCT Criosfera II; CAPES [88,887.136384/2017-00, 88,887.314457/2019-00]; FAPEMIG; FNDCT</t>
  </si>
  <si>
    <t>CNPq PROANTAR(Conselho Nacional de Desenvolvimento Cientifico e Tecnologico (CNPQ)); INCT Criosfera II; CAPES(Coordenacao de Aperfeicoamento de Pessoal de Nivel Superior (CAPES)); FAPEMIG(Fundacao de Amparo a Pesquisa do Estado de Minas Gerais (FAPEMIG)); FNDCT</t>
  </si>
  <si>
    <t>We acknowledge the financial support from CNPq PROANTAR 442258/2018-6, INCT Criosfera II, CAPES (88,887.136384/2017-00 and 88,887.314457/2019-00), FAPEMIG, and FNDCT.</t>
  </si>
  <si>
    <t>0888-7543</t>
  </si>
  <si>
    <t>1089-8646</t>
  </si>
  <si>
    <t>Genomics</t>
  </si>
  <si>
    <t>10.1016/j.ygeno.2020.05.004</t>
  </si>
  <si>
    <t>MJ4HA</t>
  </si>
  <si>
    <t>WOS:000548049100001</t>
  </si>
  <si>
    <t>Seco, J; Xavier, JC; Bustamante, P; Coelho, JP; Saunders, RA; Ferreira, N; Fielding, S; Pardal, MA; Stowasser, G; Viana, T; Tarling, GA; Pereira, E; Brierley, AS</t>
  </si>
  <si>
    <t>Seco, Jose; Xavier, Jose C.; Bustamante, Paco; Coelho, Joao P.; Saunders, Ryan A.; Ferreira, Nicole; Fielding, Sophie; Pardal, Miguel A.; Stowasser, Gabriele; Viana, Thainara; Tarling, Geraint A.; Pereira, Eduarda; Brierley, Andrew S.</t>
  </si>
  <si>
    <t>Main drivers of mercury levels in Southern Ocean lantern fish Myctophidae</t>
  </si>
  <si>
    <t>Trace element; Metal; Bioaccumulation; Mesopelagic fish; Antarctic</t>
  </si>
  <si>
    <t>SQUID MOROTEUTHIS-INGENS; SCOTIA SEA; ORGANIC MERCURY; ENHANCED BIOACCUMULATION; MATERNAL TRANSFER; TROPHIC POSITION; NORTH-ATLANTIC; METHYLMERCURY; DIET; FOOD</t>
  </si>
  <si>
    <t>Myctophids are the most abundant fish group in the Southern Ocean pelagic ecosystem and are an important link in the Antarctic marine food web. Due to their major ecological role, evaluating the level of mercury (Hg) contamination in myctophids is important as a step towards understanding the trophic pathway of this contaminant. The concentrations of total Hg were determined in muscle, gill, heart and liver tissue of 9 myctophid species to quantify tissue partitioning variability between species. Organic Hg concentration and proportion in muscle was also determined. Hg concentrations were higher in the liver and heart than in muscle and gills, but the proportion of organic Hg was almost 100% in muscle, indicating that the main uptake route for Hg is through the diet. Most of the species analysed have similar vertical and horizontal distributions, and similar feeding modes and prey. Geographical and temporal variability of Hg concentrations was examined using samples from 3 different sampling cruise (2007/08, 2015/16 and 2016/17) and 2 locations (South Georgia and South Orkneys Islands). Our results appear to indicate a decreasing trend in Hg contamination over the last decade, particularly gill tissue, which is in agreement with a previous study on squid from the same region. There was no significant variability in Hg concentration between the different sampling locations. Hg levels were consistent with values reported previously for myctophids around the world, indicating low global-scale geographic variability. A positive relationship between fish size and Hg concentration was found for most species, with the exception of Electrona antarctica females, which may be explained through Hg elimination by egg laying. We estimate that myctophids collectively comprise a Southern Ocean mercury 'reserve' of approximate to 1.82 metric tonnes. (C) 2020 Elsevier Ltd. All rights reserved.</t>
  </si>
  <si>
    <t>[Seco, Jose; Ferreira, Nicole; Viana, Thainara; Pereira, Eduarda] Univ Aveiro, Dept Chem, P-3810193 Aveiro, Portugal; [Seco, Jose; Ferreira, Nicole; Viana, Thainara; Pereira, Eduarda] Univ Aveiro, CESAM REQUIMTE, P-3810193 Aveiro, Portugal; [Seco, Jose; Brierley, Andrew S.] Univ St Andrews, Scottish Oceans Inst, Gatty Marine Lab, Pelag Ecol Res Grp, St Andrews KY16 8LB, Fife, Scotland; [Xavier, Jose C.; Saunders, Ryan A.; Fielding, Sophie; Stowasser, Gabriele; Tarling, Geraint A.] NERC, British Antarctic Survey, Madingley Rd, Cambridge CB3 0ET, England; [Xavier, Jose C.] Univ Coimbra, MARE Marine &amp; Environm Sci Ctr, Dept Life Sci, P-3000456 Coimbra, Portugal; [Bustamante, Paco] Inst Univ France IUF, 1 Rue Descartes, F-75005 Paris, France; [Coelho, Joao P.] Univ Aveiro, Dept Biol, P-3810193 Aveiro, Portugal; [Coelho, Joao P.] Univ Aveiro, CESAM, P-3810193 Aveiro, Portugal; [Pardal, Miguel A.] Univ Coimbra, CFE Ctr Funct Ecol, Dept Life Sci, P-3000456 Coimbra, Portugal</t>
  </si>
  <si>
    <t>Universidade de Aveiro; Universidade de Aveiro; University of St Andrews; UK Research &amp; Innovation (UKRI); Natural Environment Research Council (NERC); NERC British Antarctic Survey; Universidade de Coimbra; Institut Universitaire de France; Universidade de Aveiro; Universidade de Aveiro; Universidade de Coimbra</t>
  </si>
  <si>
    <t>Seco, J (corresponding author), Univ Aveiro, Dept Chem, P-3810193 Aveiro, Portugal.;Seco, J (corresponding author), Univ Aveiro, CESAM REQUIMTE, P-3810193 Aveiro, Portugal.</t>
  </si>
  <si>
    <t>jseco@ua.pt</t>
  </si>
  <si>
    <t>Viana, Thainara/ABF-8730-2021; Seco, José/AAS-4612-2020; Coelho, João Pedro/C-1699-2008; Fielding, Sophie/E-5137-2012; Xavier, José/KFB-6739-2024; Pereira, Eduarda C/A-5907-2012; Ferreira, Nicole/HNC-2839-2023; Bustamante, Paco/G-5833-2011; Brierley, Andrew/G-8019-2011; Pardal, Miguel Angelo/C-3984-2009</t>
  </si>
  <si>
    <t>Seco, José/0000-0002-7957-6488; Coelho, João Pedro/0000-0003-1975-8308; Bustamante, Paco/0000-0003-3877-9390; Pereira, Eduarda/0000-0002-6046-5243; Brierley, Andrew/0000-0002-6438-6892; Viana, Thainara/0000-0001-5246-4809; Pardal, Miguel Angelo/0000-0001-6048-7007; Ferreira, Nicole/0000-0001-8150-5227; /0000-0002-9621-6660</t>
  </si>
  <si>
    <t>Portuguese Foundation for the Science and Technology (FCT) [SRFH/PD/BD/113487]; CESAM [UID/AMB/50017/2019]; Integrated Program of SR&amp;TD 'Smart Valorization of Endogenous Marine Biological Resources Under a Changing Climate' [Centro-01-0145FEDER-000018]; Centro 2020 program; European Regional Development Fund; Institut Universitaire de France (IUF); MARE [MARE - UID/MAR/04292/2019]; Portugal 2020; Ecosystems Programme at the British Antarctic Survey; NERC [bas0100035] Funding Source: UKRI</t>
  </si>
  <si>
    <t>Portuguese Foundation for the Science and Technology (FCT)(Fundacao para a Ciencia e a Tecnologia (FCT)); CESAM; Integrated Program of SR&amp;TD 'Smart Valorization of Endogenous Marine Biological Resources Under a Changing Climate'; Centro 2020 program; European Regional Development Fund(European Union (EU)); Institut Universitaire de France (IUF); MARE; Portugal 2020; Ecosystems Programme at the British Antarctic Survey; NERC(UK Research &amp; Innovation (UKRI)Natural Environment Research Council (NERC))</t>
  </si>
  <si>
    <t>Thanks go to the Masters, officers and crew of RSS James Clark Ross for the help provided during all the sampled years. We also thank Giulia Pompeo for her help with the mercury analysis. We acknowledge the Portuguese Foundation for the Science and Technology (FCT) for the PhD grant to JS (SRFH/PD/BD/113487). JPC is funded by CESAM (UID/AMB/50017/2019) and the Integrated Program of SR&amp;TD `Smart Valorization of Endogenous Marine Biological Resources Under a Changing Climate' (Centro-01-0145FEDER-000018), co-funded by Centro 2020 program, Portugal 2020 and the European Regional Development Fund. The Institut Universitaire de France (IUF) is acknowledged for its support to PB as a Senior Member. We also thank MARE (MARE - UID/MAR/04292/2019) for the support to JX. Ecosystems Programme at the British Antarctic Survey supported GAT, GS, RAS and SF.</t>
  </si>
  <si>
    <t>10.1016/j.envpol.2020.114711</t>
  </si>
  <si>
    <t>LY1DT</t>
  </si>
  <si>
    <t>Green Published, Green Submitted, Green Accepted</t>
  </si>
  <si>
    <t>WOS:000540263400059</t>
  </si>
  <si>
    <t>Champion, C; Hobday, AJ; Pecl, GT; Tracey, SR</t>
  </si>
  <si>
    <t>Champion, Curtis; Hobday, Alistair J.; Pecl, Gretta T.; Tracey, Sean R.</t>
  </si>
  <si>
    <t>Maximising the utility of bioelectrical impedance analysis for measuring fish condition requires identifying and controlling for sources of error</t>
  </si>
  <si>
    <t>Bioelectrical impedance analysis; Citizen science; Fish condition; Fisheries; Physiological status; Sampling design</t>
  </si>
  <si>
    <t>SOUTHERN BLUEFIN TUNA; PROXIMATE COMPOSITION; THUNNUS-MACCOYII; BODY CONDITION; TEMPERATURE; RESISTANCE; ONTOGENY; GROWTH</t>
  </si>
  <si>
    <t>Body condition indices are commonly used to represent the physiological status of fishes. Bioelectrical impedance analysis (BIA) has emerged as a rapid, nonlethal and cost-effective method for measuring fish condition and predicting proximate composition components, such as per cent fat. Measuring the condition of fish obtained from varied sources requires consideration of potential sources of error to ensure robust and comparable data are obtained. This is important when opportunistically applying BIA to assess fish condition for species that are logistically difficult to sample (e.g., large-bodied marine fishes), when different sampling methods are used, or where fish handling effects may confound condition comparisons. We experimentally tested the effects of five factors related to fish handling on an instantaneous body condition index (phase angle) measured using BIA. Using the coastal-pelagic yellowtail kingfish (Seriola lalandi) as a model species, we identified significant effects for four out of five factors tested: time since death, temperature of the tissue, removal of the gills and gastrointestinal tract, and the anatomic location for measurements. We propose protocol considerations when using BIA to opportunistically measure condition in fish obtained from varied sources. These sampling protocols for the robust application of BIA can maximise the utility of this approach for opportunistically measuring body condition in fish.</t>
  </si>
  <si>
    <t>[Champion, Curtis; Pecl, Gretta T.; Tracey, Sean R.] Univ Tasmania, Inst Marine &amp; Antarctic Studies, Hobart, Tas 7001, Australia; [Champion, Curtis; Hobday, Alistair J.] CSIRO Oceans &amp; Atmosphere, Hobart, Tas 7000, Australia; [Hobday, Alistair J.; Pecl, Gretta T.; Tracey, Sean R.] Univ Tasmania, Ctr Marine Socioecol, Hobart, Tas 7001, Australia</t>
  </si>
  <si>
    <t>Champion, C (corresponding author), Univ Tasmania, Inst Marine &amp; Antarctic Studies, Hobart, Tas 7001, Australia.</t>
  </si>
  <si>
    <t>curtis.champion@utas.edu.au</t>
  </si>
  <si>
    <t>Pecl, Gretta/D-7267-2011; Hobday, Alistair/A-1460-2012; Tracey, Sean/J-7446-2014</t>
  </si>
  <si>
    <t>Pecl, Gretta/0000-0003-0192-4339; Champion, Curtis/0000-0002-8666-5112; Tracey, Sean/0000-0002-6735-5899</t>
  </si>
  <si>
    <t>Australian Society for Fish Biology's Michael Hall Student Innovation Award; Holsworth Wildlife Research Endowment - Equity Trustees Charitable Foundation; CSIRO - University of Tasmania Joint Quantitative Marine Science Program; ARC [FT140100596]; Australian Research Council [FT140100596] Funding Source: Australian Research Council</t>
  </si>
  <si>
    <t>Australian Society for Fish Biology's Michael Hall Student Innovation Award; Holsworth Wildlife Research Endowment - Equity Trustees Charitable Foundation; CSIRO - University of Tasmania Joint Quantitative Marine Science Program; ARC(Australian Research Council); Australian Research Council(Australian Research Council)</t>
  </si>
  <si>
    <t>We thank Derrick Cruz and Bobby May for assisting in the capture of kingfish. C.C. was supported by the Australian Society for Fish Biology's Michael Hall Student Innovation Award, The Holsworth Wildlife Research Endowment - Equity Trustees Charitable Foundation, and a postgraduate scholarship from the CSIRO - University of Tasmania Joint Quantitative Marine Science Program. G.P. was supported by an ARC Future Fellowship (FT140100596).</t>
  </si>
  <si>
    <t>10.1016/j.fishres.2020.105575</t>
  </si>
  <si>
    <t>LW4FF</t>
  </si>
  <si>
    <t>WOS:000539099200003</t>
  </si>
  <si>
    <t>Bertinetti, S; Ardini, F; Vecchio, MA; Caiazzo, L; Grotti, M</t>
  </si>
  <si>
    <t>Bertinetti, Stefano; Ardini, Francisco; Vecchio, Maria Alessia; Caiazzo, Laura; Grotti, Marco</t>
  </si>
  <si>
    <t>Isotopic analysis of snow from Dome C indicates changes in the source of atmospheric lead over the last fifty years in East Antarctica</t>
  </si>
  <si>
    <t>Lead; Isotopic ratios; Snow; Antarctica; Pollution</t>
  </si>
  <si>
    <t>SOURCE SIGNATURES; URBAN AREA; PB; ICE; IDENTIFICATION; EMISSIONS; POLLUTION; VICTORIA; RATIOS; RECORD</t>
  </si>
  <si>
    <t>Lead (Pb) concentration and Pb isotope ratios have been determined in 109 snow pit samples collected at Dome C, on the East Antarctic Plateau, corresponding to the period 1971-2017. The Pb concentration was 8.2 +/- 1.0 pg g(-1) (mean 95%-confidence interval), with a decreasing trend from the early 1990s (the median Pb concentration halved from 9.0 pg g(-1) in 1970-1980 to 4.4 pg g(-1) in 2010-2017). The (206)pb/(207)pb and Pb-208/Pb-207 ratios were 2.419 +/- 0.003 and 1.158 +/- 0.003 (mean and 95%-confidence interval), respectively. The temporal variations of Pb isotopic composition from 1970 to mid-1990s reflect the changes in the consumption of Pb-enriched gasoline in the Southern Hemisphere, whereas the subsequent increase of the Pb isotope ratios is ascribed to a shift toward the natural isotopic signature. Accordingly, the anthropogenic Pb contribution decreased from (61 +/- 3)% in 1980-1990 to (49 +/- 10)% in 2010-2017. The measured ratios suggest that Australia has been a significant source of anthropogenic Pb to Antarctica, even in recent times. Differences and similarities among Pb content and isotopic composition in various sites across Antarctica have been displayed by principal component analysis, indicating that the altitude and the distance from the coast significantly affect the Pb content, while the Pb isotopic signatures are not influenced by these parameters. (C) 2020 Elsevier Ltd. All rights reserved.</t>
  </si>
  <si>
    <t>[Bertinetti, Stefano; Ardini, Francisco; Vecchio, Maria Alessia; Grotti, Marco] Univ Genoa, Dept Chem &amp; Ind Chem, Via Dodecaneso 31, I-16146 Genoa, Italy; [Caiazzo, Laura] Univ Florence, Dept Chem Ugo Schiff, Via Lastruccia 3, I-50019 Sesto Fiorentino, Italy; [Caiazzo, Laura] INFN Florence, Via Sansone 1, I-50019 Sesto Fiorentino, Italy</t>
  </si>
  <si>
    <t>University of Genoa; University of Florence; Istituto Nazionale di Fisica Nucleare (INFN)</t>
  </si>
  <si>
    <t>Grotti, M (corresponding author), Univ Genoa, Dept Chem &amp; Ind Chem, Via Dodecaneso 31, I-16146 Genoa, Italy.</t>
  </si>
  <si>
    <t>grotti@unige.it</t>
  </si>
  <si>
    <t>Grotti, Marco/HGU-3949-2022; Bertinetti, Stefano/HTQ-6650-2023; Bertinetti, Stefano/AAZ-2831-2021; Caiazzo, Laura/AAT-1502-2020</t>
  </si>
  <si>
    <t>Grotti, Marco/0000-0001-6956-5761; Bertinetti, Stefano/0000-0003-1982-247X; Caiazzo, Laura/0000-0001-7932-2499</t>
  </si>
  <si>
    <t>Italian National Program of Research in Antarctica [PNRA14_00091, PNRA16_00252]</t>
  </si>
  <si>
    <t>Italian National Program of Research in Antarctica</t>
  </si>
  <si>
    <t>This work has been funded by the Italian National Program of Research in Antarctica (projects PNRA14_00091, PNRA16_00252). The authors wish to thank Giulio Esposito, Andrea Spolaor, Alessandro Bau, Marco Buttu, Matthias Jaggi, Angelo Domesi and the PNRA logistic staff for their help in the field work. The Norwegian Polar Institute and Quantarctica Editorial Board are kindly acknowledged for the map of Antarctica.</t>
  </si>
  <si>
    <t>10.1016/j.chemosphere.2020.126858</t>
  </si>
  <si>
    <t>LV0IK</t>
  </si>
  <si>
    <t>WOS:000538127800011</t>
  </si>
  <si>
    <t>Zheng, L; Zhou, CX; Wang, K</t>
  </si>
  <si>
    <t>Zheng, Lei; Zhou, Chunxia; Wang, Kang</t>
  </si>
  <si>
    <t>Enhanced winter snowmelt in the Antarctic Peninsula: Automatic snowmelt identification from radar scatterometer</t>
  </si>
  <si>
    <t>Antarctic Peninsula; Winter snowmelt; Scatterometer; Wavelet denoising; Rosin thresholding</t>
  </si>
  <si>
    <t>C ICE SHELF; SURFACE MASS-BALANCE; MELT DETECTION; SEA-ICE; CIRCULATION CHANGES; WEST ANTARCTICA; CLIMATE MODEL; GREENLAND; DURATION; SSM/I</t>
  </si>
  <si>
    <t>Surface snowmelt affects the energy balance through melt-albedo feedback and may endanger the ice shelves in the Antarctic Peninsula (AP) through hydrofracture. Here, we introduce an automatic snowmelt identification algorithm based on Quick Scatterometer and Advanced Scatterometer. The proposed method can provide self-adaptive thresholds for snowmelt detection based on Rosin thresholding, and is able to detect weak melt signals with a wavelet denoising procedure. Results suggest the AP surface snowmelt has slightly declined during 1999-2018 in the context of recent cooling. However, winter melt index (i.e., melt days times the area of melting) has significantly increased (above the 99% confidence level) with a rate of 83% decade(-1). Unprecedented winter snowmelt was found in 2015/2016 when about one-third of the AP experienced snowmelt in late May. This may be attributed to the intrusions of marine air and the enhanced fohn-driven warming resulted from the abnormal northwesterly flow driven by a significant deepening of the Amundsen Sea Low.</t>
  </si>
  <si>
    <t>[Zheng, Lei] Sun Yat Sen Univ, Sch Geospatial Engn &amp; Sci, Guangzhou 510275, Peoples R China; [Zheng, Lei; Zhou, Chunxia] Wuhan Univ, Chinese Antarctic Ctr Surveying &amp; Mapping, Wuhan 430079, Peoples R China; [Zheng, Lei] Southern Marine Sci &amp; Engn Guangdong Lab Zhuhai, Zhuhai 519082, Peoples R China; [Wang, Kang] East China Normal Univ, Sch Geog Sci, Shanghai 200241, Peoples R China</t>
  </si>
  <si>
    <t>Sun Yat Sen University; Wuhan University; Southern Marine Science &amp; Engineering Guangdong Laboratory; Southern Marine Science &amp; Engineering Guangdong Laboratory (Zhuhai); East China Normal University</t>
  </si>
  <si>
    <t>ZHOU, Chunxia/AAU-2909-2020; Zheng, Lei/AAU-4134-2020; Wang, Kang/J-7351-2019; Zheng, Lei/AAU-3788-2020</t>
  </si>
  <si>
    <t>Wang, Kang/0000-0003-3416-572X; zhang, teng/0000-0002-3698-0536</t>
  </si>
  <si>
    <t>National Natural Science Foundation of China (NSFC) [41941010, 41776200, 41531069]; Funds for the Distinguished Young Scientists of Hubei Province (China) [2019CFA057]</t>
  </si>
  <si>
    <t>The authors would like to thank Brigham Young University for providing the scatterometer data set (http://www.scp.byu.edu/).We acknowledge Dr. Michiel van den Broeke for providing the RACMO2 simulations. The anonymous reviewers are thanked for their insightful comments and valuable suggestions. This research was supported by the National Natural Science Foundation of China (NSFC) (Grant Nos. 41941010, 41776200, 41531069) and the Funds for the Distinguished Young Scientists of Hubei Province (China) (2019CFA057).</t>
  </si>
  <si>
    <t>10.1016/j.rse.2020.111835</t>
  </si>
  <si>
    <t>LU3XJ</t>
  </si>
  <si>
    <t>WOS:000537691800012</t>
  </si>
  <si>
    <t>Rybalka, N; Mikhailyuk, T; Darienko, T; Dultz, S; Blanke, M; Friedl, T</t>
  </si>
  <si>
    <t>Rybalka, Nataliya; Mikhailyuk, Tatiana; Darienko, Tatyana; Dultz, Stefan; Blanke, Matthias; Friedl, Thomas</t>
  </si>
  <si>
    <t>Genotypic and phylogenetic diversity of new isolates of terrestrial Xanthophyceae (Stramenopiles) from maritime sandy habitats</t>
  </si>
  <si>
    <t>PHYCOLOGIA</t>
  </si>
  <si>
    <t>BSCs (Biological Soil Crusts); Intraspecific genotypic variation; Maritime sandy habitat; Stramenopile algae; Xanthophyceae</t>
  </si>
  <si>
    <t>BIOLOGICAL SOIL CRUSTS; MOLECULAR PHYLOGENY; RBCL GENE; ALGAE; CYANOBACTERIAL; BIODIVERSITY; VAUCHERIA; EVOLUTION; ALIGNMENT; ISLANDS</t>
  </si>
  <si>
    <t>Xanthophyceae (Stramenopiles) are common microalgae in soil habitats, but not commonly known from maritime sandy habitats. Here we studied the genetic diversity of nine new isolates of Xanthophyceae from coastal habitats using two chloroplast-encoded markers. The isolates exhibited only three morphotypes. The sequence comparisons uncovered a respectable phylogenetic diversity, including novel infraspecific genotypes, among the isolates. The phylogenetic analyses of fullrbcL gene sequences identified eight of the isolates to five named species based on monophyletic origins and short genetic distances with defined taxonomic reference strains. One strain, representing a coccoid species, was within a so far unrecognised lineage of Xanthophyceae. In four clades of therbcL phylogeny, the coastal isolates were most closely related to strains from Antarctic soil habitats. Comparisons of thepsbA/rbcL spacer region sequences, a highly variable molecular marker, uncovered a fine-scale structuring within a species which was consistent with habitat preferences. The new maritime isolates exhibited genotypes distinct from those of the same species from other habitats. It suggests that the environment selects for specific genotypes in these pioneering algae.</t>
  </si>
  <si>
    <t>[Rybalka, Nataliya; Darienko, Tatyana; Blanke, Matthias; Friedl, Thomas] Georg August Univ Gottingen, Albrecht von Haller Inst Plant Sci, Expt Phycol &amp; Culture Collect Algae SAG, Nikolausberger Weg 18, D-37073 Gottingen, Germany; Natl Acad Sci Ukraine, MG Kholodny Inst Bot, Tereschenkivska Str 2, UA-01004 Kiev, Ukraine; [Dultz, Stefan] Leibniz Univ Hannover, Inst Soil Sci, Herrenhauser Str 2, D-30419 Hannover, Germany</t>
  </si>
  <si>
    <t>University of Gottingen; National Academy of Sciences Ukraine; M.G. Kholodny Institute of Botany, NAS of Ukraine; Leibniz University Hannover</t>
  </si>
  <si>
    <t>Friedl, T (corresponding author), Georg August Univ Gottingen, Albrecht von Haller Inst Plant Sci, Expt Phycol &amp; Culture Collect Algae SAG, Nikolausberger Weg 18, D-37073 Gottingen, Germany.</t>
  </si>
  <si>
    <t>tfriedl@uni-goettingen.de</t>
  </si>
  <si>
    <t>Friedl, Thomas/AAQ-4606-2021; Friedl, Thomas/AAS-4403-2021; Mikhailyuk, Tatiana/AAC-1773-2020; Rybalka, Nataliya/AAX-1258-2020</t>
  </si>
  <si>
    <t>Friedl, Thomas/0000-0002-4070-776X; Rybalka, Nataliya/0000-0002-3250-3679; Dultz, Stefan/0000-0003-1124-6439</t>
  </si>
  <si>
    <t>German Science Foundation (DFG) [RY 173/1-1]</t>
  </si>
  <si>
    <t>German Science Foundation (DFG)(German Research Foundation (DFG))</t>
  </si>
  <si>
    <t>This work has been funded by the German Science Foundation (DFG) Priority Program 1991 `Taxon-OMICS' (Project RY 173/1-1, extended to NR).</t>
  </si>
  <si>
    <t>0031-8884</t>
  </si>
  <si>
    <t>2330-2968</t>
  </si>
  <si>
    <t>Phycologia</t>
  </si>
  <si>
    <t>10.1080/00318884.2020.1802950</t>
  </si>
  <si>
    <t>AUG 2020</t>
  </si>
  <si>
    <t>PN8PX</t>
  </si>
  <si>
    <t>WOS:000568082200001</t>
  </si>
  <si>
    <t>Arndt, S; Hoppmann, M; Schmithüsen, H; Fraser, AD; Nicolaus, M</t>
  </si>
  <si>
    <t>Arndt, Stefanie; Hoppmann, Mario; Schmithuesen, Holger; Fraser, Alexander D.; Nicolaus, Marcel</t>
  </si>
  <si>
    <t>Seasonal and interannual variability of landfast sea ice in Atka Bay, Weddell Sea, Antarctica</t>
  </si>
  <si>
    <t>SHELF WATER PLUME; MCMURDO SOUND; PLATELET LAYER; EAST ANTARCTICA; MASS-BALANCE; SNOW; GROWTH; DISTRIBUTIONS; SIGNATURES; EVOLUTION</t>
  </si>
  <si>
    <t>Landfast sea ice (fast ice) attached to Antarctic (near-)coastal elements is a critical component of the local physical and ecological systems. Through its direct coupling with the atmosphere and ocean, fast-ice properties are also a potential indicator of processes related to a changing climate. However, in situ fast-ice observations in Antarctica are extremely sparse because of logistical challenges and harsh environmental conditions. Since 2010, a monitoring program observing the seasonal evolution of fast ice in Atka Bay has been conducted as part of the Antarctic Fast Ice Network (AFIN). The bay is located on the northeastern edge of Ekstrom Ice Shelf in the eastern Weddell Sea, close to the German wintering station Neumayer III. A number of sampling sites have been regularly revisited each year between annual ice formation and breakup to obtain a continuous record of sea-ice and sub-ice platelet-layer thickness, as well as snow depth and freeboard across the bay. Here, we present the time series of these measurements over the last 9 years. Combining them with observations from the nearby Neumayer III meteorological observatory as well as auxiliary satellite images enables us to relate the seasonal and interannual fast-ice cycle to the factors that influence their evolution. On average, the annual consolidated fast-ice thickness at the end of the growth season is about 2 m, with a loose platelet layer of 4 m thickness beneath and 0.70 m thick snow on top. Results highlight the predominately seasonal character of the fast-ice regime in Atka Bay without a significant interannual trend in any of the observed variables over the 9-year observation period. Also, no changes are evident when comparing with sporadic measurements in the 1980s and 1990s. It is shown that strong easterly winds in the area govern the year-round snow distribution and also trigger the breakup of fast ice in the bay during summer months. Due to the substantial snow accumulation on the fast ice, a characteristic feature is frequent negative freeboard, associated flooding of the snow-ice interface, and a likely subsequent snow ice formation. The buoyant platelet layer beneath negates the snow weight to some extent, but snow thermodynamics is identified as the main driver of the energy and mass budgets for the fast-ice cover in Atka Bay. The new knowledge of the seasonal and interannual variability of fast-ice properties from the present study helps to improve our understanding of interactions between atmosphere, fast ice, ocean, and ice shelves in one of the key regions of Antarctica and calls for intensified multidisciplinary studies in this region.</t>
  </si>
  <si>
    <t>[Arndt, Stefanie; Hoppmann, Mario; Schmithuesen, Holger; Nicolaus, Marcel] Alfred Wegener Inst Helmholtz Zentrum Polar &amp; Mee, D-27570 Bremerhaven, Germany; [Fraser, Alexander D.] Univ Tasmania, Inst Marine &amp; Antarctic Studies, Hobart, Tas 7001, Australia; [Fraser, Alexander D.] Univ Tasmania, Antarctic Climate &amp; Ecosyst Cooperat Res Ctr, Hobart, Tas 7001, Australia</t>
  </si>
  <si>
    <t>Helmholtz Association; Alfred Wegener Institute, Helmholtz Centre for Polar &amp; Marine Research; University of Tasmania; Antarctic Climate &amp; Ecosystems Cooperative Research Centre (ACE CRC); University of Tasmania</t>
  </si>
  <si>
    <t>Arndt, S (corresponding author), Alfred Wegener Inst Helmholtz Zentrum Polar &amp; Mee, D-27570 Bremerhaven, Germany.</t>
  </si>
  <si>
    <t>stefanie.arndt@awi.de</t>
  </si>
  <si>
    <t>Arndt, Stefanie/AAA-6178-2021; Hoppmann, Mario/KFB-0363-2024; Fraser, Alexander/AFO-7186-2022; Nicolaus, Marcel/A-3658-2013</t>
  </si>
  <si>
    <t>Arndt, Stefanie/0000-0001-9782-3844; Hoppmann, Mario/0000-0003-1294-9531; Fraser, Alexander/0000-0003-1924-0015; Nicolaus, Marcel/0000-0003-0903-1746</t>
  </si>
  <si>
    <t>German Research Council (DFG) [SPP1158, HE2740/12, NI1092/2, AR1236/1]; Alfred-WegenerInstitut Helmholtz-Zentrum fur Polar-und Meeresforschung; Australian Research Council's Special Research Initiative for Antarctic Gateway Partnership [SR140300001]</t>
  </si>
  <si>
    <t>German Research Council (DFG)(German Research Foundation (DFG)); Alfred-WegenerInstitut Helmholtz-Zentrum fur Polar-und Meeresforschung; Australian Research Council's Special Research Initiative for Antarctic Gateway Partnership(Australian Research Council)</t>
  </si>
  <si>
    <t>We are most grateful to the overwintering teams at Neumayer III from 2010 to 2018 for their conducted measurements on the fast ice in Atka Bay. Special thanks are due to the respective meteorologists of the teams who led the sea-ice work on site. Also, our work and research at Neumayer III would not have been possible without the extensive support of AWI logistics. We also acknowledge the scientific support of Christian Haas, the logistical support of Anja Nicolaus, and the technical support of Jan Rohde, all from the Sea Ice Physics section at AWI. This work was supported by the German Research Council (DFG) in the framework of the priority program Antarctic Research with comparative investigations in Arctic ice areas by grants SPP1158, HE2740/12, NI1092/2, and AR1236/1, and the Alfred-WegenerInstitut Helmholtz-Zentrum fur Polar-und Meeresforschung. This research was also supported under the Australian Research Council's Special Research Initiative for Antarctic Gateway Partnership (project ID SR140300001). We are grateful to the two anonymous reviewers and the editor Jean-Louis Tison for their valuable input, which significantly improved the quality of the presented science.</t>
  </si>
  <si>
    <t>AUG 31</t>
  </si>
  <si>
    <t>10.5194/tc-14-2775-2020</t>
  </si>
  <si>
    <t>NK5OE</t>
  </si>
  <si>
    <t>WOS:000566780900001</t>
  </si>
  <si>
    <t>Leutert, TJ; Auderset, A; Martínez-García, A; Modestou, S; Meckler, AN</t>
  </si>
  <si>
    <t>Leutert, Thomas J.; Auderset, Alexandra; Martinez-Garcia, Alfredo; Modestou, Sevasti; Meckler, A. Nele</t>
  </si>
  <si>
    <t>Coupled Southern Ocean cooling and Antarctic ice sheet expansion during the middle Miocene</t>
  </si>
  <si>
    <t>PLANKTIC FORAMINIFERA; CLIMATE TRANSITION; ATMOSPHERIC CO2; TEMPERATURE; MG/CA; OXYGEN; THERMOMETRY; EVOLUTION; SALINITY; VOLUME</t>
  </si>
  <si>
    <t>The middle Miocene climate transition (similar to 14 million years ago) was characterized by a dramatic increase in the volume of the Antarctic ice sheet. The driving mechanism of this transition remains under discussion, with hypotheses including circulation changes, declining carbon dioxide in the atmosphere and orbital forcing. Southern Ocean records of planktic foraminiferal Mg/Ca have previously been interpreted to indicate a cooling of 6-7 degrees C and a decrease in salinity that preceded Antarctic cryosphere expansion by up to similar to 300,000 years. This interpretation has led to the hypothesis that changes in meridional heat and vapour transport along with an early thermal isolation of Antarctica from extrapolar climates played a fundamental role in triggering ice growth. Here we revisit the middle Miocene Southern Ocean temperature evolution using clumped isotope and lipid biomarker temperature proxies. Our records indicate that the Southern Ocean cooling and the associated salinity decrease occurred in phase with the expansion of the Antarctic ice sheet. We demonstrate that the timing and magnitude of the Southern Ocean temperature change seen in previous reconstructions can be explained if we consider pH as an additional, non-thermal, control on foraminiferal Mg/Ca ratios. Therefore, our new dataset challenges the view of a thermal isolation of Antarctica preceding ice sheet expansion, and suggests a strong coupling between Southern Ocean conditions and Antarctic ice volume in times of declining atmospheric carbon dioxide.</t>
  </si>
  <si>
    <t>[Leutert, Thomas J.; Modestou, Sevasti; Meckler, A. Nele] Univ Bergen, Bjerknes Ctr Climate Res, Bergen, Norway; [Leutert, Thomas J.; Modestou, Sevasti; Meckler, A. Nele] Univ Bergen, Dept Earth Sci, Bergen, Norway; [Leutert, Thomas J.; Auderset, Alexandra; Martinez-Garcia, Alfredo] Max Planck Inst Chem, Mainz, Germany; [Auderset, Alexandra] Swiss Fed Inst Technol, Geol Inst, Zurich, Switzerland</t>
  </si>
  <si>
    <t>Bjerknes Centre for Climate Research; University of Bergen; University of Bergen; Max Planck Society; Swiss Federal Institutes of Technology Domain; ETH Zurich</t>
  </si>
  <si>
    <t>Leutert, TJ (corresponding author), Univ Bergen, Bjerknes Ctr Climate Res, Bergen, Norway.;Leutert, TJ (corresponding author), Univ Bergen, Dept Earth Sci, Bergen, Norway.;Leutert, TJ (corresponding author), Max Planck Inst Chem, Mainz, Germany.</t>
  </si>
  <si>
    <t>Thomas.Leutert@mpic.de</t>
  </si>
  <si>
    <t>Meckler, Anna Nele/AAC-2490-2020; Auderset, Alexandra/AAX-5483-2020; Martinez-Garcia, Alfredo/A-6244-2010</t>
  </si>
  <si>
    <t>Meckler, Anna Nele/0000-0002-7225-8276; Auderset, Alexandra/0000-0002-6316-4980; Martinez-Garcia, Alfredo/0000-0002-7206-5079; Modestou, Sevasti/0000-0002-9820-5551; Leutert, Thomas/0000-0002-1714-0080</t>
  </si>
  <si>
    <t>European Research Council (ERC) under the European Union's Horizon 2020 research and innovation programme [638467]; Trond Mohn Foundation; Max Planck Society; European Research Council (ERC) [638467] Funding Source: European Research Council (ERC)</t>
  </si>
  <si>
    <t>European Research Council (ERC) under the European Union's Horizon 2020 research and innovation programme(European Research Council (ERC)); Trond Mohn Foundation; Max Planck Society(Max Planck Society); European Research Council (ERC)(European Research Council (ERC)Spanish Government)</t>
  </si>
  <si>
    <t>We thank A. Shevenell, D. Evans, G. Foster and A. Fernandez Bremer for insightful discussions, and E. Alagoz, I. Heggstad and M. Schmitt for laboratory assistance. Furthermore, we thank all authors who shared their published data. This research used data and samples provided by the International Ocean Discovery Program (IODP) and its predecessor, the Ocean Drilling Program (ODP). The work was funded by the European Research Council (ERC) under the European Union's Horizon 2020 research and innovation programme (grant agreement no. 638467), the Trond Mohn Foundation and the Max Planck Society.</t>
  </si>
  <si>
    <t>10.1038/s41561-020-0623-0</t>
  </si>
  <si>
    <t>PQ7XL</t>
  </si>
  <si>
    <t>WOS:000565156600001</t>
  </si>
  <si>
    <t>Youngflesh, C; Jones, FM; Lynch, HJ; Arthur, J; Rockaiová, Z; Torsey, HR; Hart, T</t>
  </si>
  <si>
    <t>Youngflesh, Casey; Jones, Fiona M.; Lynch, Heather J.; Arthur, Joan; Rockaiova, Zuzana; Torsey, Holly R.; Hart, Tom</t>
  </si>
  <si>
    <t>Large-scale assessment of intra- and inter-annual breeding success using a remote camera network</t>
  </si>
  <si>
    <t>Capture-recapture model; global change; remote cameras; seabird; time-lapse cameras; breeding success</t>
  </si>
  <si>
    <t>PENGUIN PYGOSCELIS-PAPUA; ANTARCTIC TOURIST SITE; GENTOO PENGUINS; ATMOSPHERIC CIRCULATION; REPRODUCTIVE SUCCESS; GOUDIER ISLAND; PENINSULA; GROWTH; PRECIPITATION; POPULATIONS</t>
  </si>
  <si>
    <t>Changes in the physical environment along the Antarctic Peninsula have been among the most rapid anywhere on the planet. In concert with environmental change, the potential for direct human disturbance resulting from tourism, scientific programs, and commercial fisheries continues to rise in the region. While seabirds, such as the gentoo penguinPygoscelis papua, are commonly used to assess the impact of these disturbances on natural systems, research efforts are often hampered by limited spatial coverage and lack of temporal resolution. Using a large-scale remote time-lapse camera network and a modeling framework adapted from capture-recapture studies, we assess drivers of intra- and inter-annual dynamics in gentoo penguin breeding success across nearly the entire species' range in the Atlantic sector of the Southern Ocean. We quantify the precise timing of egg/chick mortality within each season and examine the role of precipitation events, tourism visitation, and fishing activity for Antarctic krillEuphausia superba(a principal prey resource in the Antarctic) in these processes. We find that nest failure rates are higher in the egg than the chick stage and that neither krill fishing nor tourism visitation had a strong effect on gentoo penguin breeding success. While precipitation events had, on average, little effect on nest mortality, results suggest that extreme weather events can precipitate sharp increases in nest failure. This study highlights the importance of continuous ecosystem monitoring, facilitated here by remote time-lapse cameras, in understanding ecological responses to environmental stressors, particularly with regard to the timing of events such as extreme weather.</t>
  </si>
  <si>
    <t>[Youngflesh, Casey] Univ Calif Los Angeles, Dept Ecol &amp; Evolutionary Biol, Los Angeles, CA 90095 USA; [Jones, Fiona M.; Hart, Tom] Univ Oxford, Dept Zool, Oxford OX1 3SZ, England; [Lynch, Heather J.] SUNY Stony Brook, Inst Adv Computat Sci, Stony Brook, NY 11794 USA; [Arthur, Joan; Rockaiova, Zuzana; Torsey, Holly R.] Univ Oxford, Dept Phys, Zooniverse, Oxford OX1 3RH, England</t>
  </si>
  <si>
    <t>University of California System; University of California Los Angeles; University of Oxford; State University of New York (SUNY) System; State University of New York (SUNY) Stony Brook; University of Oxford</t>
  </si>
  <si>
    <t>Youngflesh, C (corresponding author), Univ Calif Los Angeles, Dept Ecol &amp; Evolutionary Biol, Los Angeles, CA 90095 USA.;Hart, T (corresponding author), Univ Oxford, Dept Zool, Oxford OX1 3SZ, England.</t>
  </si>
  <si>
    <t>cyoungflesh@ucla.edu; tom.hart@zoo.ox.ac.uk</t>
  </si>
  <si>
    <t>Hart, Tom/0000-0002-4527-5046; Suttle, Fiona M./0000-0003-1970-0034; Youngflesh, Casey/0000-0001-6343-3311</t>
  </si>
  <si>
    <t>10.1002/rse2.171</t>
  </si>
  <si>
    <t>QY0XW</t>
  </si>
  <si>
    <t>WOS:000564181500001</t>
  </si>
  <si>
    <t>Torres, R; Reid, B; Frangópulos, M; Alarcón, E; Márquez, M; Häussermann, V; Försterra, G; Pizarro, G; Iriarte, JL; González, HE</t>
  </si>
  <si>
    <t>Torres, Rodrigo; Reid, Brian; Frangopulos, Maximo; Alarcon, Emilio; Marquez, Magdalena; Haussermann, Verena; Forsterra, Gunter; Pizarro, Gemita; Luis Iriarte, Jose; Gonzalez, Humberto E.</t>
  </si>
  <si>
    <t>Freshwater runoff effects on the production of biogenic silicate and chlorophyll-a in western Patagonia archipelago (50-51°S)</t>
  </si>
  <si>
    <t>Freshening; sub-Antarctic water; Total alkalinity; Silicic acid; Basin lithology; Patagonia; Fiords; Chile</t>
  </si>
  <si>
    <t>PHYTOPLANKTON BLOOMS; TOTAL ALKALINITY; SOUTHERN-OCEAN; CARBONIC-ACID; DOMOIC ACID; IRON; COASTAL; MARINE; VARIABILITY; DIATOMS</t>
  </si>
  <si>
    <t>Freshwater discharged from the continent to the sea plays an important role in the biogeochemistry and productivity of the coastal ocean. The continental drainage basin characteristics can be a key local factor determining the concentration, proportions and timing of bio-active freshwater solutes discharged into an estuary, and thus could play a bottom up role modulating the phytoplankton assemblage attributes. In a period from 2015 to 2017 we characterize the concentration of total alkalinity (A(T)) and silicic acid (DSi) in continental and estuarine surface waters at both limestone and silicates basins of the Madre de Dios archipelago (ca. 50-51 degrees S and 75.5-75 degrees W). Continental waters had high A(T) in limestone and low A(T) in silicate basins causing differences in the specific total alkalinity of estuarine waters. Similarly, while limestone continental water is characterized by very low DSi concentrations (3 +/- 3 mu M, n = 16) that dilute initial DSi concentrations of sub-Antarctic Surface Water (SAASW) at the mixing zone, continental water from silicate drainage basins (Patagonian Batholith; 53 +/- 49 mu M, n = 18) acts as a source of DSi to the estuary. Experimental SAASW dilution with two types of native continental water, one supplying high A(T) - low DSi and another supplying low A(T) - high DSi to the western central Patagonian Archipelago, resulted in phytoplankton assemblages with different characteristics. While silicate-water freshening of SAASW resulted in higher biogenic silicate (bSi) content, limestone-water freshening of SAASW resulted in higher levels chlorophyll a allocated in small cells-size range (0.45-2 mu m). We suggest that the local variability in the suite of solutes delivered from continental runoff can significantly modulate phytoplankton communities attributes, especially in western Patagonian with interior estuarine waters characterized by extensive channels and fjords, together with extreme precipitation/runoff (&gt;6 m y(-1)) and sharp contrasts in lithology.</t>
  </si>
  <si>
    <t>[Torres, Rodrigo; Reid, Brian; Alarcon, Emilio; Marquez, Magdalena; Luis Iriarte, Jose] Ctr Invest Ecosistemas Patagonia CIEP, Coyhaique, Chile; [Torres, Rodrigo; Frangopulos, Maximo; Alarcon, Emilio; Luis Iriarte, Jose; Gonzalez, Humberto E.] Ctr Invest Dinam Ecosistemas Marinos Altas Latitu, Valdivia, Chile; [Frangopulos, Maximo] Ctr Estudios Cuaternario Fuego Patagonia &amp; Antart, Punta Arenas, Chile; [Frangopulos, Maximo] Univ Magallanes, Ctr Invest GAIA, Punta Arenas, Chile; [Haussermann, Verena; Forsterra, Gunter] Pontificia Univ Catolica Valparaiso, Fac Recursos Nat, Valparaiso, Chile; [Haussermann, Verena; Forsterra, Gunter] Escuela Ciencias Mar, Huinay Sci Field Stn, Avda Brasil 2950, Valparaiso, Chile; [Pizarro, Gemita] Inst Fomento Pesquero IFOP, Punta Arenas, Chile; [Luis Iriarte, Jose] Univ Austral Chile, Inst Acuicultura, Sede Puerto Montt, Chile; [Gonzalez, Humberto E.] Univ Austral Chile, Inst Ciencias Marinas &amp; Limnol, Valdivia, Chile; [Marquez, Magdalena] Univ Austral Chile, Campus Patagonia, Coyhaique, Chile</t>
  </si>
  <si>
    <t>Universidad de Magallanes; Pontificia Universidad Catolica de Valparaiso; Instituto de Fomento Pesquero (Valparaiso); Universidad Austral de Chile; Universidad Austral de Chile; Universidad Austral de Chile</t>
  </si>
  <si>
    <t>Torres, R (corresponding author), Ctr Invest Ecosistemas Patagonia CIEP, Coyhaique, Chile.</t>
  </si>
  <si>
    <t>rtorres@ciep.cl</t>
  </si>
  <si>
    <t>González, Humberto E./A-4039-2008; Frangopulos, Maximo/ABC-8933-2020</t>
  </si>
  <si>
    <t>Haussermann, Verena Susanne/0000-0001-9630-7477; frangopulos, maximo/0000-0002-6857-273X; Torres, Rodrigo/0000-0003-0416-4291</t>
  </si>
  <si>
    <t>Fondo Nacional de Desarrollo Cientffico y TecnolOgico (FONDECYT) [1140385]; FONDAP-IDEAL (FONDAP) [15150003]; FONDE-CYT [1150843]</t>
  </si>
  <si>
    <t>Fondo Nacional de Desarrollo Cientffico y TecnolOgico (FONDECYT)(Comision Nacional de Investigacion Cientifica y Tecnologica (CONICYT)CONICYT FONDECYT); FONDAP-IDEAL (FONDAP); FONDE-CYT(Comision Nacional de Investigacion Cientifica y Tecnologica (CONICYT)CONICYT FONDECYT)</t>
  </si>
  <si>
    <t>This work was funded primarily by the Fondo Nacional de Desarrollo Cientffico y TecnolOgico (FONDECYT) grant 1140385, with additional support from FONDAP-IDEAL (FONDAP grant 15150003) and FONDE-CYT grant 1150843. This is publication nr 158 of Huinay scientific field station. We thank CEQUA and Compariia de Acero del Pacffico (CAP) for logistic and instrumental support as well as the Captain and crew of the M/B Forrest for their assistance at sea. We thank Francisco Dfaz for provide SEM imagery, Cesar Alarcon and Hernan Pacheco for diatom abundance analysis. We acknowledge the detailed examination of our early manuscript for two anonymous reviewers, particularly for theirs valuable and constructive suggestions.</t>
  </si>
  <si>
    <t>10.1016/j.ecss.2020.106597</t>
  </si>
  <si>
    <t>LW6ZM</t>
  </si>
  <si>
    <t>WOS:000539292700001</t>
  </si>
  <si>
    <t>Goncalves, R; Lund, I; Gesto, M; Skov, PV</t>
  </si>
  <si>
    <t>Goncalves, Renata; Lund, Ivar; Gesto, Manuel; Skov, Peter Vilhelm</t>
  </si>
  <si>
    <t>The effect of dietary protein, lipid, and carbohydrate levels on the performance, metabolic rate and nitrogen retention in juvenile European lobster (Homarus gammarus, L.)</t>
  </si>
  <si>
    <t>Formulated feeds; Antarctic krill; Nitrogen retention; Standard metabolic rate; Specific dynamic action; Growth</t>
  </si>
  <si>
    <t>DYNAMIC ACTION; OXYGEN-CONSUMPTION; CONTAINER CULTURE; AMMONIA EXCRETION; SPINY LOBSTER; RAINBOW-TROUT; RATION SIZE; GROWTH; PHYSIOLOGY; SURVIVAL</t>
  </si>
  <si>
    <t>Releasing hatchery-reared juveniles in the wild can mitigate the general decline in the natural stocks of European lobster, Homarus gammarus, L.. However, growth and survival rates in lobster culture are low, presumably due to suboptimal nutrition and feeding. With the aim of determining appropriate nutrient levels, we tested different formulated extruded feeds for the culture of juvenile European lobster. Baseline metabolism (standard metabolic rate, SMR), in combination with the metabolic cost of feeding (specific dynamic action, SDA), and nitrogen retention during digestion and assimilation was investigated for six experimental diets. Diets were formulated to contain two different levels of protein (400 and 500 g kg(-1)), with three lipid to carbohydrate (L:CHO) ratios (low, medium, and high). These experimental diets were tested over a 32-day period, against a conventional control diet (Antarctic krill, Euphausia superba). During this period, the growth performance of the juveniles was assessed as molting frequency, increments in carapace length and whole body wet weight. At the end of the growth performance trial, oxygen consumption (MO2) and nitrogen excretion rates of individual lobsters were determined prior to and following the ingestion of a single meal. Molting occurred more frequently in juveniles fed with krill and krill resulted in a significantly higher specific growth rate than experimental dry feeds except for the 500-low diet. However, lobsters fed any of the three 500 and the 400-low diets had carapace length increments, SMR, SDA, and nitrogen retention similar to those fed the krill diet. Results suggest that protein is an important macronutrient for juveniles of this species and must be included above 40%. Also, lobsters have a dietary requirement for carbohydrates ranging from 24% to 35% probably related to the need for glycogen in chitin synthesis. The lower the protein content, the higher the requirement in carbohydrates.</t>
  </si>
  <si>
    <t>[Goncalves, Renata; Lund, Ivar; Gesto, Manuel; Skov, Peter Vilhelm] Tech Univ Denmark, North Sea Res Ctr, Sect Aquaculture, DTU Aqua, DK-9850 Hirtshals, Denmark</t>
  </si>
  <si>
    <t>Technical University of Denmark</t>
  </si>
  <si>
    <t>Goncalves, R (corresponding author), DTU Aqua, North Sea Sci Pk,Willemoesvej 2, DK-9850 Hirtshals, Denmark.</t>
  </si>
  <si>
    <t>rego@aqua.dtu.dk</t>
  </si>
  <si>
    <t>Skov, Peter V/C-2388-2011; lund, ivar/W-4180-2019; Goncalves, Renata/ABR-0469-2022; Gesto, Manuel/G-1032-2018</t>
  </si>
  <si>
    <t>Skov, Peter V/0000-0001-7900-4431; Gesto, Manuel/0000-0002-9136-7857; Goncalves, Renata/0000-0003-4163-9479; Lund, Ivar/0000-0003-2419-2185</t>
  </si>
  <si>
    <t>Fisheries local action group (FiskeriLAG NORD, Denmark); ENV Fonden (Nord Energi, Denmark); Ph.D. school at DTU Aqua</t>
  </si>
  <si>
    <t>This study was partly financed by a Fisheries local action group (FiskeriLAG NORD, Denmark), and the ENV Fonden (Nord Energi, Denmark) with support from the Ph.D. school at DTU Aqua. The authors would like to thank Ole Larsen, Rasmus Jensen, and Jens Nedergaard for their assistance in taking care of the lobster systems, and to Ulla Sproegel and Brian Moeller for their help with the laboratory analysis. A special thanks to Tiago Malta for his assistance with raw data transformation. The final manuscript also benefitted from the valuable recommendations of anonymous reviewers.</t>
  </si>
  <si>
    <t>AUG 30</t>
  </si>
  <si>
    <t>10.1016/j.aquaculture.2020.735334</t>
  </si>
  <si>
    <t>LR1DB</t>
  </si>
  <si>
    <t>WOS:000535434900009</t>
  </si>
  <si>
    <t>Glaser, K; Karsten, U</t>
  </si>
  <si>
    <t>Glaser, Karin; Karsten, Ulf</t>
  </si>
  <si>
    <t>Salinity tolerance in biogeographically different strains of the marine benthic diatomCylindrotheca closterium(Bacillariophyceae)</t>
  </si>
  <si>
    <t>Cylindrotheca closterium; Benthic diatom; Growth; Salinity tolerance</t>
  </si>
  <si>
    <t>DIATOM CYLINDROTHECA-CLOSTERIUM; GROWTH-RATE; NORTH-SEA; DIVERSITY; PHYTOPLANKTON; IRRADIANCE; RESPONSES; LIMITS</t>
  </si>
  <si>
    <t>In coastal zones, salinity is commonly a rather local environmental factor that can be highly variable. Future climate change scenarios indicate for many coastal regions besides warming also changes in current salinity regime due to less precipitation, higher evaporation, or more freshwater run-off, resulting in decreasing or increasing saline conditions. The soft bottom of shallow water coastal zones is typically inhabited by benthic diatoms which cover as photosynthetic biofilms extensive areas of sediments.Cylindrotheca closteriumis a cosmopolitan and abundant taxon of such communities, and is widely used as a benthic diatom model system. Nevertheless, comprehensive ecophysiological data on the salinity tolerance of this ecologically important benthic species are still missing. Therefore, the main goal was to investigate the salinity tolerance in 6 strains ofC. closteriumfrom 5 different clades and from marine to brackish habitats. An analysis of growth as function of salinity allowed the evaluation of tolerance limits, growth optima, and acclimation abilities of individual strains. The data documented isolate-specific growth response patterns and rather broad tolerance widths among the six strains ofC. closterium, which point to strong genotypic differentiation. The results of the phylogenetic network analysis indicate several well separated grades withinC. closterium, thereby supporting the earlier suggestion of a cryptic species complex.</t>
  </si>
  <si>
    <t>[Glaser, Karin; Karsten, Ulf] Univ Rostock, Inst Biol Sci, Albert Einstein Str 3, D-18057 Rostock, Germany</t>
  </si>
  <si>
    <t>University of Rostock</t>
  </si>
  <si>
    <t>Karsten, U (corresponding author), Univ Rostock, Inst Biol Sci, Albert Einstein Str 3, D-18057 Rostock, Germany.</t>
  </si>
  <si>
    <t>ulf.karsten@uni-rostock.de</t>
  </si>
  <si>
    <t>Glaser, Karin/ABD-7607-2020; Glaser, Karin/ABB-4432-2020</t>
  </si>
  <si>
    <t>Glaser, Karin/0000-0002-5962-3603;</t>
  </si>
  <si>
    <t>DFG priority program 1991 Taxonomics [GL 909/1-1]; DFG priority program 1158 Antarctic Research (DFG) [KA899/12, KA899/15]</t>
  </si>
  <si>
    <t>DFG priority program 1991 Taxonomics(German Research Foundation (DFG)); DFG priority program 1158 Antarctic Research (DFG)(German Research Foundation (DFG))</t>
  </si>
  <si>
    <t>The research of K. Glaser was funded by the DFG priority program 1991 Taxonomics (GL 909/1-1, K.G.), that of U. Karsten by the DFG priority program 1158 Antarctic Research (DFG, KA899/12, KA899/15).</t>
  </si>
  <si>
    <t>10.1007/s10811-020-02238-6</t>
  </si>
  <si>
    <t>OT9IW</t>
  </si>
  <si>
    <t>WOS:000563735600003</t>
  </si>
  <si>
    <t>Buchan, SJ; Balcazar-Cabrera, N; Stafford, KM</t>
  </si>
  <si>
    <t>Buchan, Susannah J.; Balcazar-Cabrera, Naysa; Stafford, Kathleen M.</t>
  </si>
  <si>
    <t>Seasonal acoustic presence of blue, fin, and minke whales off the Juan Fernandez Archipelago, Chile (2007-2016)</t>
  </si>
  <si>
    <t>Baleen whales; Southeast Pacific; Seamounts; Passive acoustic monitoring; Bioacoustics</t>
  </si>
  <si>
    <t>BALAENOPTERA-ACUTOROSTRATA; TEMPORAL SEPARATION; CALL TYPES; SOUTHERN; SOUNDS; OCEAN; ANTARCTICA; PHYSALUS; MUSCULUS; BEHAVIOR</t>
  </si>
  <si>
    <t>The southeast Pacific (SEP) contains the home ranges of several migratory large whale species, determined largely based on research in coastal waters. These whales' pelagic seasonal residency is unknown. The Juan Fernandez Archipelago (JFA) is an offshore island in the SEP where passive acoustic monitoring (PAM) data collection is ongoing at the HA03 hydroacoustic station (sample rate of 250 Hz) maintained by the Preparatory Comprehensive Nuclear-Test-Ban Treaty Organization. Six years (2007-2009 and 2014-2016) of PAM data from HA03 were examined for the acoustic presence of Antarctic, Chilean (southeast Pacific 1, southeast Pacific 2), and southeast Indian Ocean blue whale song types; the fin whale 20-Hz song; and minke whale vocalizations. The weekly presence or absence of these six vocalization types was annotated manually by an expert analyst and then averaged across all years. For each vocalization type, the number of weeks per month with presence was averaged over all years. Consistently, we found austral wintertime presence of Antarctic blue, fin, and minke whales; and the year-round presence of Chilean blue whales. Southeast Indian Ocean blue whales were also detected, but very rarely. We discuss the possible seasonal movements of each species or acoustic group in the offshore SEP. This is the first year-round multispecies study of baleen whale in the offshore SEP and provides valuable information for understanding the migrations of endangered baleen whales in this region, highlighting the importance of offshore areas as hotspots for baleen whale biodiversity.</t>
  </si>
  <si>
    <t>[Buchan, Susannah J.; Balcazar-Cabrera, Naysa] Univ Concepcion, Ctr Oceanog Res COPAS Sur Austral, Casilla 160-C, Concepcion 4030000, Chile; [Buchan, Susannah J.] Ctr Estudios Avanzados Zonas Aridas CEAZA, Ave Ossandon 877, Coquimbo 1781681, Chile; [Buchan, Susannah J.] Woods Hole Oceanog Inst, Biol Dept, Woods Hole, MA 02543 USA; [Stafford, Kathleen M.] Univ Washington, Appl Phys Lab, Seattle, WA 98105 USA</t>
  </si>
  <si>
    <t>Universidad de Concepcion; Woods Hole Oceanographic Institution; University of Washington; University of Washington Seattle</t>
  </si>
  <si>
    <t>Buchan, SJ (corresponding author), Univ Concepcion, Ctr Oceanog Res COPAS Sur Austral, Casilla 160-C, Concepcion 4030000, Chile.;Buchan, SJ (corresponding author), Ctr Estudios Avanzados Zonas Aridas CEAZA, Ave Ossandon 877, Coquimbo 1781681, Chile.;Buchan, SJ (corresponding author), Woods Hole Oceanog Inst, Biol Dept, Woods Hole, MA 02543 USA.</t>
  </si>
  <si>
    <t>sjbuchan@gmail.com</t>
  </si>
  <si>
    <t>Buchan, Susannah J/E-7368-2015</t>
  </si>
  <si>
    <t>Stafford, Kathleen Mary/0000-0003-0039-5025; Buchan, Susannah/0000-0003-2180-1432</t>
  </si>
  <si>
    <t>COPAS Sur-Austral ANID PIA APOYO CCTE [AFB170006]; CONICYT Fortalecimiento de Centros Regionales, Programa Regional [R16A10003]</t>
  </si>
  <si>
    <t>COPAS Sur-Austral ANID PIA APOYO CCTE; CONICYT Fortalecimiento de Centros Regionales, Programa Regional</t>
  </si>
  <si>
    <t>S.J.B. and N.B.C. were supported by COPAS Sur-Austral ANID PIA APOYO CCTE AFB170006. S.J.B. was also supported during analysis and writing by a grant to the Centro de Estudios Avanzados en Zonas Aridas (CEAZA) from CONICYT Fortalecimiento de Centros Regionales, Programa Regional R16A10003.</t>
  </si>
  <si>
    <t>AUG 29</t>
  </si>
  <si>
    <t>10.1007/s12526-020-01087-3</t>
  </si>
  <si>
    <t>NF9WB</t>
  </si>
  <si>
    <t>WOS:000563639800001</t>
  </si>
  <si>
    <t>Combrinck, ML; Harms, TM; McGeoch, MA; Schoombie, J; le Roux, PC</t>
  </si>
  <si>
    <t>Combrinck, Madeleine L.; Harms, Thomas M.; McGeoch, Melodie A.; Schoombie, Janine; le Roux, Peter Christiaan</t>
  </si>
  <si>
    <t>Wind and seed: a conceptual model of shape-formation in the cushion plantAzorella Selago</t>
  </si>
  <si>
    <t>PLANT AND SOIL</t>
  </si>
  <si>
    <t>Aeolian processes; Airflow modelling; Burial; Computational fluid dynamics; Positive feedback; Shading; Sub-Antarctic; Vegetation patterning</t>
  </si>
  <si>
    <t>SPECIES AZORELLA-SELAGO; TURF EXFOLIATION; BOUNDARY-LAYER; CLIMATE-CHANGE; MARION ISLAND; DRAG CRISIS; ALPINE; PLANT; FLOW; VEGETATION</t>
  </si>
  <si>
    <t>Aims The sub-Antarctic cushion plant,Azorella selago, is usually hemispherical when small but frequently crescent-shaped when larger. Spatial variation in wind speed and in air-borne seed and sediment deposition is examined to determine if wind scouring and deposition patterns could contribute to the development of non-hemispherical shapes in cushion plants. Methods Computational fluid dynamic analyses were conducted for hemispherical and crescent-shaped cushion plants parameterizing models with data fromA. selagohabitats on Marion Island. Numerical data were contextualized with field observations to arrive at a conceptual model for shape development. Results Airflow modelling showed that both wind scouring and seed deposition of the commonly co-occurring grassAgrostis magellanicaare greater on the windward side of the plant. By contrast, heavier sediment particles are predominantly deposited on the leeward side of plants, leading to burial of lee-sideA. selagostems. This sediment accumulation may initiate the development of the crescent-shape in hemispherical plants by increasing stem mortality on the plant's leeward edge. Once developed, the crescent-shape is probably self-reinforcing because it generates greater air recirculation (and lower air velocities) which enhances further deposition and establishment ofA. magellanicagrasses in the lee of the crescent. The conceptual model consists therefore of three stages namely, (1) negligible air recirculation, (2) sediment deposition and grass establishment, and (3) differential cushion growth. Conclusion This conceptual model of plant shape development may explain the occurrence and orientation of crescent-shaped cushion plants and highlights how predicted changes in wind patterns may affect vegetation patterns.</t>
  </si>
  <si>
    <t>[Combrinck, Madeleine L.; Harms, Thomas M.] Stellenbosch Univ, Dept Mech &amp; Mechatron Engn, Stellenbosch, South Africa; [Combrinck, Madeleine L.] Univ Northumbria, Dept Mech &amp; Construct Engn, Newcastle Upon Tyne, Tyne &amp; Wear, England; [McGeoch, Melodie A.] Monash Univ, Sch Biol Sci, Clayton, Vic 3800, Australia; [Schoombie, Janine; le Roux, Peter Christiaan] Univ Pretoria, Dept Plant &amp; Soil Sci, Pretoria, South Africa; [le Roux, Peter Christiaan] Stellenbosch Univ, Dept Bot &amp; Zool, Ctr Invas Biol, Stellenbosch, South Africa</t>
  </si>
  <si>
    <t>Stellenbosch University; Northumbria University; Monash University; University of Pretoria; Stellenbosch University</t>
  </si>
  <si>
    <t>Combrinck, ML (corresponding author), Univ Northumbria, Dept Mech &amp; Construct Engn, Newcastle Upon Tyne, Tyne &amp; Wear, England.</t>
  </si>
  <si>
    <t>madeleine.combrinck@northumbria.ac.uk</t>
  </si>
  <si>
    <t>le Roux, Peter Christiaan/E-7784-2011; McGeoch, Melodie A/F-8353-2011</t>
  </si>
  <si>
    <t>le Roux, Peter Christiaan/0000-0002-7941-7444; Combrinck, Madeleine/0000-0003-0729-581X; Schoombie, Janine/0000-0001-5085-9516</t>
  </si>
  <si>
    <t>South African National Research Foundation (NRF) [110726]; South African National Antarctic Program (SANAP) [110726]; DST-NRF Center of Excellence for Invasion Biology</t>
  </si>
  <si>
    <t>South African National Research Foundation (NRF)(National Research Foundation - South Africa); South African National Antarctic Program (SANAP); DST-NRF Center of Excellence for Invasion Biology</t>
  </si>
  <si>
    <t>The South African National Research Foundation (NRF) and the South African National Antarctic Program (SANAP; unique grant number 110726) are thanked for their financial and logistic support. PCLR was additionally supported by the DST-NRF Center of Excellence for Invasion Biology. We thank C. Hui, J. Lee and E. Phiri for thoughtful comment on earlier drafts of this manuscript.</t>
  </si>
  <si>
    <t>0032-079X</t>
  </si>
  <si>
    <t>1573-5036</t>
  </si>
  <si>
    <t>PLANT SOIL</t>
  </si>
  <si>
    <t>Plant Soil</t>
  </si>
  <si>
    <t>10.1007/s11104-020-04665-3</t>
  </si>
  <si>
    <t>Agronomy; Plant Sciences; Soil Science</t>
  </si>
  <si>
    <t>Agriculture; Plant Sciences</t>
  </si>
  <si>
    <t>NV8JR</t>
  </si>
  <si>
    <t>WOS:000563726100002</t>
  </si>
  <si>
    <t>Biersma, EM; Convey, P; Wyber, R; Robinson, SA; Dowton, M; van de Vijver, B; Linse, K; Griffiths, H; Jackson, JA</t>
  </si>
  <si>
    <t>Biersma, Elisabeth M.; Convey, Peter; Wyber, Rhys; Robinson, Sharon A.; Dowton, Mark; van de Vijver, Bart; Linse, Katrin; Griffiths, Howard; Jackson, Jennifer A.</t>
  </si>
  <si>
    <t>Latitudinal Biogeographic Structuring in the Globally Distributed MossCeratodon purpureus</t>
  </si>
  <si>
    <t>FRONTIERS IN PLANT SCIENCE</t>
  </si>
  <si>
    <t>phylogeography; model organism; moss; spore; wind; bryophyte; global; Antarctica</t>
  </si>
  <si>
    <t>LONG-DISTANCE DISPERSAL; CERATODON-PURPUREUS; PHYLOGENETIC ANALYSIS; UNIVERSAL PRIMERS; ANTARCTIC MOSS; CLIMATE-CHANGE; POPULATIONS; BRYOPHYTE; GROWTH; LIFE</t>
  </si>
  <si>
    <t>Biogeographic patterns of globally widespread species are expected to reflect regional structure, as well as connectivity caused by occasional long-distance dispersal. We assessed the level and drivers of population structure, connectivity, and timescales of population isolation in one of the most widespread and ruderal plants in the world - the common mossCeratodon purpureus. We applied phylogenetic, population genetic, and molecular dating analyses to a global (n = 147) sampling data set, using three chloroplast loci and one nuclear locus. The plastid data revealed several distinct and geographically structured lineages, with connectivity patterns associated with worldwide, latitudinal bands. These imply that connectivity is strongly influenced by global atmospheric circulation patterns, with dispersal and establishment beyond these latitudinal bands less common. Biogeographic patterns were less clear within the nuclear marker, with gene duplication likely hindering the detection of these. Divergence time analyses indicated that the current matrilineal population structure inC. purpureushas developed over the past six million years, with lineages diverging during the late Miocene, Pliocene, and Quaternary. Several colonization events in the Antarctic were apparent, as well as one old and distinct Antarctic clade, possibly isolated on the continent since the Pliocene. AsC. purpureusis considered a model organism, the matrilineal biogeographic structure identified here provides a useful framework for future genetic and developmental studies on bryophytes. Our general findings may also be relevant to understanding global environmental influences on the biogeography of other organisms with microscopic propagules (e.g., spores) dispersed by wind.</t>
  </si>
  <si>
    <t>[Biersma, Elisabeth M.; Convey, Peter; Linse, Katrin] British Antarctic Survey, Biodivers Evolut &amp; Adaptat Team, Cambridge, England; [Biersma, Elisabeth M.; Griffiths, Howard] Univ Cambridge, Dept Plant Sci, Cambridge, England; [Biersma, Elisabeth M.] Univ Copenhagen, Nat Hist Museum Denmark, Copenhagen, Denmark; [Wyber, Rhys; Robinson, Sharon A.] Univ Wollongong, Sch Earth Atmospher &amp; Life Sci, Wollongong, NSW, Australia; [Dowton, Mark] Univ Wollongong, Sch Chem &amp; Mol Biosci, Wollongong, NSW, Australia; [van de Vijver, Bart] Bot Garden Meise, Res Dept, Meise, Belgium; [van de Vijver, Bart] Univ Antwerp, Dept Biol, Ecosyst Management ECOBE, Antwerp, Belgium; [Jackson, Jennifer A.] British Antarctic Survey, Ecosyst Team, Cambridge, England</t>
  </si>
  <si>
    <t>UK Research &amp; Innovation (UKRI); Natural Environment Research Council (NERC); NERC British Antarctic Survey; University of Cambridge; University of Copenhagen; University of Wollongong; University of Wollongong; University of Antwerp; UK Research &amp; Innovation (UKRI); Natural Environment Research Council (NERC); NERC British Antarctic Survey</t>
  </si>
  <si>
    <t>Biersma, EM (corresponding author), British Antarctic Survey, Biodivers Evolut &amp; Adaptat Team, Cambridge, England.;Biersma, EM (corresponding author), Univ Cambridge, Dept Plant Sci, Cambridge, England.;Biersma, EM (corresponding author), Univ Copenhagen, Nat Hist Museum Denmark, Copenhagen, Denmark.</t>
  </si>
  <si>
    <t>elisabeth.biersma@snm.ku.dk</t>
  </si>
  <si>
    <t>Robinson, Sharon/B-2683-2008; Biersma, Elisabeth Machteld/JKI-1084-2023; Biersma, Elisabeth Machteld/AAL-9818-2020; Convey, Peter/AAV-5728-2020; Jackson, Jennifer A/E-7997-2013</t>
  </si>
  <si>
    <t>Robinson, Sharon/0000-0002-7130-9617; Biersma, Elisabeth Machteld/0000-0002-9877-2177; Convey, Peter/0000-0001-8497-9903; Jackson, Jennifer/0000-0003-4158-1924</t>
  </si>
  <si>
    <t>Natural Environment Research Council (NERC) [NE/K50094X/1]; NERC-CONICYT [NE/P003079/1]; Carlsberg Foundation [CF18-0267]; NERC; Australian Research Council (ARC) [DP180100113]; NERC [NE/M001946/1, NE/H014896/1, bas0100035, bas0100036, NE/K50094X/1] Funding Source: UKRI</t>
  </si>
  <si>
    <t>Natural Environment Research Council (NERC)(UK Research &amp; Innovation (UKRI)Natural Environment Research Council (NERC)); NERC-CONICYT; Carlsberg Foundation(Carlsberg Foundation); NERC(UK Research &amp; Innovation (UKRI)Natural Environment Research Council (NERC)); Australian Research Council (ARC)(Australian Research Council); NERC(UK Research &amp; Innovation (UKRI)Natural Environment Research Council (NERC))</t>
  </si>
  <si>
    <t>This study was funded by a Natural Environment Research Council (NERC) PhD studentship (ref NE/K50094X/1), NERC-CONICYT (NE/P003079/1) and Carlsberg Foundation (CF18-0267) to EB and NERC core funding to the BAS Biodiversity, Evolution, and Adaptation Team, and Australian Research Council (ARC) Discovery Project DP180100113 funding to SR and PC.</t>
  </si>
  <si>
    <t>1664-462X</t>
  </si>
  <si>
    <t>FRONT PLANT SCI</t>
  </si>
  <si>
    <t>Front. Plant Sci.</t>
  </si>
  <si>
    <t>AUG 28</t>
  </si>
  <si>
    <t>10.3389/fpls.2020.502359</t>
  </si>
  <si>
    <t>NQ0BR</t>
  </si>
  <si>
    <t>WOS:000570534500001</t>
  </si>
  <si>
    <t>Regayre, LA; Schmale, J; Johnson, JS; Tatzelt, C; Baccarini, A; Henning, S; Yoshioka, M; Stratmann, F; Gysel-Beer, M; Grosvenor, DP; Carslaw, KS</t>
  </si>
  <si>
    <t>Regayre, Leighton A.; Schmale, Julia; Johnson, Jill S.; Tatzelt, Christian; Baccarini, Andrea; Henning, Silvia; Yoshioka, Masaru; Stratmann, Frank; Gysel-Beer, Martin; Grosvenor, Daniel P.; Carslaw, Ken S.</t>
  </si>
  <si>
    <t>The value of remote marine aerosol measurements for constraining radiative forcing uncertainty</t>
  </si>
  <si>
    <t>SEA SPRAY; CLIMATE; MODEL; PARAMETERIZATION; FEEDBACKS</t>
  </si>
  <si>
    <t>Aerosol measurements over the Southern Ocean are used to constrain aerosol-cloud interaction radiative forcing (RFaci) uncertainty in a global climate model. Forcing uncertainty is quantified using 1 million climate model variants that sample the uncertainty in nearly 30 model parameters. Measurements of cloud condensation nuclei and other aerosol properties from an Antarctic circumnavigation expedition strongly constrain natural aerosol emissions: default sea spray emissions need to be increased by around a factor of 3 to be consistent with measurements. Forcing uncertainty is reduced by around 7 % using this set of several hundred measurements, which is comparable to the 8 % reduction achieved using a diverse and extensive set of over 9000 predominantly Northern Hemisphere measurements. When Southern Ocean and Northern Hemisphere measurements are combined, uncertainty in RFaci, is reduced by 21 %, and the strongest 20 % of forcing values are ruled out as implausible. In this combined constraint, observationally plausible RFaci is around 0.17 W m(-2) weaker (less negative) with 95 % credible values ranging from -2.51 to -1.17 W m(-2) (standard deviation of -2.18 to -1.46 W m(-2)). The Southern Ocean and Northern Hemisphere measurement datasets are complementary because they constrain different processes. These results highlight the value of remote marine aerosol measurements.</t>
  </si>
  <si>
    <t>[Regayre, Leighton A.; Johnson, Jill S.; Yoshioka, Masaru; Grosvenor, Daniel P.; Carslaw, Ken S.] Univ Leeds, Inst Climate &amp; Atmospher Sci, Sch Earth &amp; Environm, Leeds LS2 9JT, W Yorkshire, England; [Schmale, Julia; Baccarini, Andrea; Gysel-Beer, Martin] Paul Scherrer Inst, Lab Atmospher Chem, Villigen, Switzerland; [Schmale, Julia] Ecole Polytech Fed Lausanne, Lausanne, Switzerland; [Tatzelt, Christian; Henning, Silvia; Stratmann, Frank] Leibniz Inst Tropospher Res, Leipzig, Germany; [Grosvenor, Daniel P.] Natl Ctr Atmospher Sci, Leeds, W Yorkshire, England</t>
  </si>
  <si>
    <t>University of Leeds; Swiss Federal Institutes of Technology Domain; Paul Scherrer Institute; Swiss Federal Institutes of Technology Domain; Ecole Polytechnique Federale de Lausanne; Leibniz Institut fur Tropospharenforschung (TROPOS); UK Research &amp; Innovation (UKRI); Natural Environment Research Council (NERC); NERC National Centre for Atmospheric Science; University of Leeds</t>
  </si>
  <si>
    <t>Regayre, LA (corresponding author), Univ Leeds, Inst Climate &amp; Atmospher Sci, Sch Earth &amp; Environm, Leeds LS2 9JT, W Yorkshire, England.;Schmale, J (corresponding author), Paul Scherrer Inst, Lab Atmospher Chem, Villigen, Switzerland.;Schmale, J (corresponding author), Ecole Polytech Fed Lausanne, Lausanne, Switzerland.</t>
  </si>
  <si>
    <t>l.a.regayre@leeds.ac.uk; julia.schmale@psi.ch</t>
  </si>
  <si>
    <t>baccarini, andrea/R-7251-2018; Carslaw, Ken S/C-8514-2009; Schmale, Julia Yvonne/Q-3942-2019; Gysel-Beer, Martin/C-3843-2008; Henning, Silvia/C-1114-2014; Johnson, Jill/AAU-2740-2020</t>
  </si>
  <si>
    <t>baccarini, andrea/0000-0003-4614-247X; Carslaw, Ken S/0000-0002-6800-154X; Schmale, Julia Yvonne/0000-0002-1048-7962; Gysel-Beer, Martin/0000-0002-7453-1264; Henning, Silvia/0000-0001-9267-7825; Regayre, Leighton/0000-0003-2699-929X; Grosvenor, Daniel/0000-0002-4919-7751; Johnson, Jill/0000-0002-4587-6722</t>
  </si>
  <si>
    <t>Natural Environment Research Council AEROS; ACID-PRUF; GASSP; A-CURE [NE/J024252/1, NE/I020059/1, NE/P013406]; UK Hadley Centre Met Office CASE studentship; UK-China Research &amp; Innovation Partnership Fund through the Met Office Climate Science for Service Partnership (CSSP) China, Newton Fund [DN321511, CHN19/3]; European Union ACTRIS-2 project [262254]; National Centre for Atmospheric Science ACSIS programme [NE/N018001/1]; Swiss Federal Institute of Technology Lausanne (EPFL) (ACE) [7]; Swiss Polar Institute (ACE) [7]; Ferring Pharmaceuticals (ACE) [7]; European FP7 BACCHUS [49603445]; Swiss National Science Foundation [200021_169090]; Deutsche Forschungsgemeinschaft in the framework of the priority programme Antarctic Research with comparative investigations in Arctic ice areas [SPP 1158, STR 453/12-1]; ARCHER UK National Supercomputing Service [n02-NEJ024252, n02-FREEPPE, n02-CCPPE]; NERC [NE/I020059/1, NE/J024252/1] Funding Source: UKRI</t>
  </si>
  <si>
    <t>Natural Environment Research Council AEROS; ACID-PRUF; GASSP; A-CURE; UK Hadley Centre Met Office CASE studentship; UK-China Research &amp; Innovation Partnership Fund through the Met Office Climate Science for Service Partnership (CSSP) China, Newton Fund; European Union ACTRIS-2 project; National Centre for Atmospheric Science ACSIS programme; Swiss Federal Institute of Technology Lausanne (EPFL) (ACE); Swiss Polar Institute (ACE); Ferring Pharmaceuticals (ACE)(Ferring Pharmaceuticals); European FP7 BACCHUS; Swiss National Science Foundation(Swiss National Science Foundation (SNSF)); Deutsche Forschungsgemeinschaft in the framework of the priority programme Antarctic Research with comparative investigations in Arctic ice areas; ARCHER UK National Supercomputing Service; NERC(UK Research &amp; Innovation (UKRI)Natural Environment Research Council (NERC))</t>
  </si>
  <si>
    <t>This research has been supported by the Natural Environment Research Council AEROS, ACID-PRUF, GASSP and A-CURE projects (grant nos. NE/J024252/1, NE/I020059/1, and NE/P013406 and a doctoral training grant), a UK Hadley Centre Met Office CASE studentship, the UK-China Research&amp; Innovation Partnership Fund through the Met Office Climate Science for Service Partnership (CSSP) China as part of the Newton Fund (grant nos. DN321511 and CHN19/3), the European Union ACTRIS-2 project (grant no. 262254), the National Centre for Atmospheric Science ACSIS programme (grant no. NE/N018001/1), the Swiss Federal Institute of Technology Lausanne (EPFL) (ACE project no. 7), the Swiss Polar Institute (ACE project no. 7), Ferring Pharmaceuticals (ACE project no. 7), European FP7 BACCHUS (grant no. 49603445), the Swiss National Science Foundation Grant (grant no. 200021_169090), and the Deutsche Forschungsgemeinschaft in the framework of the priority programme Antarctic Research with comparative investigations in Arctic ice areas SPP 1158 (grant no. STR 453/12-1). This work used the ARCHER UK National Supercomputing Service (http://www.archer.ac.uk, last access: August 2020) (project allocations n02-chem, n02-NEJ024252, n02-FREEPPE and the Leadership Project allocation n02-CCPPE).</t>
  </si>
  <si>
    <t>10.5194/acp-20-10063-2020</t>
  </si>
  <si>
    <t>NK4US</t>
  </si>
  <si>
    <t>WOS:000566727600002</t>
  </si>
  <si>
    <t>Brasier, MJ; McCormack, S; Bax, N; Caccavo, JA; Cavan, E; Ericson, JA; Figuerola, B; Hancock, A; Halfter, S; Hellessey, N; Höfer, J; Puskic, PS; de Oliveira, CS; Subramaniam, RC; Wallis, J; Weldrick, CK</t>
  </si>
  <si>
    <t>Brasier, Madeleine J.; McCormack, Stacey; Bax, Narissa; Caccavo, Jilda A.; Cavan, Emma; Ericson, Jessica A.; Figuerola, Blanca; Hancock, Alyce; Halfter, Svenja; Hellessey, Nicole; Hofer, Juan; Puskic, Peter S.; de Oliveira, Cesar Soares; Subramaniam, Roshni C.; Wallis, Jake; Weldrick, Christine K.</t>
  </si>
  <si>
    <t>Overcoming the Obstacles Faced by Early Career Researchers in Marine Science: Lessons From the Marine Ecosystem Assessment for the Southern Ocean</t>
  </si>
  <si>
    <t>ECR; mentorship; diversity and inclusion; polar science; interdisciplinarity</t>
  </si>
  <si>
    <t>SCIENTISTS; FACULTY; SUPPORT; WORK</t>
  </si>
  <si>
    <t>Pressure in academia and science is rapidly increasing and early career researchers (ECRs) have a lot to gain from being involved in research initiatives such as large international projects. But just how inclusive are they? Here we discuss experiences of ECRs directly involved in the Marine Ecosystem Assessment for the Southern Ocean (MEASO), an Australian led international research project to assess the status and trends of Southern Ocean ecosystems. We review the benefits of ECR involvement in largescale initiatives to the project deliverables, the leadership team and ECRs themselves. Using insights from MEASO, we outline the obstacles that may become barriers to ECRs in scientific research in general but with a focus on large-scale research projects and suggest potential actions to overcome these at the individual, institutional and scientific community level. We consider the potential for ECRs to lead future Antarctic science programmes with a focus on science communication and applied research for policy makers within a global setting.</t>
  </si>
  <si>
    <t>[Brasier, Madeleine J.; McCormack, Stacey; Hancock, Alyce; Halfter, Svenja; Puskic, Peter S.; Subramaniam, Roshni C.; Wallis, Jake] Univ Tasmania, Inst Marine &amp; Antarctic Studies, Hobart, Tas, Australia; [Bax, Narissa; Puskic, Peter S.] Univ Tasmania, Ctr Marine Socioecol, Inst Marine &amp; Antarctic Studies, Hobart, Tas, Australia; [Caccavo, Jilda A.] Helmholtz Ctr Polar &amp; Marine, Alfred Wegener Inst, Bremerhaven, Germany; [Caccavo, Jilda A.] Berlin Ctr Genom Biodivers Res, Berlin, Germany; [Caccavo, Jilda A.] Leibniz Inst Zoo &amp; Wildlife Res, Dept Evolutionary Genet, Berlin, Germany; [Cavan, Emma] Imperial Coll London, Dept Life Sci, Silwood Pk, Ascot, Berks, England; [Ericson, Jessica A.] Cawthron Inst, Nelson, New Zealand; [Figuerola, Blanca] Inst Marine Sci ICM CSIC, Barcelona, Spain; [Hellessey, Nicole] Georgia Inst Technol, Sch Biol Sci, Atlanta, GA USA; [Hofer, Juan] Pontifical Catholic Univ Valparaiso, Sch Ocean Sci, Valparaiso, Chile; [Hofer, Juan] Res Ctr Dynam High Latitude Marine Ecosyst IDEAL, Valdivia, Chile; [de Oliveira, Cesar Soares] Univ Eastern Finland, UEF Law Sch, Joensuu, Finland; [Weldrick, Christine K.] Univ Tasmania, Inst Marine &amp; Antarctic Studies, Australian Antarctic Program Partnership, Hobart, Tas, Australia</t>
  </si>
  <si>
    <t>University of Tasmania; University of Tasmania; Helmholtz Association; Alfred Wegener Institute, Helmholtz Centre for Polar &amp; Marine Research; Leibniz Institut fur Zoo und Wildtierforschung; Imperial College London; Cawthron Institute; Consejo Superior de Investigaciones Cientificas (CSIC); CSIC - Centro Mediterraneo de Investigaciones Marinas y Ambientales (CMIMA); CSIC - Instituto de Ciencias del Mar (ICM); University System of Georgia; Georgia Institute of Technology; Pontificia Universidad Catolica de Valparaiso; University of Eastern Finland; University of Tasmania</t>
  </si>
  <si>
    <t>Brasier, MJ (corresponding author), Univ Tasmania, Inst Marine &amp; Antarctic Studies, Hobart, Tas, Australia.</t>
  </si>
  <si>
    <t>madeleine.brasier@utas.edu.au</t>
  </si>
  <si>
    <t>Caccavo, Jilda Alicia/GWN-1019-2022; Weldrick, Christine/N-2617-2017; Halfter, Svenja/AGW-5810-2022; Puskic, Peter/AAT-9362-2020; Cavan, Emma/AFY-2671-2022; Ericson, Jessica/AAP-1976-2020; Puskic, Peter S/AAD-7887-2022; Figuerola, Blanca/C-6252-2015; Hellessey, Nicole/B-1695-2016; Subramaniam, Roshni/ADZ-6878-2022</t>
  </si>
  <si>
    <t>Caccavo, Jilda Alicia/0000-0002-8172-7855; Weldrick, Christine/0000-0003-1099-438X; Halfter, Svenja/0000-0002-0480-0350; Ericson, Jessica/0000-0001-5220-8493; Puskic, Peter S/0000-0003-1352-8843; Figuerola, Blanca/0000-0003-4731-9337; Hellessey, Nicole/0000-0002-3053-8720; Hofer, Juan/0000-0002-5887-4929; Soares de Oliveira, Cesar/0000-0001-9173-8630; Brasier, Madeleine/0000-0003-2844-655X; Bax, Narissa/0000-0002-4338-1080</t>
  </si>
  <si>
    <t>Antarctic Climate &amp; Ecosystems Cooperative Research Centre; PEW Charitable Trusts; Alexander von Humboldt Foundation; Juan de la Cierva-Incorporacion of Ministerio de Ciencia, Innovacion y Universidades [IJCI-2017-31478]; NSF [1840927]; FONDECYT [POSTDOCTORADO 3180152]; CONICYT [FONDAP-IDEAL 15150003]; United Kingdom Natural Environment Research Council [NE/S000348/1]; IMAS; University of Tasmania (UTAS) Tasmanian Graduate Research Scholarship; Australian Research Council [FL160100131]; NERC [NE/S000348/1] Funding Source: UKRI</t>
  </si>
  <si>
    <t>Antarctic Climate &amp; Ecosystems Cooperative Research Centre(Australian GovernmentDepartment of Industry, Innovation and ScienceCooperative Research Centres (CRC) Programme); PEW Charitable Trusts; Alexander von Humboldt Foundation(Alexander von Humboldt Foundation); Juan de la Cierva-Incorporacion of Ministerio de Ciencia, Innovacion y Universidades; NSF(National Science Foundation (NSF)); FONDECYT(Comision Nacional de Investigacion Cientifica y Tecnologica (CONICYT)CONICYT FONDECYT); CONICYT(Comision Nacional de Investigacion Cientifica y Tecnologica (CONICYT)); United Kingdom Natural Environment Research Council(UK Research &amp; Innovation (UKRI)Natural Environment Research Council (NERC)); IMAS; University of Tasmania (UTAS) Tasmanian Graduate Research Scholarship; Australian Research Council(Australian Research Council); NERC(UK Research &amp; Innovation (UKRI)Natural Environment Research Council (NERC))</t>
  </si>
  <si>
    <t>MB, CW, and SM were supported by the Antarctic Climate &amp; Ecosystems Cooperative Research Centre and PEW Charitable Trusts. JC acknowledged the support from the Alexander von Humboldt Foundation in the form of a Humboldt Research Fellowship for Postdoctoral Researchers. BF was supported by a postdoctoral contract Juan de la Cierva-Incorporacion (IJCI-2017-31478) of Ministerio de Ciencia, Innovacion y Universidades. NH was funded by the NSF grant (Award #: 1840927) under a postdoctoral contract at Georgia Institute of Technology, United States. JH was funded through FONDECYT (POSTDOCTORADO 3180152) and CONICYT (FONDAP-IDEAL 15150003). EC was supported by the United Kingdom Natural Environment Research Council research programme grant NE/S000348/1. RS and PP were supported by the IMAS and University of Tasmania (UTAS) Tasmanian Graduate Research Scholarship. SH was supported by the Australian Research Council through a Laureate awarded to Philip Wallace Boyd, IMAS, UTAS, Australia (FL160100131).</t>
  </si>
  <si>
    <t>10.3389/fmars.2020.00692</t>
  </si>
  <si>
    <t>NK2EO</t>
  </si>
  <si>
    <t>WOS:000566550400001</t>
  </si>
  <si>
    <t>Hahn, LC; Armour, KC; Battisti, DS; Donohoe, A; Pauling, AG; Bitz, CM</t>
  </si>
  <si>
    <t>Hahn, L. C.; Armour, K. C.; Battisti, D. S.; Donohoe, A.; Pauling, A. G.; Bitz, C. M.</t>
  </si>
  <si>
    <t>Antarctic Elevation Drives Hemispheric Asymmetry in Polar Lapse Rate Climatology and Feedback</t>
  </si>
  <si>
    <t>polar amplification; climate change; Antarctica; lapse rate feedback</t>
  </si>
  <si>
    <t>TEMPERATURE FEEDBACKS; HEAT-TRANSPORT; SYSTEM MODEL; AMPLIFICATION; EQUILIBRIUM; SENSITIVITY</t>
  </si>
  <si>
    <t>The lapse rate feedback is the dominant driver of stronger warming in the Arctic than the Antarctic in simulations with increased CO2. While Antarctic surface elevation has been implicated in promoting a weaker Antarctic lapse rate feedback, the mechanisms in which elevation impacts the lapse rate feedback are still unclear. Here we suggest that weaker Antarctic warming under CO(2)forcing stems from shallower, less intense climatological inversions due to limited atmospheric heat transport above the ice sheet elevation and elevation-induced katabatic winds. In slab ocean model experiments with flattened Antarctic topography, stronger climatological inversions support a stronger lapse rate feedback and annual mean Antarctic warming comparable to the Arctic under CO(2)doubling. Unlike the Arctic, seasonality in warming over flat Antarctica is mainly driven by a negative shortwave cloud feedback, which exclusively dampens summer warming, with a smaller contribution from the winter-enhanced lapse rate feedback.</t>
  </si>
  <si>
    <t>[Hahn, L. C.; Armour, K. C.; Battisti, D. S.; Pauling, A. G.; Bitz, C. M.] Univ Washington, Dept Atmospher Sci, Seattle, WA 98195 USA; [Armour, K. C.] Univ Washington, Sch Oceanog, Seattle, WA 98195 USA; [Donohoe, A.] Univ Washington, Polar Sci Ctr, Appl Phys Lab, Seattle, WA 98105 USA</t>
  </si>
  <si>
    <t>University of Washington; University of Washington Seattle; University of Washington; University of Washington Seattle; University of Washington; University of Washington Seattle</t>
  </si>
  <si>
    <t>Hahn, LC (corresponding author), Univ Washington, Dept Atmospher Sci, Seattle, WA 98195 USA.</t>
  </si>
  <si>
    <t>lchahn@uw.edu</t>
  </si>
  <si>
    <t>Battisti, David S/A-3340-2013; Bitz, Cecilia M/S-8423-2016</t>
  </si>
  <si>
    <t>Pauling, Andrew/0000-0003-4545-0809; Hahn, Lily/0000-0002-0573-5183; Bitz, Cecilia/0000-0002-9477-7499</t>
  </si>
  <si>
    <t>National Science Foundation (NSF) [DGE-1762114]; NSF [AGS-1752796, OCE-1850900]; NSF Antarctic Program [PLR 1643436, OPP-1602435]</t>
  </si>
  <si>
    <t>National Science Foundation (NSF)(National Science Foundation (NSF)); NSF(National Science Foundation (NSF)); NSF Antarctic Program</t>
  </si>
  <si>
    <t>L. C. H. was supported by the National Science Foundation (NSF) Graduate Research Fellowship Grant DGE-1762114. K. C. A. was supported by NSF Awards AGS-1752796 and OCE-1850900. A. D. was supported by the NSF Antarctic Program Grant PLR 1643436. C. M. B. and A. S. P. were supported by the NSF Antarctic Program Grant OPP-1602435. We acknowledge high-performance computing support from Cheyenne (doi:10.5065/D6RX99HX) provided by NCAR's Computational and Information Systems Laboratory (2019), sponsored by the NSF.</t>
  </si>
  <si>
    <t>e2020GL088965</t>
  </si>
  <si>
    <t>10.1029/2020GL088965</t>
  </si>
  <si>
    <t>NJ7TJ</t>
  </si>
  <si>
    <t>WOS:000566245300064</t>
  </si>
  <si>
    <t>Katlein, C; Mohrholz, V; Sheikin, I; Itkin, P; Divine, DV; Stroeve, J; Jutila, A; Krampe, D; Shimanchuk, E; Raphael, I; Rabe, B; Kuznetov, I; Mallet, M; Liu, HL; Hoppmann, M; Dumitrascu, A; Arndt, S; Anhaus, P; Nicolaus, M; Matero, I; Oggier, M; Eicken, H; Haas, C</t>
  </si>
  <si>
    <t>Katlein, Christian; Mohrholz, Volker; Sheikin, Igor; Itkin, Polona; Divine, Dmitry, V; Stroeve, Julienne; Jutila, Arttu; Krampe, Daniela; Shimanchuk, Egor; Raphael, Ian; Rabe, Benjamin; Kuznetov, Ivan; Mallet, Maria; Liu, Hailong; Hoppmann, Mario; Dumitrascu, Adela; Arndt, Stefanie; Anhaus, Philipp; Nicolaus, Marcel; Matero, Ilkka; Oggier, Marc; Eicken, Hajo; Haas, Christian</t>
  </si>
  <si>
    <t>Platelet Ice Under Arctic Pack Ice in Winter</t>
  </si>
  <si>
    <t>sea ice; Central Arctic; ROV; supercooled water; platelet ice</t>
  </si>
  <si>
    <t>ANTARCTIC SEA-ICE; MCMURDO SOUND; WEDDELL SEA; MELT PONDS; LAYER; SHELF</t>
  </si>
  <si>
    <t>The formation of platelet ice is well known to occur under Antarctic sea ice, where subice platelet layers form from supercooled ice shelf water. In the Arctic, however, platelet ice formation has not been extensively observed, and its formation and morphology currently remain enigmatic. Here, we present the first comprehensive, long-term in situ observations of a decimeter thick subice platelet layer under free-drifting pack ice of the Central Arctic in winter. Observations carried out with a remotely operated underwater vehicle (ROV) during the midwinter leg of the MOSAiC drift expedition provide clear evidence of the growth of platelet ice layers from supercooled water present in the ocean mixed layer. This platelet formation takes place under all ice types present during the surveys. Oceanographic data from autonomous observing platforms lead us to the conclusion that platelet ice formation is a widespread but yet overlooked feature of Arctic winter sea ice growth.</t>
  </si>
  <si>
    <t>[Katlein, Christian; Jutila, Arttu; Krampe, Daniela; Rabe, Benjamin; Kuznetov, Ivan; Mallet, Maria; Hoppmann, Mario; Dumitrascu, Adela; Anhaus, Philipp; Nicolaus, Marcel; Matero, Ilkka; Haas, Christian] Helmholtz Zentrum Polar &amp; Meeresforsch, Alfred Wegener Inst, Bremerhaven, Germany; [Mohrholz, Volker] Leibniz Inst Baltic Sea Res, Rostock, Germany; [Sheikin, Igor; Shimanchuk, Egor] Arctic &amp; Antarctic Res Inst, St Petersburg, Russia; [Itkin, Polona] UiT Univ Tromso, Tromso, Norway; [Divine, Dmitry, V] Norwegian Polar Res Inst, Tromso, Norway; [Stroeve, Julienne] UCL, London, England; [Stroeve, Julienne] Univ Manitoba, Ctr Earth Observat Sci, Dept Environm &amp; Geog, Winnipeg, MB, Canada; [Raphael, Ian] Dartmouth Coll, Thayer Sch Engn, Hanover, NH 03755 USA; [Liu, Hailong] Shanghai Jiao Tong Univ, Shanghai, Peoples R China; [Arndt, Stefanie] Univ Gothenburg, Gothenburg, Sweden; [Oggier, Marc; Eicken, Hajo] Univ Alaska Fairbanks, Int Arctic Res Ctr, Fairbanks, AK USA</t>
  </si>
  <si>
    <t>Helmholtz Association; Alfred Wegener Institute, Helmholtz Centre for Polar &amp; Marine Research; Leibniz Institut fur Ostseeforschung Warnemunde; Arctic &amp; Antarctic Research Institute; UiT The Arctic University of Tromso; Norwegian Polar Institute; University of London; University College London; University of Manitoba; Dartmouth College; Shanghai Jiao Tong University; University of Gothenburg; University of Alaska System; University of Alaska Fairbanks</t>
  </si>
  <si>
    <t>Katlein, C (corresponding author), Helmholtz Zentrum Polar &amp; Meeresforsch, Alfred Wegener Inst, Bremerhaven, Germany.</t>
  </si>
  <si>
    <t>ckatlein@awi.de</t>
  </si>
  <si>
    <t>Arndt, Stefanie/AAA-6178-2021; Hoppmann, Mario/KFB-0363-2024; Krampe, Daniela/GXR-6757-2022; Mohrholz, Volker/JNS-8418-2023; Stroeve, Julienne/ABE-7227-2020; Rabe, Benjamin/G-2999-2011; Kuznetsov, Ivan/ABC-6870-2020; Nicolaus, Marcel/A-3658-2013; Liu, Hailong/I-3869-2013</t>
  </si>
  <si>
    <t>Arndt, Stefanie/0000-0001-9782-3844; Hoppmann, Mario/0000-0003-1294-9531; Mohrholz, Volker/0000-0003-0778-9182; Rabe, Benjamin/0000-0001-5794-9856; Kuznetsov, Ivan/0000-0001-5910-8081; Nicolaus, Marcel/0000-0003-0903-1746; Katlein, Christian/0000-0003-2422-0414; Raphael, Ian/0000-0003-2557-7327; Oggier, Marc/0000-0003-4679-1103; Liu, Hailong/0000-0001-8335-7272; Jutila, Arttu/0000-0001-6115-1687; Anhaus, Philipp/0000-0002-0671-8545; Stroeve, Julienne/0000-0001-7316-8320</t>
  </si>
  <si>
    <t>RV Akademik Fedorov [AWI_PS122_00]; Research Council of Norway project HAVOC [280292]; EU ARICE program (EU) [730965]; Diatom ARCTIC project (BMBF) part of the Changing Arctic Ocean Programme [03F0810A]; UKRI Natural Environment Research Council (NERC); German Research Council (DFG) [SPP1158]; German Federal Ministry of Education and Research (BMBF); Alfred-Wegener-Institut Helmholtz-Zentrum fur Polar- und Meeresforschung; Helmholtz Research program PACES II; Helmholtz Infrastructure Initiative Frontiers in Arctic Marine Monitoring (FRAM); NERC [cpom30001] Funding Source: UKRI</t>
  </si>
  <si>
    <t>RV Akademik Fedorov; Research Council of Norway project HAVOC; EU ARICE program (EU)(European Union (EU)); Diatom ARCTIC project (BMBF) part of the Changing Arctic Ocean Programme(Federal Ministry of Education &amp; Research (BMBF)); UKRI Natural Environment Research Council (NERC); German Research Council (DFG)(German Research Foundation (DFG)); German Federal Ministry of Education and Research (BMBF)(Federal Ministry of Education &amp; Research (BMBF)); Alfred-Wegener-Institut Helmholtz-Zentrum fur Polar- und Meeresforschung; Helmholtz Research program PACES II; Helmholtz Infrastructure Initiative Frontiers in Arctic Marine Monitoring (FRAM); NERC(UK Research &amp; Innovation (UKRI)Natural Environment Research Council (NERC))</t>
  </si>
  <si>
    <t>We are thankful to all members of the MOSAiC collaboration who made this unique expedition possible. We want to thank all people enabling the MOSAiC ROV and buoy programs at AWI, in particular Julia Regnery, Kathrin Riemann-Campe, Martin Schiller, Anja Nicolaus, and Dirk Kalmbach. Furthermore, we thank Johannes Lemburg from the AWI workshop and Hauke Flores for providing the ROVnet. We also thank the captain, crew, and chief scientists of RV Polarstern and support icebreakers IB Kapitan Dranitsyn and RV Akademik Fedorov for their support (Project ID: AWI_PS122_00). The participation of Dmitry V. Divine in the MOSAiC expedition was supported by Research Council of Norway project HAVOC (No. 280292) and project DEARice supported by EU ARICE program (EU Grant Agreement No. 730965). Participation of Ilkka Matero was supported by the Diatom ARCTIC project (BMBF Grant 03F0810A), part of the Changing Arctic Ocean Programme, jointly funded by the UKRI Natural Environment Research Council (NERC) and the German Federal Ministry of Education and Research (BMBF). Stefanie Arndt was funded by the German Research Council (DFG) in the framework of the priority program Antarctic Research with comparative investigations in Arctic ice areas by grant to SPP1158. We thank one anonymous reviewer and Pat Langhorne for improving this manuscript during the peer-review process. This study was funded by the Alfred-Wegener-Institut Helmholtz-Zentrum fur Polar- und Meeresforschung and the Helmholtz Research program PACES II. Operation and development of the ROV were supported by the Helmholtz Infrastructure Initiative Frontiers in Arctic Marine Monitoring (FRAM).</t>
  </si>
  <si>
    <t>e2020GL088898</t>
  </si>
  <si>
    <t>10.1029/2020GL088898</t>
  </si>
  <si>
    <t>hybrid, Green Submitted, Green Published</t>
  </si>
  <si>
    <t>WOS:000566245300088</t>
  </si>
  <si>
    <t>Câmara, PEAS; Carvalho-Silva, M; Pinto, OHB; Amorim, ET; Henriques, DK; da Silva, TH; Pellizzari, F; Convey, P; Rosa, LH</t>
  </si>
  <si>
    <t>Aguiar Saraiva Camara, Paulo Eduardo; Carvalho-Silva, Micheline; Pinto, Otavio H. B.; Amorim, Eduardo T.; Henriques, Diego Knop; da Silva, Thamar Holanda; Pellizzari, Franciane; Convey, Peter; Rosa, Luiz Henrique</t>
  </si>
  <si>
    <t>Diversity and Ecology of Chlorophyta (Viridiplantae) Assemblages in Protected and Non-protected Sites in Deception Island (Antarctica, South Shetland Islands) Assessed Using an NGS Approach</t>
  </si>
  <si>
    <t>Antarctica; Green algae; High-throughput sequencing; South Shetland Islands</t>
  </si>
  <si>
    <t>ALGAL COMMUNITIES; SANDWICH ISLANDS; CIERVA POINT; SOIL; PLANT; DATABASE</t>
  </si>
  <si>
    <t>Assessment of the diversity of algal assemblages in Antarctica has until now largely relied on traditional microbiological culture approaches. Here we used DNA metabarcoding through high-throughput sequencing (HTS) to assess the uncultured algal diversity at two sites on Deception Island, Antarctica. The first was a relatively undisturbed site within an Antarctic Specially Protected Area (ASPA 140), and the second was a site heavily impacted by human visitation, the Whalers Bay historic site. We detected 65 distinct algal taxa, 50 from within ASPA 140 and 61 from Whalers Bay. Of these taxa, 46 were common to both sites, and 19 only occurred at one site. Algal richness was about six times greater than reported in previous studies using culture methods. A high proportion of DNA reads obtained was assigned to the highly invasive speciesCaulerpa webbianaat Whalers Bay, and the potentially pathogenic genusDesmodesmuswas found at both sites. Our data demonstrate that important differences exist between these two protected and human-impacted sites on Deception Island in terms of algal diversity, richness, and abundance. The South Shetland Islands have experienced considerable effects of climate change in recent decades, while warming through geothermal activity on Deception Island itself makes this island one of the most vulnerable to colonization by non-native species. The detection of DNA of non-native taxa highlights concerns about how human impacts, which take place primarily through tourism and national research operations, may influence future biological colonization processes in Antarctica.</t>
  </si>
  <si>
    <t>[Aguiar Saraiva Camara, Paulo Eduardo; Carvalho-Silva, Micheline; Amorim, Eduardo T.; Henriques, Diego Knop] Univ Brasilia UnB, Dept Bot, Brasilia, DF, Brazil; [Pinto, Otavio H. B.] Univ Brasilia UnB, Dept Biol Celular &amp; Mol, Brasilia, DF, Brazil; [Amorim, Eduardo T.] Inst Pesquisas Jardim Bot Rio de Janeiro CNCFlora, Ctr Nacl Conservacao Flora, Rio De Janeiro, Brazil; [da Silva, Thamar Holanda; Rosa, Luiz Henrique] Univ Fed Minas Gerais UFMG, Dept Microbiol, Belo Horizonte, MG, Brazil; [Pellizzari, Franciane] Univ Estadual Parana, Dept Ciencias Biol, Paranagua, Brazil; [Convey, Peter] British Antarctic Survey, NERC, Madingley Rd, Cambridge CB3 0ET, England</t>
  </si>
  <si>
    <t>Universidade de Brasilia; Universidade de Brasilia; Universidade Federal de Minas Gerais; UK Research &amp; Innovation (UKRI); Natural Environment Research Council (NERC); NERC British Antarctic Survey</t>
  </si>
  <si>
    <t>Câmara, PEAS (corresponding author), Univ Brasilia UnB, Dept Bot, Brasilia, DF, Brazil.</t>
  </si>
  <si>
    <t>Convey, Peter/AAV-5728-2020; Pellizzari, Franciane M./JLL-6907-2023; Camara, Paulo/GPP-2054-2022</t>
  </si>
  <si>
    <t>Convey, Peter/0000-0001-8497-9903; Camara, Paulo/0000-0002-3944-996X; Pellizzari, Franciane/0000-0003-1877-2570; Henriques, Diego Knop/0000-0003-2839-8877; Amorim, Eduardo/0000-0003-4253-1339; Pinto, Otavio/0000-0002-8382-2987; Holanda da Silva, Thamar/0000-0002-2858-3354; Silva, Micheline/0000-0002-2389-3804</t>
  </si>
  <si>
    <t>PROANTAR; University of Brasilia Funds; Brazilian Congresswoman Jo Moraes parliament fund; NERC [bas0100036] Funding Source: UKRI</t>
  </si>
  <si>
    <t>PROANTAR; University of Brasilia Funds; Brazilian Congresswoman Jo Moraes parliament fund; NERC(UK Research &amp; Innovation (UKRI)Natural Environment Research Council (NERC))</t>
  </si>
  <si>
    <t>The research was funded by the PROANTAR, University of Brasilia Funds, and Brazilian Congresswoman Jo Moraes parliament fund.</t>
  </si>
  <si>
    <t>10.1007/s00248-020-01584-9</t>
  </si>
  <si>
    <t>WOS:000563605000001</t>
  </si>
  <si>
    <t>Thompson, AF; Speer, KG; Chretien, LMS</t>
  </si>
  <si>
    <t>Thompson, Andrew F.; Speer, Kevin G.; Chretien, Lena M. Schulze</t>
  </si>
  <si>
    <t>Genesis of the Antarctic Slope Current in West Antarctica</t>
  </si>
  <si>
    <t>Antarctic Slope Current; Circumpolar Deep Water; front; circulation; melt; shelf</t>
  </si>
  <si>
    <t>ICE-SHELF MELT; BELLINGSHAUSEN SEA; AMUNDSEN; VARIABILITY; CIRCULATION; TRANSPORT; GLACIER; WATER; EDDY; TOPOGRAPHY</t>
  </si>
  <si>
    <t>The stability of the West Antarctic Ice Sheet (WAIS) depends on ocean heat transport toward its base and remains a source of uncertainty in sea level rise prediction. The Antarctic Slope Current (ASC), a major boundary current of the ocean's global circulation, serves as a dynamic gateway for heat transport toward Antarctica. Here, we use observations collected from the Bellingshausen Sea to propose a mechanistic explanation for the initiation of the westward-flowing ASC. Waters modified throughout the Bellingshausen Sea by ocean-sea-ice and ocean-ice-shelf interactions are exported to the continental slope in a narrow, topographically steered western boundary current. This focused outflow produces a localized front at the shelf break that supports the emerging ASC. This mechanism emphasizes the importance of buoyancy forcing, integrated over the continental shelf, as opposed to local wind forcing, in the generation mechanism and suggests the potential for remote control of melt rates of WAIS' largest ice shelves.</t>
  </si>
  <si>
    <t>[Thompson, Andrew F.] CALTECH, Environm Sci &amp; Engn, Pasadena, CA 91125 USA; [Speer, Kevin G.] Florida State Univ, Geophys Fluid Dynam Inst, Tallahassee, FL USA; [Speer, Kevin G.] Florida State Univ, Dept Earth Ocean &amp; Atmospher Sci, Tallahassee, FL USA; [Chretien, Lena M. Schulze] Jacksonville Univ, Marine Sci Res Inst, Jacksonville, FL USA</t>
  </si>
  <si>
    <t>California Institute of Technology; State University System of Florida; Florida State University; State University System of Florida; Florida State University; Jacksonville University</t>
  </si>
  <si>
    <t>Thompson, AF (corresponding author), CALTECH, Environm Sci &amp; Engn, Pasadena, CA 91125 USA.</t>
  </si>
  <si>
    <t>andrewt@caltech.edu</t>
  </si>
  <si>
    <t>Packard Foundation [OPP-1644172]; [OPP-1643679]; [OCE-1658479]</t>
  </si>
  <si>
    <t>Packard Foundation(The David &amp; Lucile Packard Foundation); ;</t>
  </si>
  <si>
    <t>We acknowledge essential contributions from the captain and crew of the R/V Nathaniel B. Palmer as well as the Antarctic Support Contract staff during NBP19-01. We thank A. Jenkins and D. Shoosmith for sharing data from the JR165 cruise. Funding for AFT was provided by OPP-1644172 and the Packard Foundation. Funding for KS was provided by NSF OPP-1643679 and OCE-1658479.</t>
  </si>
  <si>
    <t>e2020GL087802</t>
  </si>
  <si>
    <t>10.1029/2020GL087802</t>
  </si>
  <si>
    <t>WOS:000566245300023</t>
  </si>
  <si>
    <t>Morkore, T; Moreno, HM; Borderías, J; Larsson, T; Hellberg, H; Haden, B; Romarheim, OH; Ruyter, B; Lazado, CC; Jiménez-Guerrero, R; Bjerke, MT; Benitez-Santana, T; Krasnov, A</t>
  </si>
  <si>
    <t>Morkore, Turid; Moreno, Helena M.; Borderias, Javier; Larsson, Thomas; Hellberg, Hege; Haden, Bjame; Romarheim, Odd Helge; Ruyter, Bente; Lazado, Carlo C.; Jimenez-Guerrero, Raul; Bjerke, Malfrid T.; Benitez-Santana, Tibiabin; Krasnov, Aleksei</t>
  </si>
  <si>
    <t>Dietary inclusion of Antarctic krill meal during the finishing feed period improves health and fillet quality of Atlantic salmon (Salmo salarL.)</t>
  </si>
  <si>
    <t>BRITISH JOURNAL OF NUTRITION</t>
  </si>
  <si>
    <t>Aquafeeds; Krill; Health; Metabolism; Connective tissue</t>
  </si>
  <si>
    <t>EUPHAUSIA-SUPERBA; GROWTH-PERFORMANCE; PRODUCT QUALITY; BLOOD-CHEMISTRY; FAT-CONTENT; FISH-MEAL; TEXTURE; PROTEIN; RAW; L.</t>
  </si>
  <si>
    <t>There is an urgent need to find alternative feed resources that can further substitute fishmeal in Atlantic salmon diets without compromising health and food quality, in particular during the finishing feeding period when the feed demand is highest and flesh quality effects are most significant. This study investigates efficacy of substituting a isoprotein (35 %) and isolipid (35 %) low fishmeal diet (FM, 15 %) with Antarctic krill meal (KM, 12 %) during 3 months with growing finishing 2 center dot 3 kg salmon (quadruplicate sea cages/diet). Final body weight (3 center dot 9 (se0 center dot 04) kg) was similar in the dietary groups, but the KM group had more voluminous body shape, leaner hearts and improved fillet integrity, firmness and colour. Ectopic epithelial cells and focal Ca deposits in intestine were only detected in the FM group. Transcriptome profiling by microarray of livers showed dietary effects on several immune genes, and a panel of structural genes were up-regulated in the KM group, including cadherin and connexin. Up-regulation of genes encoding myosin heavy chain proteins was the main finding in skeletal muscle. Morphology examination by scanning electron microscopy and secondary structure by Fourier transform IR spectroscopy revealed more ordered and stable collagen architecture of the KM group. NEFA composition of skeletal muscle indicated altered metabolism ofn-3,n-6 and SFA of the KM group. The results demonstrated that improved health and meat quality in Atlantic salmon fed krill meal were associated with up-regulation of immune genes, proteins defining muscle properties and genes involved in cell contacts and adhesion, altered fatty acid metabolism and fat deposition, and improved gut health and collagen structure.</t>
  </si>
  <si>
    <t>[Morkore, Turid; Larsson, Thomas; Haden, Bjame; Romarheim, Odd Helge; Ruyter, Bente; Jimenez-Guerrero, Raul; Bjerke, Malfrid T.] Nofima Norwegian Inst Food Fisheries &amp; Aquacultur, Dept Nutr &amp; Feed Technol, NO-9291 Tromso, Norway; [Morkore, Turid] Norwegian Univ Life Sci, Fac Biosci, Dept Anim &amp; Aquacultural Sci, NO-1432 As, Norway; [Moreno, Helena M.; Borderias, Javier] ICTAN CSIC, Prod Dept, Inst Food Sci Technol &amp; Nutr, Madrid 28040, Spain; [Hellberg, Hege] Benchmark Norway AS, Fish Vet Grp, N-0218 Oslo, Norway; [Lazado, Carlo C.; Krasnov, Aleksei] Nofima Norwegian Inst Food Fisheries &amp; Aquacultur, Dept Fish Hlth, NO-9291 Tromso, Norway; [Benitez-Santana, Tibiabin] Aker BioMarine AS, Innovat Dept, NO-1327 Lysaker, Norway</t>
  </si>
  <si>
    <t>Nofima; Norwegian University of Life Sciences; Consejo Superior de Investigaciones Cientificas (CSIC); CSIC - Instituto de Ciencia y Tecnologia de Alimentos y Nutricion (ICTAN); Nofima</t>
  </si>
  <si>
    <t>Morkore, T (corresponding author), Nofima Norwegian Inst Food Fisheries &amp; Aquacultur, Dept Nutr &amp; Feed Technol, NO-9291 Tromso, Norway.;Morkore, T (corresponding author), Norwegian Univ Life Sci, Fac Biosci, Dept Anim &amp; Aquacultural Sci, NO-1432 As, Norway.</t>
  </si>
  <si>
    <t>turid.morkore@nmbu.no</t>
  </si>
  <si>
    <t>Hellberg, Hege/KEH-5109-2024; Lazado, Carlo C./H-7444-2019</t>
  </si>
  <si>
    <t>Hellberg, Hege/0000-0001-6230-4948</t>
  </si>
  <si>
    <t>Aker Biomarine Antarctic AS, Oslo, Norway</t>
  </si>
  <si>
    <t>This work was funded by Aker Biomarine Antarctic AS, Oslo, Norway.</t>
  </si>
  <si>
    <t>0007-1145</t>
  </si>
  <si>
    <t>1475-2662</t>
  </si>
  <si>
    <t>BRIT J NUTR</t>
  </si>
  <si>
    <t>Br. J. Nutr.</t>
  </si>
  <si>
    <t>PII S0007114520001282</t>
  </si>
  <si>
    <t>10.1017/S0007114520001282</t>
  </si>
  <si>
    <t>MK1JG</t>
  </si>
  <si>
    <t>WOS:000548542000007</t>
  </si>
  <si>
    <t>Bassis, JN</t>
  </si>
  <si>
    <t>Bassis, Jeremy N.</t>
  </si>
  <si>
    <t>Crevasse analysis reveals endangered ice shelves</t>
  </si>
  <si>
    <t>Climate sciences; Climate change</t>
  </si>
  <si>
    <t>An ingenious combination of satellite imaging, machine learning and stress analysis has revealed the Antarctic ice shelves that are most at risk of disintegrating as a result of atmospheric warming. Ice shelves at greatest risk of future hydrofracturing identified.</t>
  </si>
  <si>
    <t>[Bassis, Jeremy N.] Univ Michigan, Dept Climate &amp; Space Sci, Ann Arbor, MI 48109 USA</t>
  </si>
  <si>
    <t>University of Michigan System; University of Michigan</t>
  </si>
  <si>
    <t>Bassis, JN (corresponding author), Univ Michigan, Dept Climate &amp; Space Sci, Ann Arbor, MI 48109 USA.</t>
  </si>
  <si>
    <t>jbassis@umich.edu</t>
  </si>
  <si>
    <t>Bassis, Jeremy N/J-1706-2012</t>
  </si>
  <si>
    <t>AUG 27</t>
  </si>
  <si>
    <t>10.1038/d41586-020-02422-1</t>
  </si>
  <si>
    <t>NF3UH</t>
  </si>
  <si>
    <t>WOS:000563223200009</t>
  </si>
  <si>
    <t>Whitney, MR; Sidor, CA</t>
  </si>
  <si>
    <t>Whitney, Megan R.; Sidor, Christian A.</t>
  </si>
  <si>
    <t>Evidence of torpor in the tusks of Lystrosaurus from the Early Triassic of Antarctica</t>
  </si>
  <si>
    <t>GROWTH-RATES; HIBERNATION; INCISORS; DENTIN; PALEOGEOGRAPHY; ANOMODONTIA; TETRAPOD; BOUNDARY; BURROWS; ZONE</t>
  </si>
  <si>
    <t>Antarctica has hosted a wide range of ecosystems over the past 500-million years. Early in the Mesozoic, the Antarctic portion of southern Pangaea had a more habitable climate, but its position within the polar circle imposed extreme photoperiod seasonality on its resident flora and fauna. It remains unclear to what degree physiological adaptations underpinned the ability of tetrapods to establish the terrestrial communities captured in the fossil record. Here we use regular and stressful growth marks preserved in the dentine of ever-growing tusks of the Early Triassic mammalian predecessor, Lystrosaurus, to test for adaptations specific to this polar inhabitant. We find evidence of prolonged stress indicative of torpor when compared to tusk samples from non-polar populations of Lystrosaurus. These preliminary findings are to our knowledge the oldest instance of torpor yet reported in the fossil record and demonstrate unexpected physiological flexibility in Lystrosaurus that may have contributed its survivorship through the Permo-Triassic mass extinction. Whitney and Sidor examine the growth marks on Lystrosaurus tusks from the Early Triassic, and demonstrate evidence of torpor in polar specimens. These preliminary findings give insight into physiological adaptations that could have aided in survival and recovery from the Permo-Triassic mass extinction.</t>
  </si>
  <si>
    <t>[Whitney, Megan R.] Harvard Univ, Museum Comparat Zool, Cambridge, MA 02138 USA; [Sidor, Christian A.] Univ Washington, Dept Biol, Seattle, WA 98195 USA; [Sidor, Christian A.] Univ Washington, Burke Museum, Seattle, WA 98195 USA</t>
  </si>
  <si>
    <t>Harvard University; University of Washington; University of Washington Seattle; University of Washington; University of Washington Seattle</t>
  </si>
  <si>
    <t>Whitney, MR (corresponding author), Harvard Univ, Museum Comparat Zool, Cambridge, MA 02138 USA.</t>
  </si>
  <si>
    <t>meganwhitney@fas.harvard.edu</t>
  </si>
  <si>
    <t>Sidor, Christian/0000-0003-0742-4829</t>
  </si>
  <si>
    <t>NSF [PLR-1341304, DEB-1701383]</t>
  </si>
  <si>
    <t>Funding for this project came from NSF PLR-1341304 (awarded to C.A.S.) and NSF DEB-1701383 (awarded to M.R.W.). Y. Tse, A. Huttenlocker, and K. Button assisted in specimen preparation. We thank Z. Skosan (Iziko: South African Museum) and M. Walsh (Natural History Museum of Los Angeles County) for access to specimens. We thank the 2017-2018 Shackleton Glacier field team (P. Braddock, P. Makovicky, J. McIntosh, A. Shinya, N. Smith, R. Smith, and C. Wooley) and W. Hammer for Antarctic field collections. Finally, logistical support for this project in Antarctica was provided by the U.S. National Science Foundation through the U.S. Antarctic Program and we thank the Shackleton deep field camp staff and pilots for supporting this research.</t>
  </si>
  <si>
    <t>10.1038/s42003-020-01207-6</t>
  </si>
  <si>
    <t>NQ5FP</t>
  </si>
  <si>
    <t>WOS:000570892600001</t>
  </si>
  <si>
    <t>Diaz, MA; Li, JHY; Michalski, G; Darrah, TH; Adams, BJ; Wall, DH; Hogg, ID; Fierer, N; Welch, SA; Gardner, CB; Lyons, WB</t>
  </si>
  <si>
    <t>Diaz, Melisa A.; Li, Jianghanyang; Michalski, Greg; Darrah, Thomas H.; Adams, Byron J.; Wall, Diana H.; Hogg, Ian D.; Fierer, Noah; Welch, Susan A.; Gardner, Christopher B.; Lyons, W. Berry</t>
  </si>
  <si>
    <t>Stable Isotopes of Nitrate, Sulfate, and Carbonate in Soils From the Transantarctic Mountains, Antarctica: A Record of Atmospheric Deposition and Chemical Weathering</t>
  </si>
  <si>
    <t>Antarctica; geochemistry; salts; stable isotopes; nitrate; sulfate; carbonate</t>
  </si>
  <si>
    <t>SHACKLETON GLACIER REGION; SOUTHERN VICTORIA LAND; MCMURDO DRY VALLEYS; AIR-SNOW TRANSFER; ICE-CORE; ATACAMA DESERT; TAYLOR VALLEY; SULFUR; SALTS; OXYGEN</t>
  </si>
  <si>
    <t>Soils in ice-free areas in Antarctica are recognized for their high salt concentrations and persistent arid conditions. While previous studies have investigated the distribution of salts and potential sources in the McMurdo Dry Valleys, logistical constraints have limited our investigation and understanding of salt dynamics within the Transantarctic Mountains. We focused on the Shackleton Glacier (85 degrees S, 176 degrees W), a major outlet glacier of the East Antarctic Ice Sheet located in the Central Transantarctic Mountains (CTAM), and collected surface soil samples from 10 ice-free areas. Concentrations of water-soluble nitrate (NO3-) and sulfate (SO42-) ranged from &lt;0.2 to similar to 150 mu mol g(-1)and &lt;0.02 to similar to 450 mu mol g(-1), respectively. In general, salt concentrations increased with distance inland and with elevation. However, concentrations also increased with distance from current glacial ice position. To understand the source and formation of these salts, we measured the stable isotopes of dissolved water-soluble NO(3)(-)and SO42-, and soil carbonate (HCO3+ CO3). delta N-15-NO(3)values ranged from -47.8 to 20.4 parts per thousand and, while all Delta O-17-NO(3)values are positive, they ranged from 15.7 to 45.9 parts per thousand. delta S-34-SO(4)and delta O-18-SO(4)values ranged from 12.5 and 17.9 parts per thousand and -14.5 to -7.1 parts per thousand, respectively. Total inorganic carbon isotopes in bulk soil samples ranged from 0.2 to 8.5 parts per thousand for delta C-13 and -38.8 to -9.6 parts per thousand for delta O-18. A simple mixing model indicates that NO(3)(-)is primarily derived from the troposphere (0-70%) and stratosphere (30-100%). SO(4)(2-)is primarily derived from secondary atmospheric sulfate (SAS) by the oxidation of reduced sulfur gases and compounds in the atmosphere by H2O2, carbonyl sulfide (COS), and ozone. Calcite and perhaps nahcolite (NaHCO3) are formed through both slow and rapid freezing and/or the evaporation/sublimation of HCO3+ CO3-rich fluids. Our results indicate that the origins of salts from ice-free areas within the CTAM represent a complex interplay of atmospheric deposition, chemical weathering, and post-depositional processes related to glacial history and persistent arid conditions. These findings have important implications for the use of these salts in deciphering past climate and atmospheric conditions, biological habitat suitability, glacial history, and can possibly aid in our future collective understanding of salt dynamics on Mars.</t>
  </si>
  <si>
    <t>[Diaz, Melisa A.; Darrah, Thomas H.; Welch, Susan A.; Gardner, Christopher B.; Lyons, W. Berry] Ohio State Univ, Sch Earth Sci, Columbus, OH 43210 USA; [Diaz, Melisa A.; Welch, Susan A.; Gardner, Christopher B.; Lyons, W. Berry] Ohio State Univ, Byrd Polar &amp; Climate Res Ctr, Columbus, OH 43210 USA; [Li, Jianghanyang; Michalski, Greg] Purdue Univ, Dept Earth Atmospher &amp; Planetary Sci, W Lafayette, IN 47907 USA; [Michalski, Greg] Purdue Univ, Dept Chem, W Lafayette, IN 47907 USA; [Darrah, Thomas H.] Ohio State Univ, Global Water Inst, Columbus, OH 43210 USA; [Adams, Byron J.] Brigham Young Univ, Dept Biol, Evolutionary Ecol Labs, Provo, UT 84602 USA; [Adams, Byron J.] Brigham Young Univ, Monte L Bean Museum, Provo, UT 84602 USA; [Wall, Diana H.] Colorado State Univ, Dept Biol, Ft Collins, CO 80523 USA; [Wall, Diana H.] Colorado State Univ, Sch Global Environm Sustainabil, Ft Collins, CO 80523 USA; [Hogg, Ian D.] Polar Knowledge Canada, Canadian High Arctic Res Stn, Cambridge Bay, NU, Canada; [Hogg, Ian D.] Univ Waikato, Sch Sci, Hamilton, New Zealand; [Fierer, Noah] Univ Colorado, Dept Ecol &amp; Evolutionary Biol, Boulder, CO 80309 USA; [Fierer, Noah] Univ Colorado, Cooperat Inst Res Environm Sci, Boulder, CO 80309 USA</t>
  </si>
  <si>
    <t>University System of Ohio; Ohio State University; University System of Ohio; Ohio State University; Purdue University System; Purdue University; Purdue University System; Purdue University; University System of Ohio; Ohio State University; Brigham Young University; Brigham Young University; Colorado State University; Colorado State University; University of Waikato; University of Colorado System; University of Colorado Boulder; University of Colorado System; University of Colorado Boulder</t>
  </si>
  <si>
    <t>Diaz, MA (corresponding author), Ohio State Univ, Sch Earth Sci, Columbus, OH 43210 USA.;Diaz, MA (corresponding author), Ohio State Univ, Byrd Polar &amp; Climate Res Ctr, Columbus, OH 43210 USA.</t>
  </si>
  <si>
    <t>Li, Jianghanyang/HRE-0549-2023; Li, Jianghanyang/GLT-7227-2022; Wall, Diana H/F-5491-2011; Hogg, Ian D./HNS-7393-2023; Adams, Byron/C-3808-2009</t>
  </si>
  <si>
    <t>Li, Jianghanyang/0000-0003-4965-0031; Li, Jianghanyang/0000-0003-4965-0031; Hogg, Ian D./0000-0002-6685-0089; Diaz, Melisa/0000-0001-6657-358X; Welch, Susan/0000-0002-2890-0065; Adams, Byron/0000-0002-7815-3352; Gardner, Christopher/0000-0003-0400-3754</t>
  </si>
  <si>
    <t>NSF OPP [1341631, 1341618, 1341629, 1341736]; NSF GRFP fellowship [60041697]; International Association of Geochemistry (IAGC); Geological Society of America (GSA); Directorate For Geosciences; Office of Polar Programs (OPP) [1341629, 1341631, 1341736] Funding Source: National Science Foundation</t>
  </si>
  <si>
    <t>NSF OPP(National Science Foundation (NSF)NSF - Directorate for Geosciences (GEO)); NSF GRFP fellowship(National Science Foundation (NSF)NSF - Office of the Director (OD)); International Association of Geochemistry (IAGC); Geological Society of America (GSA); Directorate For Geosciences; Office of Polar Programs (OPP)(National Science Foundation (NSF)NSF - Directorate for Geosciences (GEO))</t>
  </si>
  <si>
    <t>This work was funded by NSF OPP grants (1341631, 1341618, 1341629, and 1341736) awarded to WL, DW, NF, and BA, the NSF GRFP fellowship (60041697) awarded to MD, the International Association of Geochemistry (IAGC) Student Research Grant awarded to MD, and the Geological Society of America (GSA) Student Research Grant awarded to MD.</t>
  </si>
  <si>
    <t>10.3389/feart.2020.00341</t>
  </si>
  <si>
    <t>NP8TS</t>
  </si>
  <si>
    <t>WOS:000570444700001</t>
  </si>
  <si>
    <t>Roussel, ML; Lemonnier, F; Genthon, C; Krinner, G</t>
  </si>
  <si>
    <t>Roussel, Marie-Laure; Lemonnier, Florentin; Genthon, Christophe; Krinner, Gerhard</t>
  </si>
  <si>
    <t>Brief communication: Evaluating Antarctic precipitation in ERA5 and CMIP6 against CloudSat observations</t>
  </si>
  <si>
    <t>PROJECT</t>
  </si>
  <si>
    <t>CMIP5, CMIP6, and ERAS Antarctic precipitation is evaluated against CloudSat data. At continental and regional scales, ERAS and the median CMIP models are biased high, with insignificant improvement from CMIPS to CMIP6. However, there are fewer positive outliers in CMIP6. AMIP configurations perform better than the coupled ones, and, surprisingly, relative errors in areas of complex topography are higher (up to 50 %) in the five higher-resolution models. The seasonal cycle is reproduced well by the median of the CMIP models, but not by ERAS . . Progress from CMIPS to CMIP6 being limited, there is still room for improvement.</t>
  </si>
  <si>
    <t>[Roussel, Marie-Laure; Lemonnier, Florentin; Genthon, Christophe] PSL Res Univ, Lab Meteorol Dynam, Inst Pierre Simon Laplace, Sorbonne Univ,CNRS,Ecole Normale Super,Ecole Poly, Paris, France; [Krinner, Gerhard] Univ Grenoble Alpes, CNRS, Inst Geosci Environm, F-38000 Grenoble, France</t>
  </si>
  <si>
    <t>Universite Paris Cite; Centre National de la Recherche Scientifique (CNRS); CNRS - National Institute for Earth Sciences &amp; Astronomy (INSU); Sorbonne Universite; Universite Paris Saclay; Universite PSL; Ecole Normale Superieure (ENS); Centre National de la Recherche Scientifique (CNRS); Communaute Universite Grenoble Alpes; Universite Grenoble Alpes (UGA)</t>
  </si>
  <si>
    <t>Roussel, ML (corresponding author), PSL Res Univ, Lab Meteorol Dynam, Inst Pierre Simon Laplace, Sorbonne Univ,CNRS,Ecole Normale Super,Ecole Poly, Paris, France.</t>
  </si>
  <si>
    <t>marie-laure.roussel@lmd.polytechnique.fr</t>
  </si>
  <si>
    <t>Krinner, Gerhard/A-6450-2011; Krinner, Gerhard/AAB-8837-2022</t>
  </si>
  <si>
    <t>Krinner, Gerhard/0000-0002-2959-5920; Lemonnier, Florentin/0000-0002-3209-1256; Genthon, Christophe/0000-0002-3678-4447; Roussel, Marie-Laure/0000-0002-8667-3729</t>
  </si>
  <si>
    <t>French space agency CNES/CNRS GDR EECLAT</t>
  </si>
  <si>
    <t>This research was carried out in the framework and with support of the French space agency CNES/CNRS GDR EECLAT.</t>
  </si>
  <si>
    <t>10.5194/tc-14-2715-2020</t>
  </si>
  <si>
    <t>NK4LA</t>
  </si>
  <si>
    <t>WOS:000566702400002</t>
  </si>
  <si>
    <t>Paparella, F; Vichi, M</t>
  </si>
  <si>
    <t>Paparella, Francesco; Vichi, Marcello</t>
  </si>
  <si>
    <t>Stirring, Mixing, Growing: Microscale Processes Change Larger Scale Phytoplankton Dynamics</t>
  </si>
  <si>
    <t>biogeochemistry; plankton modeling; lagrangian particle; Bio-Geo-Chemical Argo (BGC-Argo); model bias and bias correction; phytoplankton bloom; aquacosms; irreversible mixing</t>
  </si>
  <si>
    <t>THEMED SECTION ADVANCES; BIODIVERSITY EVALUATION; PRIMARY PRODUCTIVITY; PLANKTON ECOSYSTEMS; CRITICAL DEPTH; OCEAN; MARINE; MODELS; LAYERS; IMPACT</t>
  </si>
  <si>
    <t>The quantitative description of marine systems is constrained by a major issue of scale separation: phytoplankton production processes occur at sub-centimeter scales, while the contribution to the Earth's biogeochemical cycles is expressed at much larger scales, up to the planetary one. In spite of vastly improved computing power and observational capabilities, the modeling approach has remained anchored to an old view that sees the microscales as unable to substantially affect larger ones. The lack of a widespread theoretical appreciation of the interactions between vastly different scales has led to the proliferation of numerical models with uncertain predictive capabilities. In this paper, we use the phenology of phytoplankton blooms as one example of a macroscopic ecosystem feature affected by microscale interactions. We describe two distinct mechanisms that produce patchiness within a productive water column: turbulent entrainment of less-productive water at the base of the mixed layer, and stirring by slow turbulence of a vertical phytoplankton gradient sustained by depth-dependent light availability. In current eddy-diffusive models, patchiness produced in this way is wiped out very rapidly, because the time scales of irreversible mixing largely overlap those of mechanical stirring. We propose a novel Lagrangian modeling framework that allows for the existence of microscale patchiness, even when that is not fully resolved. We show, with a mixture of theoretical arguments and numerical simulations of increasing realism, how the presence of patchiness, in turn, affects larger-scale properties, demonstrating that the timing of phytoplankton blooms and vertical variability of chlorophyll in the oceanic upper layers is determined by the mutual interplay between the stirring, mixing and growing processes.</t>
  </si>
  <si>
    <t>[Paparella, Francesco] New York Univ Abu Dhabi, Div Sci &amp; Ctr Stabil Instabil &amp; Turbulence, Abu Dhabi, U Arab Emirates; [Paparella, Francesco] New York Univ Abu Dhabi, Ctr Astro Particle &amp; Planetary Phys, Abu Dhabi, U Arab Emirates; [Vichi, Marcello] Univ Cape Town, Dept Oceanog &amp; Marine Res Inst, Cape Town, South Africa</t>
  </si>
  <si>
    <t>New York University Abu Dhabi; New York University Abu Dhabi; University of Cape Town</t>
  </si>
  <si>
    <t>Paparella, F (corresponding author), New York Univ Abu Dhabi, Div Sci &amp; Ctr Stabil Instabil &amp; Turbulence, Abu Dhabi, U Arab Emirates.;Paparella, F (corresponding author), New York Univ Abu Dhabi, Ctr Astro Particle &amp; Planetary Phys, Abu Dhabi, U Arab Emirates.</t>
  </si>
  <si>
    <t>francesco.paparela@nyu.edu</t>
  </si>
  <si>
    <t>Vichi, Marcello/GLR-9823-2022</t>
  </si>
  <si>
    <t>Vichi, Marcello/0000-0002-0686-9634; Paparella, Francesco/0000-0003-1526-970X</t>
  </si>
  <si>
    <t>NRF through the South African National Antarctic Program; New York University Abu Dhabi, the Center on Stability, Instability and Turbulence</t>
  </si>
  <si>
    <t>This research was funded by internal resources of New York University Abu Dhabi, the Center on Stability, Instability and Turbulence, MV received funding from the NRF through the South African National Antarctic Program.</t>
  </si>
  <si>
    <t>10.3389/fmars.2020.00654</t>
  </si>
  <si>
    <t>NK2FI</t>
  </si>
  <si>
    <t>WOS:000566552400001</t>
  </si>
  <si>
    <t>Aydin, M; Britten, GL; Montzka, SA; Buizert, C; Primeau, F; Petrenko, V; Battle, MB; Nicewonger, MR; Patterson, J; Hmiel, B; Saltzman, ES</t>
  </si>
  <si>
    <t>Aydin, M.; Britten, G. L.; Montzka, S. A.; Buizert, C.; Primeau, F.; Petrenko, V; Battle, M. B.; Nicewonger, M. R.; Patterson, J.; Hmiel, B.; Saltzman, E. S.</t>
  </si>
  <si>
    <t>Anthropogenic Impacts on Atmospheric Carbonyl Sulfide Since the 19th Century Inferred From Polar Firn Air and Ice Core Measurements</t>
  </si>
  <si>
    <t>carbonyl sulfide; firn air; ice core; anthropogenic impacts; atmospheric composition; preindustrial atmosphere</t>
  </si>
  <si>
    <t>STRATOSPHERIC SULFATE AEROSOL; DIMETHYL SULFIDE; RECENT DECREASES; GAS-EXCHANGE; COS; EMISSIONS; MODEL; VEGETATION; TRACER; SINKS</t>
  </si>
  <si>
    <t>Carbonyl sulfide (COS) was measured in firn air collected during seven different field campaigns carried out at four different sites in Greenland and Antarctica between 2001 and 2015. A Bayesian probabilistic statistical model is used to conduct multisite inversions and to reconstruct separate atmospheric histories for Greenland and Antarctica. The firn air inversions cover most of the 20th century over Greenland and extend back to the 19th century over Antarctica. The derived atmospheric histories are consistent with independent surface air time series data from the corresponding sites and the Antarctic ice core COS records during periods of overlap. Atmospheric COS levels began to increase over preindustrial levels starting in the 19th century, and the increase continued for much of the 20th century. Atmospheric COS peaked at higher than present-day levels around 1975 CE over Greenland and around 1987 CE over Antarctica. An atmosphere/surface ocean box model is used to investigate the possible causes of observed variability. The results suggest that changes in the magnitude and location of anthropogenic sources have had a strong influence on the observed atmospheric COS variability.</t>
  </si>
  <si>
    <t>[Aydin, M.; Britten, G. L.; Primeau, F.; Nicewonger, M. R.; Patterson, J.; Saltzman, E. S.] Univ Calif Irvine, Dept Earth Syst Sci, Irvine, CA 92697 USA; [Britten, G. L.] MIT, Dept Earth Atmospher &amp; Planetary Sci, Cambridge, MA USA; [Montzka, S. A.; Nicewonger, M. R.] NOAA, Global Monitoring Lab, Boulder, CO USA; [Buizert, C.] Oregon State Univ, Coll Earth Ocean &amp; Atmospher Sci, Corvallis, OR 97331 USA; [Petrenko, V; Hmiel, B.] Univ Rochester, Dept Earth &amp; Environm Sci, Rochester, NY USA; [Battle, M. B.] Bowdoin Coll, Dept Phys &amp; Astron, Brunswick, ME 04011 USA</t>
  </si>
  <si>
    <t>University of California System; University of California Irvine; Massachusetts Institute of Technology (MIT); National Oceanic Atmospheric Admin (NOAA) - USA; Oregon State University; University of Rochester; Bowdoin College</t>
  </si>
  <si>
    <t>Aydin, M (corresponding author), Univ Calif Irvine, Dept Earth Syst Sci, Irvine, CA 92697 USA.</t>
  </si>
  <si>
    <t>maydin@uci.edu</t>
  </si>
  <si>
    <t>montzka, stephen/V-6162-2019; Primeau, Francois/A-7310-2011</t>
  </si>
  <si>
    <t>montzka, stephen/0000-0002-9396-0400; Nicewonger, Melinda/0000-0002-2624-3831; Patterson, John/0000-0001-5527-9553; Hmiel, Benjamin/0000-0002-5289-7492; Primeau, Francois/0000-0001-7452-9415</t>
  </si>
  <si>
    <t>National Science Foundation [ANT-1443470, ANT-1443472]; U.S. Department of Energy [DE-SC0016539]; Simons Foundation Postdoctoral Fellowship in Marine Microbial Ecology; U.S. Department of Energy (DOE) [DE-SC0016539] Funding Source: U.S. Department of Energy (DOE)</t>
  </si>
  <si>
    <t>National Science Foundation(National Science Foundation (NSF)); U.S. Department of Energy(United States Department of Energy (DOE)); Simons Foundation Postdoctoral Fellowship in Marine Microbial Ecology; U.S. Department of Energy (DOE)(United States Department of Energy (DOE))</t>
  </si>
  <si>
    <t>We thank Todd Sowers and Trevor Popp for the SPO15 and Jeff Severinghaus for the MD03 firn campaigns. We also thank all the drillers and the field support personnel that contributed to the firn air and ice core campaigns. This research was supported by the National Science Foundation Grants ANT-1443470 and ANT-1443472, the U.S. Department of Energy Grant DE-SC0016539, and Simons Foundation Postdoctoral Fellowship in Marine Microbial Ecology. Firn air data (Figures 1 and 2; F1section S6) are archived (under DOI: 10.7289/V51N7ZDK) and can be accessed online (via the following landing page: https://www.ncei.noaa.gov/metadata/geoportal/rest/metadata/item/gov.noaa.ncdc% 3AC01555/html). The 20,000 COS atmospheric histories from the inversions (Figures S8 and S9) can be accessed as Data Sets S1 (Greenland) and S2 (Antarctica).</t>
  </si>
  <si>
    <t>e2020JD033074</t>
  </si>
  <si>
    <t>10.1029/2020JD033074</t>
  </si>
  <si>
    <t>NI9AP</t>
  </si>
  <si>
    <t>WOS:000565638400011</t>
  </si>
  <si>
    <t>Kohma, M; Sato, K; Nishimura, K; Tsutsumi, M; Sato, T</t>
  </si>
  <si>
    <t>Kohma, M.; Sato, K.; Nishimura, K.; Tsutsumi, M.; Sato, T.</t>
  </si>
  <si>
    <t>A Statistical Analysis of the Energy Dissipation Rate Estimated From the PMWE Spectral Width in the Antarctic</t>
  </si>
  <si>
    <t>PMWE; turbulence; VHF radar; gravity wave</t>
  </si>
  <si>
    <t>MESOSPHERE WINTER ECHOES; POLAR MESOSPHERE; RADAR OBSERVATIONS; GRAVITY-WAVES; VHF RADAR; TURBULENCE; ANDOYA; PARAMETERS; ATMOSPHERE; SUMMER</t>
  </si>
  <si>
    <t>The radar volume reflectivity and turbulent kinetic energy dissipation rate in the Antarctic mesosphere were estimated from the polar mesosphere winter echoes (PMWE) recorded using a vertical beam of the PANSY radar, a Mesosphere-Stratosphere-Troposphere radar at Syowa Station (69 degrees S, 40 degrees E), over a period of 4 years. The observed radar volume reflectivity exhibits a lognormal distribution in the range of 2 x 10(-18)to 5 x 10(-15) m(-1)for a height region of 55-82 km. The turbulent energy dissipation rate estimated from the spectral widths of the PMWE ranges from 10(-4)to 10(0) m(2) s(-3). From monthly histograms of the turbulent energy dissipation rate for a fixed solar zenith angle (SZA) and height, it was found that the summer-to-winter transition of the turbulent energy dissipation rate occurs in March, while the winter-to-summer transition occurs in September. This seasonal variation agrees well with that of gravity wave activity, suggesting that the turbulence in the mesosphere is likely caused by gravity wave breaking.</t>
  </si>
  <si>
    <t>[Kohma, M.; Sato, K.] Univ Tokyo, Grad Sch Sci, Dept Earth &amp; Planetary Sci, Tokyo, Japan; [Nishimura, K.; Tsutsumi, M.] Natl Inst Polar Res, Tokyo, Japan; [Nishimura, K.; Tsutsumi, M.] Grad Univ Adv Studies SOKENDAI, Tokyo, Japan; [Sato, T.] Kyoto Univ, Inst Liberal Arts &amp; Sci, Kyoto, Japan</t>
  </si>
  <si>
    <t>University of Tokyo; Research Organization of Information &amp; Systems (ROIS); National Institute of Polar Research (NIPR) - Japan; Graduate University for Advanced Studies - Japan; Kyoto University</t>
  </si>
  <si>
    <t>Kohma, M (corresponding author), Univ Tokyo, Grad Sch Sci, Dept Earth &amp; Planetary Sci, Tokyo, Japan.</t>
  </si>
  <si>
    <t>kohmasa@eps.s.u-tokyo.ac.jp</t>
  </si>
  <si>
    <t>; Kohma, Masashi/C-8055-2015; Sato, Kaoru/E-1693-2012</t>
  </si>
  <si>
    <t>Nishimura, Koji/0000-0001-8824-9844; Kohma, Masashi/0000-0001-9875-3032; Sato, Kaoru/0000-0002-6225-6066</t>
  </si>
  <si>
    <t>JSPS KAKENHI [JP16K17801/19K14791]; JST CREST [JPMJCR1663]</t>
  </si>
  <si>
    <t>JSPS KAKENHI(Ministry of Education, Culture, Sports, Science and Technology, Japan (MEXT)Japan Society for the Promotion of ScienceGrants-in-Aid for Scientific Research (KAKENHI)); JST CREST(Japan Science &amp; Technology Agency (JST)Core Research for Evolutional Science and Technology (CREST))</t>
  </si>
  <si>
    <t>This study is supported by JSPS KAKENHI Grant JP16K17801/19K14791 and JST CREST Grant JPMJCR1663. PANSY is a multi-institutional project with core members from The University of Tokyo, the National Institute of Polar Research, and Kyoto University. The PANSY radar measurements at Syowa Station are operated by the Japanese Antarctic Research Expedition (JARE). Figure 1 was drawn by software developed by the Dennou-Ruby Davis project. We thank Takuji Nakamura, Takanori Nishiyama, and Ryosuke Yasui for helpful discussions and comments on this work. Finally, we acknowledge three anonymous reviewers for greatly helping us to improve this manuscript.</t>
  </si>
  <si>
    <t>e2020JD032745</t>
  </si>
  <si>
    <t>10.1029/2020JD032745</t>
  </si>
  <si>
    <t>WOS:000565638400005</t>
  </si>
  <si>
    <t>Li, ZM; Chu, XZ; Harvey, VL; Jandreau, J; Lu, X; Yu, ZB; Zhao, J; Fong, WC</t>
  </si>
  <si>
    <t>Li, Zimu; Chu, Xinzhao; Harvey, V. Lynn; Jandreau, Jackson; Lu, Xian; Yu, Zhibin; Zhao, Jian; Fong, Weichun</t>
  </si>
  <si>
    <t>First Lidar Observations of Quasi-Biennial Oscillation-Induced Interannual Variations of Gravity Wave Potential Energy Density at McMurdo via a Modulation of the Antarctic Polar Vortex</t>
  </si>
  <si>
    <t>gravity wave potential energy density; lidar observations; Antarctica; Quasi-Biennial Oscillation; polar vortex; interannual variations</t>
  </si>
  <si>
    <t>ATMOSPHERE; TEMPERATURE; CLIMATE; WINTER; 77.8-DEGREES-S; STRATOSPHERE; CIRCULATION; MESOSPHERE; HEMISPHERE; PERIODS</t>
  </si>
  <si>
    <t>This work presents the first lidar observations of a Quasi-Biennial Oscillation (QBO) in the interannual variations of stratospheric gravity wave potential energy density (E(pm)in 30-50 km) at McMurdo (77.84 degrees S, 166.67 degrees E), Antarctica. This paper also reports the first identification of QBO signals in the distance between McMurdo and the polar vortex edge. Midwinter stratospheric gravity wave activity is stronger during the QBO easterly phase when the June polar vortex expands and the polar night jet shifts equatorward. During the QBO westerly phase, gravity wave activity is weaker when the polar vortex contracts and the polar night jet moves poleward. Nine years of lidar data (2011-2019) exhibit the meanE(pm)winter maxima being similar to 43% higher during QBO easterly than westerly. The June polar vortex edge at 45 km altitude moves equatorward/poleward during QBO easterly/westerly phases with similar to 8 degrees latitude differences (39.7 degrees S vs. 47.7 degrees S) as revealed in 21 years of MERRA-2 data (1999-2019). We hypothesize that an equatorward shifted polar vortex corresponds to less critical level filtering of gravity waves and thus higherE(pm)at McMurdo. The critical level filtering is characterized by wind rotation angle (WRA), and we find a linear correlation between the WRA andE(pm)interannual variations. The results suggest that the QBO is likely controlling the interannual variations of theE(pm)winter maxima over McMurdo via the critical level filtering. This observationally based study lays the groundwork for a rigorous numerical study that will provide robust statistics to better understand the mechanisms that link the tropical QBO to extratropical waves.</t>
  </si>
  <si>
    <t>[Li, Zimu] Univ Sci &amp; Technol China, Sch Earth &amp; Space Sci, Hefei, Peoples R China; [Li, Zimu; Chu, Xinzhao; Jandreau, Jackson; Yu, Zhibin; Zhao, Jian; Fong, Weichun] Univ Colorado, Cooperat Inst Res Environm Sci, Boulder, CO 80309 USA; [Li, Zimu; Chu, Xinzhao; Jandreau, Jackson; Yu, Zhibin; Zhao, Jian; Fong, Weichun] Univ Colorado, Dept Aerosp Engn Sci, Boulder, CO 80309 USA; [Harvey, V. Lynn] Univ Colorado, Lab Atmosphere &amp; Space Phys, Boulder, CO 80309 USA; [Lu, Xian] Clemson Univ, Dept Phys &amp; Astron, Clemson, SC 29634 USA; [Yu, Zhibin] Harbin Inst Technol Shenzhen, Shenzhen, Peoples R China</t>
  </si>
  <si>
    <t>Chinese Academy of Sciences; University of Science &amp; Technology of China, CAS; University of Colorado System; University of Colorado Boulder; University of Colorado System; University of Colorado Boulder; University of Colorado System; University of Colorado Boulder; Clemson University; Harbin Institute of Technology</t>
  </si>
  <si>
    <t>Yu, Zhibin/GZA-3374-2022; Lu, Xian/AAZ-3385-2021; HARVEY, V LYNN/M-3995-2017; LU, XIAN/A-2980-2015; CHU, XINZHAO/I-5670-2015</t>
  </si>
  <si>
    <t>Yu, Zhibin/0000-0001-5128-809X; HARVEY, V LYNN/0000-0002-7928-0804; LU, XIAN/0000-0002-2535-8151; Jandreau, Jackson Robert/0000-0002-6439-3419; CHU, XINZHAO/0000-0001-6147-1963</t>
  </si>
  <si>
    <t>National Science Foundation (NSF) Grants [OPP-0839091, OPP-1246405, OPP-1443726]; NASA HGI Grant [NNX17AB80G]; NASA HGR Grants [80NSSC18K1046, 80NSSC19K0834]; NSF Grants [AGS-1705448, OPP-1705450, CAREER-1753214]; NASA [1003831, NNX17AB80G] Funding Source: Federal RePORTER</t>
  </si>
  <si>
    <t>National Science Foundation (NSF) Grants(National Science Foundation (NSF)); NASA HGI Grant; NASA HGR Grants; NSF Grants(National Science Foundation (NSF)); NASA(National Aeronautics &amp; Space Administration (NASA))</t>
  </si>
  <si>
    <t>We gratefully acknowledge the graduate students and research scientists who made contributions to the McMurdo lidar campaign, including winter-over lidar scientists Zhibin Yu (2011), Brendan Roberts (2012), Weichun Fong (2013), Cao Chen (2014), Jian Zhao (2015), Ian Barry (2016), Zhengyu Hua (2017), Dongming Chang (2018), Zimu Li and Ian Geraghty (2019), Xianxin Li and Cissi Lin (2020), and summer scientists Wentao Huang, Zhangjun Wang, John A. Smith, Xian Lu, Muzhou Lu, Clare Miller, and Jackson Jandreau. We are grateful to Richard Dean, Nikolas Sinkola, Adam Godfrey, Mark Murphy, Hue Tran, and Kate McKenzie for their engineering help and support. We thank Erich Becker and Sharon L. Vadas for intriguing discussions on orographic gravity waves and critical level filtering. We are indebted to Vladimir Papitashvili, Chester S. Gardner, and Adrian J. McDonald for their guidance and collaboration. We sincerely appreciate the staff of the United States Antarctic Program, McMurdo Station, Antarctica, New Zealand, and Scott Base for their superb support over the years. We gratefully acknowledge MERRA-2 data provided by the Global Modeling and Assimilation Office (GMAO) at NASA Goddard Space Flight Center through the NASA GES DISC online archive. This project was supported by the National Science Foundation (NSF) Grants OPP-0839091, OPP-1246405, and OPP-1443726. V. L. H. was supported by NASA HGI Grant NNX17AB80G and NASA HGR Grants 80NSSC18K1046 and 80NSSC19K0834. Xian Lu's research was supported by NSF Grants AGS-1705448 (CEDAR), OPP-1705450, and CAREER-1753214.</t>
  </si>
  <si>
    <t>e2020JD032866</t>
  </si>
  <si>
    <t>10.1029/2020JD032866</t>
  </si>
  <si>
    <t>WOS:000565638400032</t>
  </si>
  <si>
    <t>Layton, C; Cameron, MJ; Tatsumi, M; Shelamoff, V; Wright, JT; Johnson, CR</t>
  </si>
  <si>
    <t>Layton, Cayne; Cameron, Matthew J.; Tatsumi, Masayuki; Shelamoff, Victor; Wright, Jeffrey T.; Johnson, Craig R.</t>
  </si>
  <si>
    <t>Habitat fragmentation causes collapse of kelp recruitment</t>
  </si>
  <si>
    <t>Ecklonia radiata; Macroalgae; Patch; Canopy; Ecosystem engineer; Abiotic; Press perturbation</t>
  </si>
  <si>
    <t>ECKLONIA-RADIATA; ALGAE; DISTURBANCE; INHIBITION; COMMUNITY; RECOVERY; ECOLOGY; FOREST; CONSEQUENCES; TEMPERATURE</t>
  </si>
  <si>
    <t>Kelp forests in many regions are experiencing disturbance from anthropogenic sources such as ocean warming, pollution, and overgrazing. Unlike natural disturbances such as storms, anthropogenic disturbances often manifest as press perturbations that cause persistent alterations to the environment. One consequence is that some kelp forests are becoming increasingly sparse and fragmented. We manipulated patch size of the kelp Ecklonia radiata over 24 mo to simulate persistent habitat fragmentation and assessed how this influenced the demography of macro- and microscopic juvenile kelp within the patches. At the beginning of the experiment, patch formation resulted in short-term increases in E. radiata recruitment in patches &lt;1 m(2). However, recruitment collapsed in those same patches over the extended period, with no recruits observed after 15 mo. Experimental transplants of microscopic and macroscopic juvenile sporophytes into the patches failed to identify the life stage impacted by the reductions in patch size, indicating that the effects may be subtle and require extended periods to manifest, and/or that another life stage is responsible. Abiotic measurements within the patches indicated that kelp were less able to engineer the sub-canopy environment in smaller patches. In particular, reduced shading of the sub-canopy in smaller patches was associated with proliferation of sediments and turf algae, which potentially contributed to the collapse of recruitment. We demonstrate the consequences of short- and longer-term degradation of E. radiata habitats and conclude that habitat fragmentation can lead to severe disruptions to kelp demography.</t>
  </si>
  <si>
    <t>[Layton, Cayne; Cameron, Matthew J.; Tatsumi, Masayuki; Shelamoff, Victor; Wright, Jeffrey T.; Johnson, Craig R.] Univ Tasmania, Inst Marine &amp; Antarctic Studies, Hobart, Tas 7004, Australia</t>
  </si>
  <si>
    <t>Layton, C (corresponding author), Univ Tasmania, Inst Marine &amp; Antarctic Studies, Hobart, Tas 7004, Australia.</t>
  </si>
  <si>
    <t>cayne.layton@utas.edu.au</t>
  </si>
  <si>
    <t>Cameron, Matthew/AAE-2786-2020; Wright, Jeffrey/J-7536-2014; Layton, Cayne/J-8443-2013</t>
  </si>
  <si>
    <t>Wright, Jeffrey/0000-0002-1085-4582; Layton, Cayne/0000-0002-3390-6437</t>
  </si>
  <si>
    <t>Australian Research Council; Australian Government Postgraduate Award</t>
  </si>
  <si>
    <t>Australian Research Council(Australian Research Council); Australian Government Postgraduate Award(Australian Government)</t>
  </si>
  <si>
    <t>This work was funded by an Australian Research Council Discovery Grant awarded to J.T.W. and C.R.J.; C.L. was supported by an Australian Government Postgraduate Award administered through the University of Tasmania. We sincerely thank all volunteers who as-sisted with fieldwork, especially C. Butler and K. Willis, and S. Watson for assistance with Fig. 1.</t>
  </si>
  <si>
    <t>10.3354/meps13422</t>
  </si>
  <si>
    <t>QL6VJ</t>
  </si>
  <si>
    <t>WOS:000621222200008</t>
  </si>
  <si>
    <t>Lai, CY; Kingslake, J; Wearing, MG; Chen, PHC; Gentine, P; Li, H; Spergel, JJ; van Wessem, JM</t>
  </si>
  <si>
    <t>Lai, Ching-Yao; Kingslake, Jonathan; Wearing, Martin G.; Chen, Po-Hsuan Cameron; Gentine, Pierre; Li, Harold; Spergel, Julian J.; van Wessem, J. Melchior</t>
  </si>
  <si>
    <t>Vulnerability of Antarctica's ice shelves to meltwater-driven fracture</t>
  </si>
  <si>
    <t>MECHANICS APPROACH; BASAL CREVASSES; SURFACE; PENETRATION; RETREAT; STRESS</t>
  </si>
  <si>
    <t>Atmospheric warming threatens to accelerate the retreat of the Antarctic Ice Sheet by increasing surface melting and facilitating 'hydrofracturing'(1-7), where meltwater flows into and enlarges fractures, potentially triggering ice-shelf collapse(3-5,8-10). The collapse of ice shelves that buttress(11-13)the ice sheet accelerates ice flow and sea-level rise(14-16). However, we do not know if and how much of the buttressing regions of Antarctica's ice shelves are vulnerable to hydrofracture if inundated with water. Here we provide two lines of evidence suggesting that many buttressing regions are vulnerable. First, we trained a deep convolutional neural network (DCNN) to map the surface expressions of fractures in satellite imagery across all Antarctic ice shelves. Second, we developed a stability diagram of fractures based on linear elastic fracture mechanics to predict where basal and dry surface fractures form under current stress conditions. We find close agreement between the theoretical prediction and the DCNN-mapped fractures, despite limitations associated with detecting fractures in satellite imagery. Finally, we used linear elastic fracture mechanics theory to predict where surface fractures would become unstable if filled with water. Many regions regularly inundated with meltwater today are resilient to hydrofracture-stresses are low enough that all water-filled fractures are stable. Conversely, 60 +/- 10 per cent of ice shelves (by area) both buttress upstream ice and are vulnerable to hydrofracture if inundated with water. The DCNN map confirms the presence of fractures in these buttressing regions. Increased surface melting(17)could trigger hydrofracturing if it leads to water inundating the widespread vulnerable regions we identify. These regions are where atmospheric warming may have the largest impact on ice-sheet mass balance. Using a neural network trained on continent-wide data and a fracture model, the ice shelves in Antarctica that may be prone to hydrofracturing under further atmospheric warming are identified.</t>
  </si>
  <si>
    <t>[Lai, Ching-Yao; Kingslake, Jonathan; Spergel, Julian J.] Columbia Univ, Lamont Doherty Earth Observ, Palisades, NY 10964 USA; [Kingslake, Jonathan; Spergel, Julian J.] Columbia Univ, Dept Earth &amp; Environm Sci, New York, NY USA; [Wearing, Martin G.] Univ Edinburgh, Sch Geosci, Edinburgh, Midlothian, Scotland; [Chen, Po-Hsuan Cameron] Google, Mountain View, CA 94043 USA; [Gentine, Pierre] Columbia Univ, Dept Earth &amp; Environm Engn, New York, NY USA; [Li, Harold] Columbia Univ, Dept Comp Sci, New York, NY 10027 USA; [van Wessem, J. Melchior] Univ Utrecht, Inst Marine &amp; Atmospher Res Utrecht, Utrecht, Netherlands</t>
  </si>
  <si>
    <t>Columbia University; Columbia University; University of Edinburgh; Google Incorporated; Columbia University; Columbia University; Utrecht University</t>
  </si>
  <si>
    <t>Lai, CY (corresponding author), Columbia Univ, Lamont Doherty Earth Observ, Palisades, NY 10964 USA.</t>
  </si>
  <si>
    <t>cylai@ldeo.columbia.edu</t>
  </si>
  <si>
    <t>; Gentine, Pierre/C-1495-2013</t>
  </si>
  <si>
    <t>Chen, Po-Hsuan Cameron/0000-0002-0083-4991; Gentine, Pierre/0000-0002-0845-8345; Lai, `Ching-Yao/0000-0002-6552-7546; Wearing, Martin/0000-0002-8927-8564</t>
  </si>
  <si>
    <t>10.1038/s41586-020-2627-8</t>
  </si>
  <si>
    <t>WOS:000563223200017</t>
  </si>
  <si>
    <t>Allison, P; Archambault, S; Beatty, JJ; Beheler-Amass, M; Besson, DZ; Beydler, M; Chen, CC; Chen, CH; Chen, P; Clark, BA; Clay, W; Connolly, A; Cremonesi, L; Davies, J; de Kockere, S; de Vries, KD; Deaconu, C; DuVernois, MA; Friedman, E; Gaior, R; Hanson, J; Hanson, K; Hoffman, KD; Hokanson-Fasig, B; Hong, E; Hsu, SY; Hu, L; Huang, JJ; Huang, MH; Hughes, K; Ishihara, A; Karle, A; Kelley, JL; Khandelwal, R; Kim, KC; Kim, MC; Kravchenko, I; Kurusu, K; Landsman, H; Latif, UA; Laundrie, A; Li, CJ; Liu, TC; Lu, MY; Madison, B; Mase, K; Meures, T; Nam, J; Nichol, RJ; Nir, G; Novikov, A; Nozdrina, A; Oberla, E; O'Murchadha, A; Osborn, J; Pan, Y; Pfendner, C; Roth, J; Sandstrom, P; Seckel, D; Shiao, YS; Shultz, A; Smith, D; Torres, J; Touart, J; van Eijndhoven, N; Varner, GS; Vieregg, AG; Wang, MZ; Wang, SH; Wissel, SA; Yoshida, S; Young, R</t>
  </si>
  <si>
    <t>Allison, P.; Archambault, S.; Beatty, J. J.; Beheler-Amass, M.; Besson, D. Z.; Beydler, M.; Chen, C. C.; Chen, C. H.; Chen, P.; Clark, B. A.; Clay, W.; Connolly, A.; Cremonesi, L.; Davies, J.; de Kockere, S.; de Vries, K. D.; Deaconu, C.; DuVernois, M. A.; Friedman, E.; Gaior, R.; Hanson, J.; Hanson, K.; Hoffman, K. D.; Hokanson-Fasig, B.; Hong, E.; Hsu, S. Y.; Hu, L.; Huang, J. J.; Huang, M-H; Hughes, K.; Ishihara, A.; Karle, A.; Kelley, J. L.; Khandelwal, R.; Kim, K-C; Kim, M-C; Kravchenko, I; Kurusu, K.; Landsman, H.; Latif, U. A.; Laundrie, A.; Li, C-J; Liu, T-C; Lu, M-Y; Madison, B.; Mase, K.; Meures, T.; Nam, J.; Nichol, R. J.; Nir, G.; Novikov, A.; Nozdrina, A.; Oberla, E.; O'Murchadha, A.; Osborn, J.; Pan, Y.; Pfendner, C.; Roth, J.; Sandstrom, P.; Seckel, D.; Shiao, Y-S; Shultz, A.; Smith, D.; Torres, J.; Touart, J.; van Eijndhoven, N.; Varner, G. S.; Vieregg, A. G.; Wang, M-Z; Wang, S-H; Wissel, S. A.; Yoshida, S.; Young, R.</t>
  </si>
  <si>
    <t>ARA Collaboration</t>
  </si>
  <si>
    <t>Constraints on the diffuse flux of ultrahigh energy neutrinos from four years of Askaryan Radio Array data in two stations</t>
  </si>
  <si>
    <t>PHYSICAL REVIEW D</t>
  </si>
  <si>
    <t>GAMMA-RAY BURSTS; PROTOTYPE STATION; COSMIC-RAYS; PERFORMANCE; DIGITIZER; EMISSION; SHOWER; DESIGN; CHARGE; AIR</t>
  </si>
  <si>
    <t>The Askaryan Radio Array (ARA) is an ultrahigh energy (UHE, &gt; 10(17) eV) neutrino detector designed to observe neutrinos by searching for the radio waves emitted by the relativistic products of neutrino-nucleon interactions in Antarctic ice. In this paper, we present constraints on the diffuse flux of ultrahigh energy neutrinos between 10(16 )and 10(21 )eV resulting from a search for neutrinos in two complementary analyses, both analyzing four years of data (2013-2016) from the two deep stations (A2, A3) operating at that time. We place a 90% CL upper limit on the diffuse all flavor neutrino flux at 10(18) eV of EF(E) = 5.6 x 10(-16) CM-2 S-1 Sr-1. This analysis includes four times the exposure of the previous ARA result and represents approximately 1/5th the exposure expected from operating ARA until the end of 2022.</t>
  </si>
  <si>
    <t>[Allison, P.; Beatty, J. J.; Clark, B. A.; Connolly, A.; Hong, E.; Torres, J.] Ohio State Univ, Ctr Cosmol &amp; AstroParticle Phys, Dept Phys, Columbus, OH 43210 USA; [Archambault, S.; Gaior, R.; Ishihara, A.; Kim, M-C; Kurusu, K.; Mase, K.; Nam, J.; Yoshida, S.] Chiba Univ, Dept Phys, Chiba, Japan; [Beheler-Amass, M.; Beydler, M.; DuVernois, M. A.; Hanson, K.; Hokanson-Fasig, B.; Karle, A.; Kelley, J. L.; Khandelwal, R.; Laundrie, A.; Lu, M-Y; Meures, T.; O'Murchadha, A.; Sandstrom, P.] Univ Wisconsin, Dept Phys, 1150 Univ Ave, Madison, WI 53706 USA; [Besson, D. Z.; Latif, U. A.; Madison, B.; Novikov, A.; Nozdrina, A.; Shultz, A.; Young, R.] Univ Kansas, Dept Phys &amp; Astron, Lawrence, KS 66045 USA; [Besson, D. Z.; Novikov, A.] Moscow Engn Phys Inst, Moscow, Russia; [Chen, C. C.; Chen, C. H.; Chen, P.; Hsu, S. Y.; Hu, L.; Huang, J. J.; Huang, M-H; Li, C-J; Liu, T-C; Shiao, Y-S; Wang, M-Z; Wang, S-H] Natl Taiwan Univ, Leung Ctr Cosmol &amp; Particle Astrophys, Grad Inst Astrophys, Dept Phys, Taipei, Taiwan; [Clark, B. A.] Michigan State Univ, Dept Phys &amp; Astron, E Lansing, MI 48824 USA; [Clay, W.; Deaconu, C.; Hughes, K.; Oberla, E.; Smith, D.; Vieregg, A. G.] Univ Chicago, Enrico Fermi Inst, Kavli Inst Cosmol Phys, Dept Phys, 5640 S Ellis Ave, Chicago, IL 60637 USA; [Cremonesi, L.; Davies, J.; Nichol, R. J.] UCL, Dept Phys &amp; Astron, London, England; [de Kockere, S.; de Vries, K. D.; van Eijndhoven, N.] Vrije Univ Brussel, Brussels, Belgium; [Friedman, E.; Hoffman, K. D.; Kim, K-C; Touart, J.] Univ Maryland, Dept Phys, College Pk, MD 20742 USA; [Hanson, J.] Whittier Coll, Dept Phys &amp; Astron, Whittier, CA 90602 USA; [Kravchenko, I; Osborn, J.] Univ Nebraska, Dept Phys &amp; Astron, Lincoln, NE 68588 USA; [Landsman, H.; Nir, G.] Weizmann Inst Sci, Rehovot, Israel; [Pan, Y.; Roth, J.; Seckel, D.] Univ Delaware, Dept Phys, Newark, DE 19716 USA; [Pfendner, C.] Denison Univ, Dept Phys &amp; Astron, Granville, OH 43023 USA; [Varner, G. S.] Univ Hawaii Manoa, Dept Phys &amp; Astron, Honolulu, HI 96822 USA; [Wissel, S. A.] Calif Polytech State Univ San Luis Obispo, Phys Dept, San Luis Obispo, CA 93407 USA; [Wissel, S. A.] Penn State Univ, Dept Astron &amp; Astrophys, Dept Phys, State Coll, PA 16802 USA</t>
  </si>
  <si>
    <t>University System of Ohio; Ohio State University; Chiba University; University of Wisconsin System; University of Wisconsin Madison; University of Kansas; National Research Nuclear University MEPhI (Moscow Engineering Physics Institute); National Taiwan University; Michigan State University; University of Chicago; University of London; University College London; Vrije Universiteit Brussel; University System of Maryland; University of Maryland College Park; Whittier College; University of Nebraska System; University of Nebraska Lincoln; Weizmann Institute of Science; University of Delaware; University System of Ohio; Denison University; University of Hawaii System; University of Hawaii Manoa; California State University System; California Polytechnic State University San Luis Obispo; Pennsylvania Commonwealth System of Higher Education (PCSHE); Pennsylvania State University</t>
  </si>
  <si>
    <t>Clark, BA; Torres, J (corresponding author), Ohio State Univ, Ctr Cosmol &amp; AstroParticle Phys, Dept Phys, Columbus, OH 43210 USA.;Lu, MY (corresponding author), Univ Wisconsin, Dept Phys, 1150 Univ Ave, Madison, WI 53706 USA.;Clark, BA (corresponding author), Michigan State Univ, Dept Phys &amp; Astron, E Lansing, MI 48824 USA.</t>
  </si>
  <si>
    <t>baclark@msu.edu; mlu27@wisc.edu; torresespinosa.1@osu.edu</t>
  </si>
  <si>
    <t>Beatty, James/D-9310-2011; Nir, Guy/HJJ-0199-2023; Huang, Jian Jang/L-9953-2016; Chen, Pisin/IAO-8769-2023; Nichol, Ryan/C-1645-2008</t>
  </si>
  <si>
    <t>Beatty, James/0000-0003-0481-4952; Chen, Pisin/0000-0001-5251-7210; Nichol, Ryan/0000-0003-0557-0443; Cremonesi, Linda/0000-0003-0711-1056; Deaconu, Cosmin/0000-0002-4953-6397; van Eijndhoven, Nick/0000-0001-5558-3328; Kelley, John/0000-0002-0846-4542; Wissel, Stephanie/0000-0003-0569-6978; De Kockere, Simon/0000-0001-6724-012X; Allison, Patrick/0000-0001-8141-2653; Torres, Jorge/0000-0003-4385-6127; Kim, Myoungchul/0000-0002-8624-5564; de Vries, Krijn/0000-0002-9842-4068; Clark, Brian/0000-0003-4089-2245; Huang, Minghuey/0000-0002-8325-6233; Hanson, Jordan/0000-0003-4055-4553; Hughes, Kaeli/0000-0002-4551-9581; besson, dave/0000-0001-6733-963X; Li, Chuan-Jui/0000-0003-1449-7284; Smith, Daniel/0000-0001-6307-4072</t>
  </si>
  <si>
    <t>National Science Foundation (NSF) Office of Polar Programs and Physics Division [1806923, 1404266, OPP-902483, OPP-1359535, 1607555]; Taiwan National Science Councils Vanguard Program [NSC 92-2628-M-002-09]; Belgian F. R. S.-FNRS [4.4508.01]; University of Wisconsin Alumni Research Foundation; University of Maryland; Ohio State University; NSF [DGE-1343012, 1255557, GRT00049285, 0847658, 1752922, 1250720, DGE1746045]; Astronomy and Astrophysics Postdoctoral Fellowship [1903885]; Institute for Cyber-Enabled Research at Michigan State University; Bill and Linda Frost Fund at the California Polytechnic State University; United States-Israel Binational Science Foundation [2012077]; National Research Nuclear University MEPhi (Moscow Engineering Physics Institute); Leverhulme Trust; European Research Council under the European Union's Horizon 2020 research and innovation program [805486]; STFC [ST/K006797/1, ST/J005428/1, ST/M000206/1, ST/M007030/1, ST/L005573/1, ST/M002853/1, ST/N000668/1, ST/S002308/1, ST/K00090X/1, ST/F002335/1, ST/I001204/1] Funding Source: UKRI; Direct For Mathematical &amp; Physical Scien; Division Of Physics [1806923, 1255557] Funding Source: National Science Foundation; Division Of Physics; Direct For Mathematical &amp; Physical Scien [0847658, 1752922, 1607555, 1404266] Funding Source: National Science Foundation; Div Of Information &amp; Intelligent Systems; Direct For Computer &amp; Info Scie &amp; Enginr [1250720] Funding Source: National Science Foundation; European Research Council (ERC) [805486] Funding Source: European Research Council (ERC)</t>
  </si>
  <si>
    <t>National Science Foundation (NSF) Office of Polar Programs and Physics Division(National Science Foundation (NSF)); Taiwan National Science Councils Vanguard Program; Belgian F. R. S.-FNRS(Fonds de la Recherche Scientifique - FNRS); University of Wisconsin Alumni Research Foundation; University of Maryland; Ohio State University(Ohio State University); NSF(National Science Foundation (NSF)); Astronomy and Astrophysics Postdoctoral Fellowship; Institute for Cyber-Enabled Research at Michigan State University; Bill and Linda Frost Fund at the California Polytechnic State University; United States-Israel Binational Science Foundation(US-Israel Binational Science Foundation); National Research Nuclear University MEPhi (Moscow Engineering Physics Institute); Leverhulme Trust(Leverhulme Trust); European Research Council under the European Union's Horizon 2020 research and innovation program(European Research Council (ERC)); STFC(UK Research &amp; Innovation (UKRI)Science &amp; Technology Facilities Council (STFC)); Direct For Mathematical &amp; Physical Scien; Division Of Physics(National Science Foundation (NSF)NSF - Directorate for Mathematical &amp; Physical Sciences (MPS)); Division Of Physics; Direct For Mathematical &amp; Physical Scien(National Science Foundation (NSF)NSF - Directorate for Mathematical &amp; Physical Sciences (MPS)); Div Of Information &amp; Intelligent Systems; Direct For Computer &amp; Info Scie &amp; Enginr(National Science Foundation (NSF)NSF - Directorate for Computer &amp; Information Science &amp; Engineering (CISE)); European Research Council (ERC)(European Research Council (ERC)Spanish Government)</t>
  </si>
  <si>
    <t>The main authors of this paper were Brian Clark, MingYuan Lu, and Jorge Torres, with Brian Clark and MingYuan Lu leading the data analysis for this result. The ARA Collaboration designed, constructed, and now operates the ARA detectors. Data processing and calibration, Monte Carlo simulations of the detector and of theoretical models and data analyses were performed by a large number of collaboration members, who also discussed and approved the scientific results presented here. We are grateful for contributions and discussions from Lucas Smith and Suren Gourapura. We are thankful to the National Science Foundation (NSF) Office of Polar Programs and Physics Division for funding support through Grants No. 1806923, No. 1404266, No. OPP-902483, No. OPP-1359535, and No. 1607555. We further thank the Taiwan National Science Councils Vanguard Program NSC 92-2628-M-002-09 and the Belgian F. R. S.-FNRS Grant No. 4.4508.01. We also thank the University of Wisconsin Alumni Research Foundation, the University of Maryland, and the Ohio State University for their support. B. A. C. thanks the NSF for support through the Graduate Research Fellowship Program Grant No. DGE-1343012 and the Astronomy and Astrophysics Postdoctoral Fellowship under Grant No. 1903885, as well as the Institute for Cyber-Enabled Research at Michigan State University. A. C. thanks the NSF for CAREER Grants No. 1255557 and No. GRT00049285 and also the Ohio Supercomputer Center. K. D. H. likewise thanks the NSF for their support through CAREER Grant No. 0847658. S. A. W. thanks the NSF for support through CAREER Grant No. 1752922 and the Bill and Linda Frost Fund at the California Polytechnic State University. A. C., H. L., and D. Z. B. thank the United States-Israel Binational Science Foundation for their support through Grant No. 2012077. A. C., A. K., and J. L. K. thank the NSF for the support through BIGDATA Grant No. 1250720. D. Z. B. and A. N. acknowledge support from National Research Nuclear University MEPhi (Moscow Engineering Physics Institute). K. H. thanks the NSF for support through the Graduate Research Fellowship Program Grant No. DGE1746045. A. G. V. thanks the Sloan Foundation and the Research Corporation for Science Advancement. R. J. N. thanks the Leverhulme Trust for their support. K. D. de V. is supported by European Research Council under the European Union's Horizon 2020 research and innovation program (Grant No. 805486). Finally, we are thankful to the Raytheon Polar Services Corporation, Lockheed Martin, and the Antarctic Support Contractor for field support and enabling our work on the harshest continent.</t>
  </si>
  <si>
    <t>2470-0010</t>
  </si>
  <si>
    <t>2470-0029</t>
  </si>
  <si>
    <t>PHYS REV D</t>
  </si>
  <si>
    <t>Phys. Rev. D</t>
  </si>
  <si>
    <t>10.1103/PhysRevD.102.043021</t>
  </si>
  <si>
    <t>Astronomy &amp; Astrophysics; Physics, Particles &amp; Fields</t>
  </si>
  <si>
    <t>Astronomy &amp; Astrophysics; Physics</t>
  </si>
  <si>
    <t>NE9OS</t>
  </si>
  <si>
    <t>WOS:000562934100014</t>
  </si>
  <si>
    <t>Stapf, J; Ehrlich, A; Jäkel, E; Lüpkes, C; Wendisch, M</t>
  </si>
  <si>
    <t>Stapf, Johannes; Ehrlich, Andre; Jaekel, Evelyn; Luepkes, Christof; Wendisch, Manfred</t>
  </si>
  <si>
    <t>Reassessment of shortwave surface cloud radiative forcing in the Arctic: consideration of surface-albedo-cloud interactions</t>
  </si>
  <si>
    <t>ANTARCTIC SEA-ICE; SOLAR-RADIATION; AIRBORNE MEASUREMENTS; SPECTRAL ALBEDO; OPTICAL DEPTH; MONTE-CARLO; IN-SITU; PART II; SNOW; AMPLIFICATION</t>
  </si>
  <si>
    <t>The concept of cloud radiative forcing (CRF) is commonly applied to quantify the impact of clouds on the surface radiative energy budget (REB). In the Arctic, specific radiative interactions between microphysical and macrophysical properties of clouds and the surface strongly modify the warming or cooling effect of clouds, complicating the estimate of CRF obtained from observations or models. Clouds tend to increase the broadband surface albedo over snow or sea ice surfaces compared to cloud-free conditions. However, this effect is not adequately considered in the derivation of CRF in the Arctic so far. Therefore, we have quantified the effects caused by surface-albedo- cloud interactions over highly reflective snow or sea ice surfaces on the CRF using radiative transfer simulations and below-cloud airborne observations above the heterogeneous springtime marginal sea ice zone (MIZ) during the Arctic CLoud Observations Using airborne measurements during polar Day (ACLOUD) campaign. The impact of a modified surface albedo in the presence of clouds, as compared to cloud-free conditions, and its dependence on cloud optical thickness is found to be relevant for the estimation of the shortwave CRF. A method is proposed to consider this surface albedo effect on CRF estimates by continuously retrieving the cloud-free surface albedo from observations under cloudy conditions, using an available snow and ice albedo parameterization. Using ACLOUD data reveals that the estimated average shortwave cooling by clouds almost doubles over snow- and ice-covered surfaces (-62 Wm(-2) instead of -32 Wm(-2)), if surface-albedo-cloud interactions are considered. As a result, the observed total (shortwave plus longwave) CRF shifted from a warming effect to an almost neutral one. Concerning the seasonal cycle of the surface albedo, it is demonstrated that this effect enhances shortwave cooling in periods when snow dominates the surface and potentially weakens the cooling by optically thin clouds during the summertime melting season. These findings suggest that the surface-albedo-cloud interaction should be considered in global climate models and in long-term studies to obtain a realistic estimate of the shortwave CRF to quantify the role of clouds in Arctic amplification.</t>
  </si>
  <si>
    <t>[Stapf, Johannes; Ehrlich, Andre; Jaekel, Evelyn; Wendisch, Manfred] Univ Leipzig, Leipzig Inst Meteorol LIM, Leipzig, Germany; [Luepkes, Christof] Helmholtz Ctr Polar &amp; Marine Res, Alfred Wegener Inst, Bremerhaven, Germany</t>
  </si>
  <si>
    <t>Leipzig University; Helmholtz Association; Alfred Wegener Institute, Helmholtz Centre for Polar &amp; Marine Research</t>
  </si>
  <si>
    <t>Stapf, J (corresponding author), Univ Leipzig, Leipzig Inst Meteorol LIM, Leipzig, Germany.</t>
  </si>
  <si>
    <t>johannes.stapf@uni-leipzig.de</t>
  </si>
  <si>
    <t>Wendisch, Manfred/E-4175-2013; Ehrlich, André/H-9670-2013; amplification, ³ - Arctic/AAU-6640-2020; Lupkes, Christof/B-4897-2014</t>
  </si>
  <si>
    <t>Wendisch, Manfred/0000-0002-4652-5561; Ehrlich, André/0000-0003-0860-8216; Stapf, Johannes/0000-0002-9527-8245; Lupkes, Christof/0000-0001-6518-0717</t>
  </si>
  <si>
    <t>Deutsche Forschungsgemeinschaft (DFG, German Research Foundation) [268020496 - TRR 172]</t>
  </si>
  <si>
    <t>This research has been supported by the Deutsche Forschungsgemeinschaft (DFG, German Research Foundation) (project no. 268020496 - TRR 172).</t>
  </si>
  <si>
    <t>AUG 26</t>
  </si>
  <si>
    <t>10.5194/acp-20-9895-2020</t>
  </si>
  <si>
    <t>NJ9EC</t>
  </si>
  <si>
    <t>WOS:000566345900002</t>
  </si>
  <si>
    <t>Ito, A; Perron, MMG; Proemse, BC; Strzelec, M; Gault-Ringold, M; Boyd, PW; Bowie, AR</t>
  </si>
  <si>
    <t>Ito, Akinori; Perron, Morgane M. G.; Proemse, Bernadette C.; Strzelec, Michal; Gault-Ringold, Melanie; Boyd, Philip W.; Bowie, Andrew R.</t>
  </si>
  <si>
    <t>Evaluation of aerosol iron solubility over Australian coastal regions based on inverse modeling: implications of bushfires on bioaccessible iron concentrations in the Southern Hemisphere</t>
  </si>
  <si>
    <t>PROGRESS IN EARTH AND PLANETARY SCIENCE</t>
  </si>
  <si>
    <t>Mineral dust; Bushfire; Coal mine; Climate change; Bioaccessible iron; Labile iron</t>
  </si>
  <si>
    <t>BIOMASS BURNING EMISSIONS; OCEAN BIOGEOCHEMISTRY; BIOAVAILABLE IRON; FIRE EMISSIONS; SOLUBLE IRON; DRY SEASON; DUST; DEPOSITION; DISTRIBUTIONS; MOBILIZATION</t>
  </si>
  <si>
    <t>Mineral dust is the major source of external micro-nutrients such as iron (Fe) to the open ocean. However, large uncertainties in model estimates of Fe emissions and aerosol-bearing Fe solubility (i.e., the ratio of labile Fe (L-Fe) to total Fe (T-Fe)) in the Southern Hemisphere (SH) hampered accurate estimates of atmospheric delivery of bioavailable Fe to the Southern Ocean. This study applied an inverse modeling technique to a global aerosol chemistry transport model (IMPACT) in order to optimize predictions of mineral aerosol Fe concentrations based on recent observational data over Australian coastal regions (110 degrees E-160 degrees E and 10 degrees S-41 degrees S). The optimized (a posteriori) model did not only better capture aerosol T(Fe)concentrations downwind from Australian dust outbreak but also successfully reproduced enhanced Fe solubility (7.8 +/- 8.4%) and resulted in much better agreement of L(Fe)concentrations with the field measurements (1.4 +/- 1.5 vs. 1.4 +/- 2.3 ng Fe m(-3)). The a posteriori model estimates suggested that bushfires contributed a large fraction of L(Fe)concentrations in aerosols, although substantial contribution from missing sources (e.g., coal mining activities, volcanic eruption, and secondary formation) was still inferred. These findings may have important implications for the projection of future micro-nutrient supply to the oceans as increasing frequency and intensity of open biomass burning are projected in the SH.</t>
  </si>
  <si>
    <t>[Ito, Akinori] JAMSTEC, Yokohama Inst Earth Sci, Yokohama, Kanagawa 2360001, Japan; [Perron, Morgane M. G.; Proemse, Bernadette C.; Strzelec, Michal; Boyd, Philip W.; Bowie, Andrew R.] Univ Tasmania, Inst Marine &amp; Antarct Studies, Battery Point, Tas, Australia; [Gault-Ringold, Melanie; Boyd, Philip W.; Bowie, Andrew R.] Univ Tasmania, Antarctic Climate &amp; Ecosyst CRC, Battery Point, Tas, Australia</t>
  </si>
  <si>
    <t>Japan Agency for Marine-Earth Science &amp; Technology (JAMSTEC); University of Tasmania; University of Tasmania</t>
  </si>
  <si>
    <t>Ito, A (corresponding author), JAMSTEC, Yokohama Inst Earth Sci, Yokohama, Kanagawa 2360001, Japan.</t>
  </si>
  <si>
    <t>akinorii@jamstec.go.jp</t>
  </si>
  <si>
    <t>Perron, Morgane/HHS-1241-2022; Ito, Akinori/M-9599-2014; Boyd, Philip W/J-7624-2014; Bowie, Andrew/C-8677-2013</t>
  </si>
  <si>
    <t>Ito, Akinori/0000-0002-4937-2927; Bowie, Andrew/0000-0002-5144-7799; Perron, Morgane/0000-0001-5424-7138</t>
  </si>
  <si>
    <t>JSPS KAKENHI [20H04329, 18H04143]; Integrated Research Program for Advancing Climate Models (TOUGOU) Grant from the Ministry of Education, Culture, Sports, Science and Technology (MEXT), Japan [JPMXD0717935715]; Australian Research Council, Future Fellowship through the Antarctic Climate and Ecosystems Cooperative Research Centre (ACE CRC) [FT130100037]; Grants-in-Aid for Scientific Research [20H04329, 18H04143] Funding Source: KAKEN</t>
  </si>
  <si>
    <t>JSPS KAKENHI(Ministry of Education, Culture, Sports, Science and Technology, Japan (MEXT)Japan Society for the Promotion of ScienceGrants-in-Aid for Scientific Research (KAKENHI)); Integrated Research Program for Advancing Climate Models (TOUGOU) Grant from the Ministry of Education, Culture, Sports, Science and Technology (MEXT), Japan; Australian Research Council, Future Fellowship through the Antarctic Climate and Ecosystems Cooperative Research Centre (ACE CRC)(Australian Research Council); Grants-in-Aid for Scientific Research(Ministry of Education, Culture, Sports, Science and Technology, Japan (MEXT)Japan Society for the Promotion of ScienceGrants-in-Aid for Scientific Research (KAKENHI))</t>
  </si>
  <si>
    <t>The support for this research was provided to AI by JSPS KAKENHI Grant Number 20H04329 and 18H04143, and Integrated Research Program for Advancing Climate Models (TOUGOU) Grant Number JPMXD0717935715 from the Ministry of Education, Culture, Sports, Science and Technology (MEXT), Japan. This work was supported by grants from the Australian Research Council, Future Fellowship (FT130100037 to ARB), through the Antarctic Climate and Ecosystems Cooperative Research Centre (ACE CRC) and from fieldwork support through the Australian Marine National Facility (MNF).</t>
  </si>
  <si>
    <t>2197-4284</t>
  </si>
  <si>
    <t>PROG EARTH PLANET SC</t>
  </si>
  <si>
    <t>Prog. Earth Planet. Sci.</t>
  </si>
  <si>
    <t>10.1186/s40645-020-00357-9</t>
  </si>
  <si>
    <t>NK1VA</t>
  </si>
  <si>
    <t>WOS:000566525600001</t>
  </si>
  <si>
    <t>Mestre, J; Authier, M; Cherel, Y; Harcourt, R; McMahon, CR; Hindell, MA; Charrassin, JB; Guinet, C</t>
  </si>
  <si>
    <t>Mestre, Julie; Authier, Matthieu; Cherel, Yves; Harcourt, Rob; McMahon, Clive R.; Hindell, Mark A.; Charrassin, Jean-Benoit; Guinet, Christophe</t>
  </si>
  <si>
    <t>Decadal changes in blood δ13C values, at-sea distribution, and weaning mass of southern elephant seals from Kerguelen Islands</t>
  </si>
  <si>
    <t>foraging habitat; stable isotopes; bio-logging; population strategies; decadal change; Indian sector of the Southern Ocean</t>
  </si>
  <si>
    <t>CARBON ISOTOPIC COMPOSITION; SINKING ORGANIC-MATTER; MIROUNGA-LEONINA; STABLE-ISOTOPES; CLIMATE-CHANGE; ENVIRONMENTAL-CHANGE; DIETARY SHIFTS; FORAGING AREAS; GROWTH-RATE; POPULATION</t>
  </si>
  <si>
    <t>Changes in the foraging environment and at-sea distribution of southern elephant seals from Kerguelen Islands were investigated over a decade (2004-2018) using tracking, weaning mass, and blood delta C-13 values. Females showed either a sub-Antarctic or an Antarctic foraging strategy, and no significant shift in their at-sea distribution was detected between 2004 and 2017. The proportion of females foraging in sub-Antarctic versus Antarctic habitats did not change over the 2006-2018 period. Pup weaning mass varied according to the foraging habitat of their mothers. The weaning mass of sub-Antarctic foraging mothers' pups decreased by 11.7 kg over the study period, but they were on average 5.8 kg heavier than pups from Antarctic foraging mothers. Pup blood delta C-13 values decreased by 1.1 parts per thousand over the study period regardless of their sex and the presumed foraging habitat of their mothers. Together, these results suggest an ecological change is occurring within the Indian sector of the Southern Ocean with possible consequences on the foraging performance of southern elephant seals. We hypothesize that this shift in delta C-13 is related to a change in primary production and/or in the composition of phytoplankton communities, but this requires further multidisciplinary investigations.</t>
  </si>
  <si>
    <t>[Mestre, Julie; Cherel, Yves; Guinet, Christophe] La Rochelle Univ, Ctr Etud Biol Chize CEBC, UMR 7372, CNRS, F-79360 Villiers En Bois, France; [Mestre, Julie] Sorbonne Univ, Coll Doctoral, F-75005 Paris, France; [Authier, Matthieu] La Rochelle Univ, UMS 3462, Observ PELAGIS, La Rochelle, France; [Authier, Matthieu] CNRS, La Rochelle, France; [Authier, Matthieu] ADERA, Pessac, France; [Harcourt, Rob; McMahon, Clive R.] Macquarie Univ, Dept Biol Sci, N Ryde, NSW, Australia; [McMahon, Clive R.] Sydney Inst Marine Sci, IMOS Anim Tagging, Sydney, NSW, Australia; [McMahon, Clive R.; Hindell, Mark A.] Univ Tasmania, Inst Marine &amp; Antarctic Studies, Hobart, Tas, Australia; [Charrassin, Jean-Benoit] Sorbonne Univ, LOCEAN IPSL, UMR 7159 Paris, CNRS,IRD,MNHN, Paris, France</t>
  </si>
  <si>
    <t>Centre National de la Recherche Scientifique (CNRS); CNRS - Institute of Ecology &amp; Environment (INEE); Sorbonne Universite; Centre National de la Recherche Scientifique (CNRS); CNRS - Institute of Ecology &amp; Environment (INEE); Centre National de la Recherche Scientifique (CNRS); Macquarie University; Sydney Institute of Marine Science; University of Tasmania; Museum National d'Histoire Naturelle (MNHN); Institut de Recherche pour le Developpement (IRD); Sorbonne Universite; Centre National de la Recherche Scientifique (CNRS)</t>
  </si>
  <si>
    <t>Mestre, J (corresponding author), La Rochelle Univ, Ctr Etud Biol Chize CEBC, UMR 7372, CNRS, F-79360 Villiers En Bois, France.;Mestre, J (corresponding author), Sorbonne Univ, Coll Doctoral, F-75005 Paris, France.</t>
  </si>
  <si>
    <t>julie.mestre@cebc.cnrs.fr</t>
  </si>
  <si>
    <t>Mestre, Julie/JFJ-3430-2023; Hindell, Mark A/K-1131-2013; McMahon, Clive R/D-5713-2013</t>
  </si>
  <si>
    <t>Mestre, Julie/0000-0003-3020-8921; McMahon, Clive R/0000-0001-5241-8917; Hindell, Mark/0000-0002-7823-7185; Harcourt, Robert/0000-0003-4666-2934; Cherel, Yves/0000-0001-9469-9489; GUINET, Christophe/0000-0003-2481-6947</t>
  </si>
  <si>
    <t>BNP Paribas Foundation; French National program LEFE (Les Enveloppes Fluides et l'Environnement); program Terre, Ocean, Surfaces Continentales, Atmosphere (TOSCA) of the Centre National d'Etudes Spatiales; Agence Nationale de la Recherche; Total Foundation; Australian Government; Institut Polaire Francais Paul Emile Victor (IPEV program 109); Institut Polaire Francais Paul Emile Victor (IPEV program 1201)</t>
  </si>
  <si>
    <t>BNP Paribas Foundation; French National program LEFE (Les Enveloppes Fluides et l'Environnement); program Terre, Ocean, Surfaces Continentales, Atmosphere (TOSCA) of the Centre National d'Etudes Spatiales; Agence Nationale de la Recherche(Agence Nationale de la Recherche (ANR)); Total Foundation(Total SA); Australian Government(Australian Government); Institut Polaire Francais Paul Emile Victor (IPEV program 109); Institut Polaire Francais Paul Emile Victor (IPEV program 1201)</t>
  </si>
  <si>
    <t>This study contributes to SENtinels of the SEa Ice program funded by the BNP Paribas Foundation. It benefited from a discussion held in the framework of the KER-TREND project supported by the French National program LEFE (Les Enveloppes Fluides et l'Environnement). The marine mammal data were sourced from the International MEOP Consortium and the national programs that contribute to it (http://meop.net), including the French National Observatory Mammals as samplers of the Ocean Environment (SNO-MEMO) data and the Integrated Marine Observing System (IMOS) for the Australian data. The French satellite tagging program was financially supported by the program Terre, Ocean, Surfaces Continentales, Atmosphere (TOSCA) of the Centre National d'Etudes Spatiales -over the whole study period -, the Agence Nationale de la Recherche and the Total Foundation. IMOS is a national collaborative research infrastructure, supported by the Australian Government. It is operated by a consortium of institutions as an unincorporated joint venture, with the University of Tasmania as lead agent. We finally thank the Institut Polaire Francais Paul Emile Victor (IPEV programs 109, H. Weimerskirch, and 1201, C. Gilbert) for providing logistical and financial support.</t>
  </si>
  <si>
    <t>10.1098/rspb.2020.1544</t>
  </si>
  <si>
    <t>NG4AD</t>
  </si>
  <si>
    <t>WOS:000563925900003</t>
  </si>
  <si>
    <t>Llompart, FM; Fernández, DA; Aureliano, D; La Mesa, M</t>
  </si>
  <si>
    <t>Llompart, Facundo M.; Fernandez, Daniel A.; Aureliano, Daniel; La Mesa, Mario</t>
  </si>
  <si>
    <t>Life-history traits of the Magellan plunderfishHarpagifer bispinis(Forster, 1801) in the Beagle Channel (Tierra del Fuego, South America)</t>
  </si>
  <si>
    <t>Harpagiferids; Reproduction; Age and growth; Patagonia</t>
  </si>
  <si>
    <t>PATAGONOTOTHEN-TESSELLATA RICHARDSON; HARPAGIFER-BISPINIS; SHETLAND ISLANDS; ARTHUR HARBOR; NOTOTHENIOIDEI; GROWTH; AGE; MITOCHONDRIAL; REPRODUCTION; PLUNDERFISH</t>
  </si>
  <si>
    <t>The Magellan plunderfishHarpagifer bispinisis a small and benthic sub-Antarctic notothenioid commonly found in shallow waters of the Beagle Channel, whose biology is poorly known. Based on a seasonal sampling conducted throughout a year, we provide original data on some biological parameters, such as reproductive traits and age structure. The sampled population of Magellan plunderfish was sex balanced, showing no dimorphism in fish size and isometric body growth. Macroscopic and histological analyses of gonads enabled us to infer that this species is a total spawner, with a single annual spawning season during the austral winter. Total fecundity was considerably low (mean of 574 eggs per female), even compared with other harpagiferids. Based on daily increment counts made in juveniles, larval hatching took place between late September and early October, likely enhancing their survival during the warmer months. The Von Bertalanffy growth parameters, estimated from the length-at-age data pairs for the whole population, wereL(infinity) = 80.7 (+/- 0.82),K = 0.25 (+/- 0.01), andt(0) = - 2.31. The estimated growth performance (3.21) and life span (7 years) ofH.bispiniswere both comparable to those reported for their most closely related species,H.antarcticus. The life-history traits of Magellan plunderfish are discussed from an ecological and evolutionary perspective, through a comparative approach with their Antarctic counterparts.</t>
  </si>
  <si>
    <t>[Llompart, Facundo M.; Fernandez, Daniel A.; Aureliano, Daniel] Univ Nacl Tierra Fuego UNTDF, Inst Ciencias Polares Ambiente &amp; Recursos Nat ICP, Fuegia Basket 251,V9410BXE, Ushuaia, Tierra Del Fueg, Argentina; [Llompart, Facundo M.; Fernandez, Daniel A.] Consejo Nacl Invest Cient &amp; Tecn, Ctr Austral Invest Cient CADIC, Bernardo A Houssay 200,V9410BXE, Ushuaia, Tierra Del Fueg, Argentina; [La Mesa, Mario] Area Ric Bologna, ISP Ist Sci Polari, Via P Gobetti 101, I-40129 Bologna, Italy</t>
  </si>
  <si>
    <t>Consejo Nacional de Investigaciones Cientificas y Tecnicas (CONICET); Consiglio Nazionale delle Ricerche (CNR); Istituto di Scienze Polari (ISP-CNR)</t>
  </si>
  <si>
    <t>Llompart, FM (corresponding author), Univ Nacl Tierra Fuego UNTDF, Inst Ciencias Polares Ambiente &amp; Recursos Nat ICP, Fuegia Basket 251,V9410BXE, Ushuaia, Tierra Del Fueg, Argentina.;Llompart, FM (corresponding author), Consejo Nacl Invest Cient &amp; Tecn, Ctr Austral Invest Cient CADIC, Bernardo A Houssay 200,V9410BXE, Ushuaia, Tierra Del Fueg, Argentina.</t>
  </si>
  <si>
    <t>fllompart@untdf.edu.ar</t>
  </si>
  <si>
    <t>Consejo Nacional de Investigaciones Cientificas y Tecnicas [PIP 0440, PICT 2321]</t>
  </si>
  <si>
    <t>Consejo Nacional de Investigaciones Cientificas y Tecnicas(Consejo Nacional de Investigaciones Cientificas y Tecnicas (CONICET))</t>
  </si>
  <si>
    <t>This work was supported by the Consejo Nacional de Investigaciones Cientificas y Tecnicas (Grant Numbers PIP 0440 and PICT 2321). The authors are also grateful to Christopher D. Jones for their useful comments that improved the manuscript, Raimundo Bustos for his help with the map and M. Isabel Ledesma for her assistance with the English language editing of the manuscript.</t>
  </si>
  <si>
    <t>10.1007/s00300-020-02735-x</t>
  </si>
  <si>
    <t>NK5PQ</t>
  </si>
  <si>
    <t>WOS:000563170700001</t>
  </si>
  <si>
    <t>Amos, M; Young, PJ; Hosking, JS; Lamarque, JF; Abraham, NL; Akiyoshi, H; Archibald, AT; Bekki, S; Deushi, M; Jöckel, P; Kinnison, D; Kirner, O; Kunze, M; Marchand, M; Plummer, DA; Saint-Martin, D; Sudo, K; Tilmes, S; Yamashita, Y</t>
  </si>
  <si>
    <t>Amos, Matt; Young, Paul J.; Hosking, J. Scott; Lamarque, Jean-Francois; Abraham, N. Luke; Akiyoshi, Hideharu; Archibald, Alexander T.; Bekki, Slimane; Deushi, Makoto; Jockel, Patrick; Kinnison, Douglas; Kirner, Ole; Kunze, Markus; Marchand, Marion; Plummer, David A.; Saint-Martin, David; Sudo, Kengo; Tilmes, Simone; Yamashita, Yousuke</t>
  </si>
  <si>
    <t>Projecting ozone hole recovery using an ensemble of chemistry-climate models weighted by model performance and independence</t>
  </si>
  <si>
    <t>EARTH SYSTEM MODEL; RETURN DATES; CMIP5; SIMULATIONS; EMISSIONS; DEPLETION; CCMVAL-2; METHODOLOGY; CIRCULATION; VALIDATION</t>
  </si>
  <si>
    <t>Calculating a multi-model mean, a commonly used method for ensemble averaging, assumes model independence and equal model skill. Sharing of model components amongst families of models and research centres, conflated by growing ensemble size, means model independence cannot be assumed and is hard to quantify. We present a methodology to produce a weighted-model ensemble projection, accounting for model performance and model independence. Model weights are calculated by comparing model hindcasts to a selection of metrics chosen for their physical relevance to the process or phenomena of interest. This weighting methodology is applied to the Chemistry-Climate Model Initiative (CCMI) ensemble to investigate Antarctic ozone depletion and subsequent recovery. The weighted mean projects an ozone recovery to 1980 levels, by 2056 with a 95 % confidence interval (2052-2060), 4 years earlier than the most recent study. Perfect-model testing and out-of-sample testing validate the results and show a greater projective skill than a standard multi-model mean. Interestingly, the construction of a weighted mean also provides insight into model performance and dependence between the models. This weighting methodology is robust to both model and metric choices and therefore has potential applications throughout the climate and chemistry-climate modelling communities.</t>
  </si>
  <si>
    <t>[Amos, Matt; Young, Paul J.] Univ Lancaster, Lancaster Environm Ctr, Lancaster, England; [Young, Paul J.] Univ Lancaster, Ctr Excellence Environm Data Sci, Lancaster, England; [Hosking, J. Scott] British Antarctic Survey, Cambridge, England; [Lamarque, Jean-Francois; Kinnison, Douglas; Tilmes, Simone] Natl Ctr Atmospher Res NCAR, Boulder, CO USA; [Abraham, N. Luke; Archibald, Alexander T.] Univ Cambridge, Dept Chem, Cambridge, England; [Abraham, N. Luke; Archibald, Alexander T.] Natl Ctr Atmospher Sci NCAS, Leeds LS2 9PH, W Yorkshire, England; [Akiyoshi, Hideharu; Yamashita, Yousuke] Natl Inst Environm Studies NIES, Tsukuba, Ibaraki, Japan; [Bekki, Slimane; Marchand, Marion] Inst Pierre Simon Laplace IPSL, LATMOS, Paris, France; [Deushi, Makoto] Meteorol Res Inst MRI, Tsukuba, Ibaraki, Japan; [Jockel, Patrick] Deutsch Zentrum Luft &amp; Raumfahrt DLR, Inst Phys Atmosphare, Oberpfaffenhofen, Germany; [Kirner, Ole] Karlsruhe Inst Technol, Steinbuch Ctr Comp, Karlsruhe, Germany; [Kunze, Markus] Free Univ Berlin, Inst Meteorol, Berlin, Germany; [Plummer, David A.] Environm &amp; Climate Change Canada, Montreal, PQ, Canada; [Saint-Martin, David] Univ Toulouse, CNRS, Meteo France, CNRM, Toulouse, France; [Sudo, Kengo] Nagoya Univ, Grad Sch Environm Studies, Nagoya, Aichi, Japan; [Sudo, Kengo] Japan Agcy Marine Earth Sci &amp; Technol JAMSTEC, Yokohama, Kanagawa, Japan</t>
  </si>
  <si>
    <t>Lancaster University; Lancaster University; UK Research &amp; Innovation (UKRI); Natural Environment Research Council (NERC); NERC British Antarctic Survey; National Center Atmospheric Research (NCAR) - USA; University of Cambridge; National Institute for Environmental Studies - Japan; Sorbonne Universite; Universite Paris Saclay; Helmholtz Association; German Aerospace Centre (DLR); Helmholtz Association; Karlsruhe Institute of Technology; Free University of Berlin; Environment &amp; Climate Change Canada; Centre National de la Recherche Scientifique (CNRS); Meteo France; Universite de Toulouse; Nagoya University; Japan Agency for Marine-Earth Science &amp; Technology (JAMSTEC)</t>
  </si>
  <si>
    <t>Amos, M (corresponding author), Univ Lancaster, Lancaster Environm Ctr, Lancaster, England.</t>
  </si>
  <si>
    <t>matt.r.amos@outlook.com</t>
  </si>
  <si>
    <t>bekki, slimane/J-7221-2015; Archibald, Alexander/GRR-5452-2022; Yamashita, Yousuke/AAB-4754-2019; Akiyoshi, Hideharu/H-8170-2018; Jöckel, Patrick/C-3687-2009; Saint-Martin, David/P-7006-2018; Tilmes, Simone/JUV-6618-2023; Sudo, Kengo/I-6394-2014; Jöckel, Patrick/AAN-1285-2020; Hosking, Scott/D-3437-2013; Kirner, Oliver/K-8815-2015; Lamarque, Jean-Francois/L-2313-2014</t>
  </si>
  <si>
    <t>bekki, slimane/0000-0002-5538-0800; Yamashita, Yousuke/0000-0002-6813-4668; Jöckel, Patrick/0000-0002-8964-1394; Tilmes, Simone/0000-0002-6557-3569; Sudo, Kengo/0000-0002-5013-4168; Jöckel, Patrick/0000-0002-8964-1394; Hosking, Scott/0000-0002-3646-3504; Amos, Matt/0000-0002-1166-0915; Archibald, Alexander/0000-0001-9302-4180; Abraham, Nathan Luke/0000-0003-3750-3544; Kunze, Markus/0000-0002-9608-1823; Saint-Martin, David/0000-0002-8478-6914; Kirner, Oliver/0000-0001-5668-6177; Lamarque, Jean-Francois/0000-0002-4225-5074; Akiyoshi, Hideharu/0000-0001-6463-9004; Deushi, Makoto/0000-0002-0373-3918</t>
  </si>
  <si>
    <t>Natural Environment Research Council [NE/L002604/1]; Engineering and Physical Sciences Research Council [EP/R01860X/1]; Grants-in-Aid for Scientific Research [20H04320, 20K12155, 20H01977] Funding Source: KAKEN; EPSRC [EP/R01860X/1] Funding Source: UKRI; NERC [ncas10014, NE/R004927/1, bas0100032] Funding Source: UKRI</t>
  </si>
  <si>
    <t>Natural Environment Research Council(UK Research &amp; Innovation (UKRI)Natural Environment Research Council (NERC)); Engineering and Physical Sciences Research Council(UK Research &amp; Innovation (UKRI)Engineering &amp; Physical Sciences Research Council (EPSRC)); Grants-in-Aid for Scientific Research(Ministry of Education, Culture, Sports, Science and Technology, Japan (MEXT)Japan Society for the Promotion of ScienceGrants-in-Aid for Scientific Research (KAKENHI)); EPSRC(UK Research &amp; Innovation (UKRI)Engineering &amp; Physical Sciences Research Council (EPSRC)); NERC(UK Research &amp; Innovation (UKRI)Natural Environment Research Council (NERC))</t>
  </si>
  <si>
    <t>This research has been supported by the Natural Environment Research Council (grant no. NE/L002604/1) and the Engineering and Physical Sciences Research Council (grant no. EP/R01860X/1).</t>
  </si>
  <si>
    <t>10.5194/acp-20-9961-2020</t>
  </si>
  <si>
    <t>Green Accepted, Green Submitted, gold, Green Published</t>
  </si>
  <si>
    <t>WOS:000566345900005</t>
  </si>
  <si>
    <t>Allyn, EM; Scordino, JJ</t>
  </si>
  <si>
    <t>Allyn, Elizabeth Marina; Scordino, Jonathan Joseph</t>
  </si>
  <si>
    <t>Entanglement rates and haulout abundance trends of Steller (Eumetopias jubatus) and California (Zalophus californianus) sea lions on the north coast of Washington state</t>
  </si>
  <si>
    <t>MAN-MADE DEBRIS; ANTARCTIC FUR SEALS; NORTHWESTERN HAWAIIAN-ISLANDS; GULF-OF-CALIFORNIA; MARINE DEBRIS; FISHING GEAR; NEW-ZEALAND; MONK SEAL; PINNIPEDS; FISHERIES</t>
  </si>
  <si>
    <t>Entanglements affect marine mammal species around the globe, and for some, those impacts are great enough to cause population declines. This study aimed to document rates and causes of entanglement and trends in local haulout abundance for Steller and California sea lions on the north coast of Washington from 2010-2018. We conducted small boat surveys to count sea lions and document entangled individuals. Rates of entanglement and entangling material occurrence were compared with records of stranded individuals on the Washington and Oregon coast and with packing bands recorded during beach debris surveys. The rate of entanglement for California sea lions was 2.13%, almost entirely composed of adult males, with a peak rate during June and July potentially due to some entangled individuals not migrating to their breeding grounds. For Steller sea lions, the rate of entanglement was 0.41%, composed of 77% adults (32.4% male, 63.3% female), 17.1% juveniles, 5.9% unknown age, and no pups. Steller sea lions exhibited a 7.9% +/- 3.2 rate of increase in abundance at the study haulouts, which was similar to that seen in California sea lions (7.8% +/- 4.2); both increases were greater than the population growth rates observed range-wide despite high rates of entanglement. Most entanglements for both species were classified as packing bands, followed by entanglement scars. Salmon flashers were also prevalent and only occurred from June-September during the local ocean salmon troll fishery. Packing band occurrence in beach debris surveys correlated with packing band entanglements observed on haulouts. However, no packing band entanglements were observed in the stranding record and the rate of stranded animals exhibiting evidence of entanglement was lower than expected, indicating that entanglement survival is higher than previously assumed. Future studies tracking individual entanglement outcomes are needed to develop effective, targeted management strategies.</t>
  </si>
  <si>
    <t>[Allyn, Elizabeth Marina; Scordino, Jonathan Joseph] Makah Tribe, Marine Mammal Program, Makah Fisheries Management, Neah Bay, WA 98357 USA</t>
  </si>
  <si>
    <t>Allyn, EM (corresponding author), Makah Tribe, Marine Mammal Program, Makah Fisheries Management, Neah Bay, WA 98357 USA.</t>
  </si>
  <si>
    <t>liz.allyn@makah.com</t>
  </si>
  <si>
    <t>Allyn, Elizabeth/0000-0002-7773-0277</t>
  </si>
  <si>
    <t>Species Recovery Grant by the National Marine Fisheries Service [NA10NMF4720372, NA13NMF4720121, NA16NMF4720059]; Bonneville Power Administration Tribal Capacity Building Grant [82213, DIT-7]; National Science Foundation [1851489/AWD100060 (SUB0000043)]; John H. Prescott Marine Mammal Rescue Assistance Grant [NA10NMF4390242, NA16NMF4390349, NA09NMF4390198]; Saltonstall-Kennedy Grant Program [NA16NMF4270250]; Bycatch Reduction Engineering Program [NA14NMF4720323]; Preserve America Grant [NFFP7410-12-03544]; NOAA Cooperative Research Grant [NA12NMF4720174]; Bureau of Indian Affairs [A20AP00138, CTP06T10815]; Washington SeaGrant [UWSC10428, UWSC11759]; North Pacific Coast Marine Resource Committee</t>
  </si>
  <si>
    <t>Species Recovery Grant by the National Marine Fisheries Service; Bonneville Power Administration Tribal Capacity Building Grant; National Science Foundation(National Science Foundation (NSF)); John H. Prescott Marine Mammal Rescue Assistance Grant; Saltonstall-Kennedy Grant Program; Bycatch Reduction Engineering Program; Preserve America Grant; NOAA Cooperative Research Grant(National Oceanic Atmospheric Admin (NOAA) - USA); Bureau of Indian Affairs; Washington SeaGrant; North Pacific Coast Marine Resource Committee</t>
  </si>
  <si>
    <t>EMA and JJS both work for the Makah Fisheries Management Department of the Makah Tribe. Funding for this project was provided by the Species Recovery Grant to Tribes that is administered by the National Marine Fisheries Service (NA10NMF4720372, NA13NMF4720121, NA16NMF4720059). Award NA16NMF4720059 funded analysis and writing of the manuscript. EMA and JJS also receive funding from the Bonneville Power Administration Tribal Capacity Building Grant (82213, DIT-7), the National Science Foundation through a subaward granted to the University of Chicago (1851489/AWD100060 (SUB0000043)), and the John H. Prescott Marine Mammal Rescue Assistance Grant administered by the National Marine Fisheries Service (NA10NMF4390242, NA16NMF4390349, NA09NMF4390198). Author JJS has also received funding support through the Saltonstall-Kennedy Grant Program (NA16NMF4270250), the Bycatch Reduction Engineering Program (NA14NMF4720323), the Preserve America Grant (NFFP7410-12-03544), and a NOAA Cooperative Research Grant (NA12NMF4720174) which are all administered by the National Marine Fisheries Service; the Bureau of Indian Affairs (A20AP00138, CTP06T10815); Washington SeaGrant (UWSC10428, UWSC11759); and the North Pacific Coast Marine Resource Committee (No award numbers). Funders played no role in the development, implementation, or analysis of the work completed for this manuscript.</t>
  </si>
  <si>
    <t>AUG 25</t>
  </si>
  <si>
    <t>e0237178</t>
  </si>
  <si>
    <t>10.1371/journal.pone.0237178</t>
  </si>
  <si>
    <t>NI7UF</t>
  </si>
  <si>
    <t>WOS:000565553400059</t>
  </si>
  <si>
    <t>Huston, DC; Cribb, TH; Smales, LR</t>
  </si>
  <si>
    <t>Huston, Daniel C.; Cribb, Thomas H.; Smales, Lesley R.</t>
  </si>
  <si>
    <t>Molecular characterisation of acanthocephalans from Australian marine teleosts: proposal of a new family, synonymy of another and transfer of taxa between orders (vol 97, pg 1, 2020)</t>
  </si>
  <si>
    <t>SYSTEMATIC PARASITOLOGY</t>
  </si>
  <si>
    <t>Shortly after publication it was brought to authors' attention that two of the cox1 sequences reported in the study, those ofNeoechinorhynchus tylosuri(MN692675) andTransvena annulospinosa(MN692690) were potentially erroneous. After investigation, it was determined that this was indeed the case and was caused by contamination of original sequencing results. They were found to be near-duplicates of other species from the same sequencing batch. These sequences have been removed from GenBank. Unfortunately, this means that nocox1 sequence data were provided for the above two species in the referenced study. The remainingcox1 sequences reported have been checked and are reliable. Furthermore,cox1 sequence data were not analysed as part of the study, and thus the above error does not affect the results or conclusions of the study. Corrections to the text in reference to the above are made in Table 1 (removal of the above GenBank accession numbers), on page 10 (Sequence data for all three targeted markers were obtained for13(rather than 15) of the 17 acanthocephalan species studied) and on page 19 (We generated newcox1sequence data for all butthree(rather than one) of the acanthocephalan species from our collection horizontal ellipsis ).</t>
  </si>
  <si>
    <t>[Huston, Daniel C.] Univ Tasmania, Inst Marine &amp; Antarctic Studies, Hobart, Tas 7001, Australia; [Cribb, Thomas H.] Univ Queensland, Sch Biol Sci, St Lucia, Qld 4072, Australia; [Smales, Lesley R.] South Australian Museum, Parasitol Sect, Adelaide, SA 5000, Australia</t>
  </si>
  <si>
    <t>University of Tasmania; University of Queensland; South Australian Museum</t>
  </si>
  <si>
    <t>Huston, DC (corresponding author), Univ Tasmania, Inst Marine &amp; Antarctic Studies, Hobart, Tas 7001, Australia.</t>
  </si>
  <si>
    <t>Daniel.Huston@uqconnect.edu.au</t>
  </si>
  <si>
    <t>Smales, Lesley/0000-0002-1587-8129; Huston, Daniel Colgan/0000-0002-1015-4703; Cribb, Thomas/0000-0003-1092-9705</t>
  </si>
  <si>
    <t>0165-5752</t>
  </si>
  <si>
    <t>1573-5192</t>
  </si>
  <si>
    <t>SYST PARASITOL</t>
  </si>
  <si>
    <t>Syst. Parasitol.</t>
  </si>
  <si>
    <t>10.1007/s11230-020-09932-6</t>
  </si>
  <si>
    <t>OV2JU</t>
  </si>
  <si>
    <t>WOS:000562698200001</t>
  </si>
  <si>
    <t>Aldea, C; Novoa, L; Alcaino, S; Rosenfeld, S</t>
  </si>
  <si>
    <t>Aldea, Cristian; Novoa, Leslie; Alcaino, Samuel; Rosenfeld, Sebastian</t>
  </si>
  <si>
    <t>Diversity of benthic marine mollusks of the Strait of Magellan, Chile (Polyplacophora, Gastropoda, Bivalvia): a historical review of natural history</t>
  </si>
  <si>
    <t>benthos; Magellanic Biogeographic Province; Mollusca; South Atlantic; South Pacific; species richness</t>
  </si>
  <si>
    <t>ANTARCTIC WATERS GASTROPODA; CAPTURE PROBABILITIES VARY; GENUS TROPHON MONTFORT; COMMUNITY STRUCTURE; CHITONS MOLLUSCA; POPULATION-SIZE; SOUTH-AMERICA; REVISION; LIMPETS; BIODIVERSITY</t>
  </si>
  <si>
    <t>An increase in richness of benthic marine mollusks towards high latitudes has been described on the Pacific coast of Chile in recent decades. This considerable increase in diversity occurs specifically at the beginning of the Magellanic Biogeographic Province. Within this province lies the Strait of Magellan, considered the most important channel because it connects the South Pacific and Atlantic Oceans. These characteristics make it an interesting area for marine research; thus, the Strait of Magellan has historically been the area with the greatest research effort within the province. However, despite efforts there is no comprehensive and updated list of the diversity of mollusks within the Strait of Magellan up to now. This study consisted of a complete bibliographic review of all available literature that included samples of mollusks in the Strait of Magellan. More than 300 articles were reviewed, covering 200 years of scientific knowledge. There were 2579 records belonging to 412 taxa, of which 347 are valid species. Of the total valid species, 44 (similar to 13%) are considered of doubtful presence in the Strait. This work increases the known richness of mollusks of the Strait of Magellan by 228%; it is also the first report that integrates all available diversity studies of the three most speciose classes of benthic mollusks (Gastropoda, Bivalvia and Polyplacophora) from the Strait of Magellan.</t>
  </si>
  <si>
    <t>[Aldea, Cristian] Univ Magallanes, Ctr Invest GAIA Antartica, Ave Bulnes 01855, Punta Arenas, Chile; [Aldea, Cristian; Novoa, Leslie; Alcaino, Samuel] Univ Magallanes, Dept Ciencias &amp; Recursos Nat, Punta Arenas, Chile; [Rosenfeld, Sebastian] Univ Chile, Dept Ciencias Ecol, Fac Ciencias, Lab Ecol Mol, Santiago, Chile; [Rosenfeld, Sebastian] Univ Magallanes, Lab Ecosistemas Marinos Antarticos &amp; Subantartico, Punta Arenas, Chile; [Rosenfeld, Sebastian] Inst Ecol &amp; Biodiversidad, Santiago, Chile</t>
  </si>
  <si>
    <t>Universidad de Magallanes; Universidad de Magallanes; Universidad de Chile; Universidad de Magallanes</t>
  </si>
  <si>
    <t>Rosenfeld, S (corresponding author), Univ Chile, Dept Ciencias Ecol, Fac Ciencias, Lab Ecol Mol, Santiago, Chile.;Rosenfeld, S (corresponding author), Univ Magallanes, Lab Ecosistemas Marinos Antarticos &amp; Subantartico, Punta Arenas, Chile.;Rosenfeld, S (corresponding author), Inst Ecol &amp; Biodiversidad, Santiago, Chile.</t>
  </si>
  <si>
    <t>rosenfeld.sebastian@yahoo.com</t>
  </si>
  <si>
    <t>Aldea, Cristian/J-5391-2013</t>
  </si>
  <si>
    <t>Novoa Mansilla, Leslie Jazmin/0000-0002-1896-9894; Aldea, Cristian/0000-0002-4473-6509; Rosenfeld, Sebastian/0000-0002-4363-8018</t>
  </si>
  <si>
    <t>Direction of Research of the Universidad de Magallanes [PR-06-CRN-18]; Project PIA CONICYT [ACT172065]; Conicyt PIA Support CCTE through the Institute of Ecology and Biodiversity (IEB) [AFB170008]; Institutional Development Fund, Student Entrepreneurship Line (FDI 2015 UMAG), of the Ministry of Education of Chile</t>
  </si>
  <si>
    <t>Direction of Research of the Universidad de Magallanes; Project PIA CONICYT; Conicyt PIA Support CCTE through the Institute of Ecology and Biodiversity (IEB); Institutional Development Fund, Student Entrepreneurship Line (FDI 2015 UMAG), of the Ministry of Education of Chile</t>
  </si>
  <si>
    <t>This work was financially supported by the Direction of Research of the Universidad de Magallanes (Program PR-06-CRN-18) to C.A. and S.R.; by Project PIA CONICYT ACT172065 to S.R.; Conicyt PIA Support CCTE AFB170008 through the Institute of Ecology and Biodiversity (IEB) to S.R. and the Institutional Development Fund, Student Entrepreneurship Line (FDI 2015 UMAG), of the Ministry of Education of Chile to S.A. The authors appreciate the permanent endorsement of Dr Andres Mansilla (UMAG). Likewise, we acknowledge Dr Jesus Troncoso (UVIGO-Spain) and Dr Claudio Gonzalez-Wevar (UACH) for their comments in the initial stages of the MS. Finally, we especially thank Lafayette Eaton for English revision and editing and Leonardo Santos de Souza for his comments to improve the manuscript.</t>
  </si>
  <si>
    <t>AUG 24</t>
  </si>
  <si>
    <t>10.3897/zookeys.963.52234</t>
  </si>
  <si>
    <t>NQ6YC</t>
  </si>
  <si>
    <t>WOS:000571016100001</t>
  </si>
  <si>
    <t>Minich, JJ; Power, C; Melanson, M; Knight, R; Webber, C; Rough, K; Bott, NJ; Nowak, B; Allen, EE</t>
  </si>
  <si>
    <t>Minich, Jeremiah J.; Power, Cecilia; Melanson, Michaela; Knight, Rob; Webber, Claire; Rough, Kirsten; Bott, Nathan J.; Nowak, Barbara; Allen, Eric E.</t>
  </si>
  <si>
    <t>The Southern Bluefin Tuna Mucosal Microbiome Is Influenced by Husbandry Method, Net Pen Location, and Anti-parasite Treatment</t>
  </si>
  <si>
    <t>aquaculture; mucosal microbiome; tuna; phylosymbiosis; parasite; praziquantel; Southern Bluefin Tuna; microbiome</t>
  </si>
  <si>
    <t>BLOOD-FLUKE; CARDICOLA-FORSTERI; THUNNUS-MACCOYII; PRAZIQUANTEL TREATMENT; SKIN MICROBIOME; GUT MICROBIOME; IMMUNE-SYSTEM; FISH; EVOLUTION; COMMUNITY</t>
  </si>
  <si>
    <t>Aquaculture is the fastest growing primary industry worldwide. Marine finfish culture in open ocean net pens, or pontoons, is one of the largest growth areas and is currently the only way to rear high value fish such as bluefin tuna. Ranching involves catching wild juveniles, stocking in floating net pens and fattening for 4 to 8 months. Tuna experience several parasite-induced disease challenges in culture that can be mitigated by application of praziquantel (PZQ) as a therapeutic. In this study, we characterized the microbiome of ranched southern Bluefin Tuna,Thunnus maccoyii, across four anatomic sites (gill, skin, digesta, and anterior kidney) and evaluated environmental and pathological factors that influence microbiome composition, including the impact of PZQ treatment on microbiome stability. Southern bluefin tuna gill, skin, and digesta microbiome communities are unique and potentially influenced by husbandry practices, location of pontoon growout pens, and treatment with the antiparasitic PZQ. There was no significant relationship between the fish mucosal microbiome and incidence or abundance of adult blood fluke in the heart or fluke egg density in the gill. An enhanced understanding of microbiome diversity and function in high-value farmed fish species such as bluefin tuna is needed to optimize fish health and improve aquaculture yield. Comparison of the bluefin tuna microbiome to other fish species, includingSeriola lalandi(yellowtail kingfish), a common farmed species from Australia, andScomber japonicus(Pacific mackerel), a wild caught Scombrid relative of tuna, showed the two Scombrids had more similar microbial communities compared to other families. The finding that mucosal microbial communities are more similar in phylogenetically related fish species exposes an opportunity to develop mackerel as a model for tuna microbiome and parasite research.</t>
  </si>
  <si>
    <t>[Minich, Jeremiah J.; Melanson, Michaela; Allen, Eric E.] Univ Calif San Diego, Scripps Inst Oceanog, Marine Biol Res Div, La Jolla, CA 92093 USA; [Power, Cecilia; Bott, Nathan J.; Nowak, Barbara] RMIT Univ, Sch Sci, Ctr Environm Sustainabil &amp; Remediat, Bundoora, Vic, Australia; [Knight, Rob] Univ Calif San Diego, Sch Med, Dept Pediat, La Jolla, CA 92093 USA; [Knight, Rob] Univ Calif San Diego, Dept Comp Sci &amp; Engn, La Jolla, CA 92093 USA; [Knight, Rob] Univ Calif San Diego, Dept Bioengn, La Jolla, CA 92093 USA; [Knight, Rob; Allen, Eric E.] Univ Calif San Diego, Ctr Microbiome Innovat, La Jolla, CA 92093 USA; [Webber, Claire; Rough, Kirsten] Australian Southern Bluefin Tuna Ind Assoc, Port Lincoln, SA, Australia; [Nowak, Barbara] Univ Tasmania, Inst Marine &amp; Antarctic Studies, Hobart, Tas, Australia; [Allen, Eric E.] Univ Calif San Diego, Div Biol Sci, La Jolla, CA 92093 USA</t>
  </si>
  <si>
    <t>University of California System; University of California San Diego; Scripps Institution of Oceanography; Royal Melbourne Institute of Technology (RMIT); University of California System; University of California San Diego; University of California System; University of California San Diego; University of California System; University of California San Diego; University of California System; University of California San Diego; University of Tasmania; University of California System; University of California San Diego</t>
  </si>
  <si>
    <t>Allen, EE (corresponding author), Univ Calif San Diego, Scripps Inst Oceanog, Marine Biol Res Div, La Jolla, CA 92093 USA.;Bott, NJ (corresponding author), RMIT Univ, Sch Sci, Ctr Environm Sustainabil &amp; Remediat, Bundoora, Vic, Australia.;Allen, EE (corresponding author), Univ Calif San Diego, Ctr Microbiome Innovat, La Jolla, CA 92093 USA.;Allen, EE (corresponding author), Univ Calif San Diego, Div Biol Sci, La Jolla, CA 92093 USA.</t>
  </si>
  <si>
    <t>Nathan.bott@rmit.edu.au; eallen@ucsd.edu</t>
  </si>
  <si>
    <t>Knight, Rob/D-1299-2010; Bott, Nathan J/A-3816-2009; Nowak, Barbara/J-7261-2014</t>
  </si>
  <si>
    <t>Minich, Jeremiah/0000-0002-7202-965X; Melanson, Michaela/0000-0002-2868-2600; Bott, Nathan/0000-0003-4049-9945; Power, Cecilia/0000-0002-3279-033X; Nowak, Barbara/0000-0002-0347-643X; Knight, Rob/0000-0002-0975-9019</t>
  </si>
  <si>
    <t>Australia Academy of Sciences Australia-America Ph.D. Research Internship Program award; NIEHS [P01-ES021921]; Fisheries Research and Development Corporation [FRDC 2017-241]; National Science Foundation [OCE-1837116]</t>
  </si>
  <si>
    <t>Australia Academy of Sciences Australia-America Ph.D. Research Internship Program award; NIEHS(United States Department of Health &amp; Human ServicesNational Institutes of Health (NIH) - USANIH National Institute of Environmental Health Sciences (NIEHS)); Fisheries Research and Development Corporation; National Science Foundation(National Science Foundation (NSF))</t>
  </si>
  <si>
    <t>This work was supported by an Australia Academy of Sciences Australia-America Ph.D. Research Internship Program award to JM, National Science Foundation grant OCE-1837116 to EA, NIEHS grant P01-ES021921 to EA, and Field work was financially supported by the Fisheries Research and Development Corporation grant (FRDC 2017-241) to NB, on behalf of the Australian government.</t>
  </si>
  <si>
    <t>10.3389/fmicb.2020.02015</t>
  </si>
  <si>
    <t>NP9US</t>
  </si>
  <si>
    <t>WOS:000570516200001</t>
  </si>
  <si>
    <t>Doti, BL; Chiesa, IL; Roccatagliata, D</t>
  </si>
  <si>
    <t>Doti, Brenda L.; Chiesa, Ignacio L.; Roccatagliata, Daniel</t>
  </si>
  <si>
    <t>Biodiversity of Isopoda and Cumacea (Peracarida, Crustacea) from the Marine Protected Area Namuncura-Burdwood Bank, South-West Atlantic</t>
  </si>
  <si>
    <t>MPA Namuncura-Burdwood Bank; Isopods; Cumaceans; Species richness; Faunal affinities</t>
  </si>
  <si>
    <t>DEEP-SEA; ASELLOTA PARAMUNNIDAE; DIASTYLIS; AMERICA; ISLANDS; WATERS; ZIMMER; SYSTEMATICS; ANTARCTICA; DISPERSAL</t>
  </si>
  <si>
    <t>Burdwood Bank is a shallow seamount located south of the Malvinas (Falkland) Islands and east of Tierra del Fuego. In 2013, the area down to 200 m depth of this bank was declared the first open-sea (non-coastal) Marine Protected Area (MPA) in Argentina, and named Namuncura (MPAN-BB). The present study aimed to evaluate the biodiversity of the isopods and cumaceans from the MPAN-BB. The studied material was collected on board the Argentine RVPuerto Deseadoduring theCampana Antartica de Verano2013. Three stations from the MPAN-BB, respectively, located in the core, buffer, and transition sectors, were sampled. A total of 17,076 specimens were sorted and 70 taxa distributed in 22 families were identified. Thirty-five new records of distribution and eight species most probably new to science are herein reported. Paramunnidae and Diastylidae were the most abundant and diverse families among isopods and cumaceans, respectively. Our records, together with those obtained from the literature, make a total of 55 nominal species so far known from Burdwood Bank. Except for one nominal species, which had been reported from the Puerto Rico Trench and the Argentine Basin, all the remaining species had also been recorded from other localities within the Magellan Region. In contrast, only nine out of the 55 nominal species had also been reported from the Antarctic Peninsula and/or Scotia Arc. This indicates that the isopods and cumaceans from Burdwood Bank are typically Magellanic, and there is little correspondence between this fauna and that from the Antarctic Peninsula and Scotia Arc.</t>
  </si>
  <si>
    <t>[Doti, Brenda L.; Roccatagliata, Daniel] Univ Buenos Aires, Fac Ciencias Exactas &amp; Nat, Dept Biodiversidad &amp; Biol Expt, Buenos Aires, DF, Argentina; [Doti, Brenda L.; Roccatagliata, Daniel] Univ Buenos Aires, Inst Biodiversidad &amp; Biol Expt &amp; Aplicada IBBEA, UBA CONICET, Buenos Aires, DF, Argentina; [Chiesa, Ignacio L.] Ctr Austral Invest Cient CADIC CONICET, Ushuaia, Tierra Del Fueg, Argentina</t>
  </si>
  <si>
    <t>University of Buenos Aires; Consejo Nacional de Investigaciones Cientificas y Tecnicas (CONICET); University of Buenos Aires; Consejo Nacional de Investigaciones Cientificas y Tecnicas (CONICET)</t>
  </si>
  <si>
    <t>Doti, BL (corresponding author), Univ Buenos Aires, Fac Ciencias Exactas &amp; Nat, Dept Biodiversidad &amp; Biol Expt, Buenos Aires, DF, Argentina.;Doti, BL (corresponding author), Univ Buenos Aires, Inst Biodiversidad &amp; Biol Expt &amp; Aplicada IBBEA, UBA CONICET, Buenos Aires, DF, Argentina.</t>
  </si>
  <si>
    <t>bdoti@bg.fcen.uba.ar</t>
  </si>
  <si>
    <t>University of Buenos Aires, Argentina [UBACyT 2018-2020 20020170100328BA]; CONICET, Argentina [PIP 2014-2016 11220130100434CO]</t>
  </si>
  <si>
    <t>University of Buenos Aires, Argentina(University of Buenos Aires); CONICET, Argentina(Consejo Nacional de Investigaciones Cientificas y Tecnicas (CONICET))</t>
  </si>
  <si>
    <t>We thank the officers and crew of the RV Puerto Deseado for their assistance during the CAV 2013 survey. We are also grateful to Alejandro Martinez (IBBEA, CONICET-UBA) for technical assistance at the laboratory, and Gustavo Lovrich (CADIC, CONICET), Juan Lopez Gappa (MACN, CONICET) and Emanuel Pereira (IBEEA, CONICET-UBA) for their suggestions and help. We also thank Saskia Brix (DZMB, Germany), Martin Thiel (UCN, Chile) and an anonymous reviewer for their valuable comments, which helped to improve the quality of the manuscript. Finally, we thank Maria Victoria Gonzalez Eusevi for revising the English. This study was supported by grants from the University of Buenos Aires (UBACyT 2018-2020 20020170100328BA) and CONICET (PIP 2014-2016 11220130100434CO), Argentina.</t>
  </si>
  <si>
    <t>10.1007/s00300-020-02725-z</t>
  </si>
  <si>
    <t>WOS:000562340000002</t>
  </si>
  <si>
    <t>Kalvakaalva, R; Clucas, G; Herman, RW; Polito, MJ</t>
  </si>
  <si>
    <t>Kalvakaalva, Rohit; Clucas, Gemma; Herman, Rachael W.; Polito, Michael J.</t>
  </si>
  <si>
    <t>Late Holocene variation in the Hard prey remains and stable isotope values of penguin and seal tissues from the Danger Islands, Antarctica</t>
  </si>
  <si>
    <t>Stable isotope analysis; Pygoscelisspp; Arctocephalus gazella; Paleoecology; Diet</t>
  </si>
  <si>
    <t>KING-GEORGE-ISLAND; ARCTOCEPHALUS-GAZELLA; FUR SEALS; ROSS SEA; PYGOSCELIS-PAPUA; NOTOTHENIID FISH; CLIMATE-CHANGE; DIET; PENINSULA; REVEAL</t>
  </si>
  <si>
    <t>Ornithogenic soils in Antarctica provide a biological archive of the occupation history and trophic ecology of penguins and other marine species over geological timescales. Hard prey remains and predator tissues, which are well preserved in ornithogenic soils, can act as paleoecological proxies of past environmental conditions. Here we examine ornithogenic soils from an active colony ofPygoscelisspp. penguins on Platter Island in the Danger Islands Archipelago along the northeastern side of the Antarctic Peninsula. We radiocarbon dated penguin tissues from excavated ornithogenic soils and parameterized an age-depth model of penguin occupation history. Hard prey remains were enumerated and recoveredPygoscelisspp. penguin and Antarctic fur seal (Arctocephalus gazella)tissues were analyzed for stable isotopes carbon (delta C-13) and nitrogen (delta N-15) analysis. The oldest recovered ornithogenic soils at Platter Island date to 502-653 years BP and coincide with the start of a period of increased warming and glacial discharge in the northeastern Antarctic Peninsula. Penguin tissues delta N-15 values increased between the oldest and youngest dated ornithogenic soils but seal tissues did not. This may indicate that the trophic level of penguins, but not seals, has increased over time, a hypothesis supported by the concurrent increase in the hard prey remains of fish and squid taxa common to penguin diets recovered from ornithogenic soils. Future studies of ornithogenic soils in the Danger Islands Archipelago are warranted to test this hypothesis and assess the potential confounding effects of varying ecosystem isotopic baselines and penguin species composition over time.</t>
  </si>
  <si>
    <t>[Kalvakaalva, Rohit; Herman, Rachael W.; Polito, Michael J.] Louisiana State Univ, Dept Oceanog &amp; Coastal Sci, Baton Rouge, LA 70802 USA; [Clucas, Gemma] Univ Oxford, Dept Zool, South Parks Rd, Oxford OX1 3PS, England; [Clucas, Gemma] Cornell Univ, Cornell Lab Ornithol, Ithaca, NY 14850 USA; [Herman, Rachael W.] SUNY Stony Brook, Dept Ecol &amp; Evolut, 113 Life Sci, Stony Brook, NY 11794 USA; [Polito, Michael J.] Woods Hole Oceanog Inst, Dept Biol, Woods Hole, MA 02543 USA</t>
  </si>
  <si>
    <t>Louisiana State University System; Louisiana State University; University of Oxford; Cornell University; State University of New York (SUNY) System; State University of New York (SUNY) Stony Brook; Woods Hole Oceanographic Institution</t>
  </si>
  <si>
    <t>Polito, MJ (corresponding author), Louisiana State Univ, Dept Oceanog &amp; Coastal Sci, Baton Rouge, LA 70802 USA.;Polito, MJ (corresponding author), Woods Hole Oceanog Inst, Dept Biol, Woods Hole, MA 02543 USA.</t>
  </si>
  <si>
    <t>mpolito@lsu.edu</t>
  </si>
  <si>
    <t>Polito, Michael/G-9118-2012; Clucas, Gemma/ABF-9073-2021</t>
  </si>
  <si>
    <t>Polito, Michael/0000-0001-8639-4431;</t>
  </si>
  <si>
    <t>Dalio Explore Fund - Danger Island Expedition; U.S. National Science Foundation Office of Polar Programs [ANT-1443585]</t>
  </si>
  <si>
    <t>Dalio Explore Fund - Danger Island Expedition; U.S. National Science Foundation Office of Polar Programs(National Science Foundation (NSF))</t>
  </si>
  <si>
    <t>We gratefully acknowledge funding from the Dalio Explore Fund which financed the Danger Island Expedition and the U.S. National Science Foundation Office of Polar Programs (ANT-1443585) for their support for data analysis. Thank you to the crew of the yacht M/V Hans Hansson D. Poncet, J. Hannequinn, A. Hazell and G. Hazell and to T. Hart, S. Jenouvrier, H. Lynch, H. Singh, A. Borowicz, P. McDowall, C. Youngflesh, T. Sayre-McCord, S. Forrest, and M. Rider for their assistance during the expedition. Thank you to W. Walker for assistance with hard prey remain identification and T. Mauney for assistance with stable isotope analysis.</t>
  </si>
  <si>
    <t>10.1007/s00300-020-02728-w</t>
  </si>
  <si>
    <t>WOS:000562340000003</t>
  </si>
  <si>
    <t>Le François, NR; Desvignes, T; Sheehan, E; Belzile, C; Savoie, A; Beirao, J; Postlethwait, JH; Detrich, WH</t>
  </si>
  <si>
    <t>Le Francois, N. R.; Desvignes, T.; Sheehan, E.; Belzile, C.; Savoie, A.; Beirao, J.; Postlethwait, J. H.; Detrich, W. H., III</t>
  </si>
  <si>
    <t>Toward controlled breeding of the blackfin icefish Chaenocephalus aceratus (Lonnberg 1906): determination of spermatozoa concentration and evaluation of short- and long-term preservation of semen</t>
  </si>
  <si>
    <t>Notothenioids; Reproduction; Sperm morphometry; Male gamete preservation; In vitro fertilization; Cryopreservation</t>
  </si>
  <si>
    <t>COD GADUS-MORHUA; ATLANTIC COD; SPERM CRYOPRESERVATION; CLIMATE-CHANGE; CONVERSION EFFICIENCY; SPOTTED WOLFFISH; ANTARCTIC FISH; MOTILITY; TEMPERATURE; PHYSIOLOGY</t>
  </si>
  <si>
    <t>Efforts to study the effects of environmental change on early development of Antarctic fishes would benefit from the ability to control reproduction by in vitro fertilization. Here, we established a spectrophotometric method to determine spermatozoa concentration in the semen of the blackfin icefishChaenocephalus aceratusand we evaluated the potential for short (refrigeration) and long-term (cryopreservation) storage. The former will maximize the use of semen over several hours and the latter alleviate the risk that semen is unavailable when a spawning female is available. Seminal plasma osmolality and pH of GnRH-injected male semen were 423.65 +/- 35.6 mOsm kg(-1)and 8.05 +/- 0.11, respectively. The predictive power of regression models between spermatozoa concentration and absorbance was determined from 200 to 600 nm and revealed a best-fitted correlation at 505 nm. The standard curve was tested against measured concentrations and the average difference between measured and estimated concentrations was 0.27 +/- 10.23%. Semen could be kept on ice for up to 6 h with minimal loss (&lt; 10%) in motility and could also be efficiently cryopreserved with &gt; 90% post-thawing motility using a salt-based extender (pH 7.5-7.85 and similar to 280 mOsm kg(-1)) and 10% DMSO after 72 h immersed in liquid nitrogen. Spermatozoa morphometry revealed significant inter-individual variability. Average head length, head width, and flagella length were 3.78 +/- 1.03, 2.87 +/- 0.78, and 17.75 +/- 7.15 mu m, respectively. Spermatids composed 9.7 +/- 0.8% of total spermatogenic cells, probably indicating active spermatogenesis, but perhaps resulting to some degree from the semen extraction technique used. Variations on these baseline methods may facilitate semen preservation and ultimately in vitro fertilization in this and other notothenioid species, thereby enhancing our understanding of the responses of early-life stages of Antarctic fishes to future warming of the Southern Ocean.</t>
  </si>
  <si>
    <t>[Le Francois, N. R.] Biodome Montreal Espace Vie, Div Collect Vivantes Conservat &amp; Rech, 4777 Ave Pierre Coubertin, Montreal, PQ H1V 1B3, Canada; [Desvignes, T.; Postlethwait, J. H.] Univ Oregon, Inst Neurosci, Eugene, OR 97403 USA; [Sheehan, E.; Detrich, W. H., III] Northeastern Univ, Marine Sci Ctr, Dept Marine &amp; Environm Sci, Nahant, MA 01908 USA; [Belzile, C.; Savoie, A.] Univ Quebec Rimouski, Inst Sci Mer Rimouski, 310 Allee Ursulines, Rimouski, PQ G5L 3A1, Canada; [Beirao, J.] Nord Univ, Fac Biosci &amp; Aquaculture, NO-8049 Bodo, Norway</t>
  </si>
  <si>
    <t>University of Oregon; Northeastern University; University of Quebec; Universite du Quebec a Rimouski; Nord University</t>
  </si>
  <si>
    <t>Le François, NR (corresponding author), Biodome Montreal Espace Vie, Div Collect Vivantes Conservat &amp; Rech, 4777 Ave Pierre Coubertin, Montreal, PQ H1V 1B3, Canada.</t>
  </si>
  <si>
    <t>NathalieRose.LeFrancois@montreal.ca</t>
  </si>
  <si>
    <t>Beirao, Jose/K-6522-2012</t>
  </si>
  <si>
    <t>Beirao, Jose/0000-0002-4444-7563; Desvignes, Thomas/0000-0001-5126-8785; Le Francois, Nathalie R./0000-0002-9748-8182; Belzile, Claude/0000-0003-3908-7433</t>
  </si>
  <si>
    <t>NIH from the National Institute on Aging [R01AG031922]; NIH Grants from the Office of the Director [5R01OD011116]; NSF [ANT-0944517, PLR-1247510, PLR-1444167, OPP-1543383]</t>
  </si>
  <si>
    <t>NIH from the National Institute on Aging; NIH Grants from the Office of the Director; NSF(National Science Foundation (NSF))</t>
  </si>
  <si>
    <t>This work was supported by NIH Grants R01AG031922 from the National Institute on Aging (J.H.P., H.W.D.) and 5R01OD011116 from the Office of the Director (J.H.P.), and by NSF Grants ANT-0944517 (H.W.D.), PLR-1247510 (H.W.D.), PLR-1444167 (H.W.D.), and OPP-1543383 (J.H.P., H.W.D, and T.D.).</t>
  </si>
  <si>
    <t>10.1007/s00300-020-02729-9</t>
  </si>
  <si>
    <t>WOS:000562340000001</t>
  </si>
  <si>
    <t>Hirano, D; Tamura, T; Kusahara, K; Ohshima, KI; Nicholls, KW; Ushio, S; Simizu, D; Ono, K; Fujii, M; Nogi, Y; Aoki, S</t>
  </si>
  <si>
    <t>Hirano, Daisuke; Tamura, Takeshi; Kusahara, Kazuya; Ohshima, Kay I.; Nicholls, Keith W.; Ushio, Shuki; Simizu, Daisuke; Ono, Kazuya; Fujii, Masakazu; Nogi, Yoshifumi; Aoki, Shigeru</t>
  </si>
  <si>
    <t>Strong ice-ocean interaction beneath Shirase Glacier Tongue in East Antarctica</t>
  </si>
  <si>
    <t>BASAL MELT RATES; LUTZOW-HOLM BAY; SEA-ICE; WATER MASSES; CONTINENTAL-SHELF; CIRCULATION; VARIABILITY; MODEL; TOPOGRAPHY; MELTWATER</t>
  </si>
  <si>
    <t>Mass loss from the Antarctic ice sheet, Earth's largest freshwater reservoir, results directly in global sea-level rise and Southern Ocean freshening. Observational and modeling studies have demonstrated that ice shelf basal melting, resulting from the inflow of warm water onto the Antarctic continental shelf, plays a key role in the ice sheet's mass balance. In recent decades, warm ocean-cryosphere interaction in the Amundsen and Bellingshausen seas has received a great deal of attention. However, except for Totten Ice Shelf, East Antarctic ice shelves typically have cold ice cavities with low basal melt rates. Here we present direct observational evidence of high basal melt rates (7-16myr(-1)) beneath an East Antarctic ice shelf, Shirase Glacier Tongue, driven by southward-flowing warm water guided by a deep continuous trough extending to the continental slope. The strength of the alongshore wind controls the thickness of the inflowing warm water layer and the rate of basal melting. East Antarctic ice shelves typically have cold ice cavities with low basal melt rates. Here the authors direct observational evidence of high basal melt rates beneath Shirase Glacier Tongue in East Antarctica, driven by inflowing warm water guided by a deep continuous trough extending to the continental slope.</t>
  </si>
  <si>
    <t>[Hirano, Daisuke; Ohshima, Kay I.; Ono, Kazuya; Aoki, Shigeru] Hokkaido Univ, Inst Low Temp Sci, Kita Ku, Kita 19,Nishi 8, Sapporo, Hokkaido 0600819, Japan; [Hirano, Daisuke; Ohshima, Kay I.] Hokkaido Univ, Arctic Res Ctr, Kita Ku, Kita 21,Nishi 11, Sapporo, Hokkaido 0010021, Japan; [Tamura, Takeshi; Ushio, Shuki; Simizu, Daisuke; Fujii, Masakazu; Nogi, Yoshifumi] Natl Inst Polar Res, 10-3 Midori Cho, Tachikawa, Tokyo 1908518, Japan; [Tamura, Takeshi; Ushio, Shuki; Fujii, Masakazu; Nogi, Yoshifumi] Grad Univ Adv Studies, 10-3 Midori Cho, Tachikawa, Tokyo 1908518, Japan; [Tamura, Takeshi; Kusahara, Kazuya] Univ Tasmania, Antarctic Climate &amp; Ecosyst Cooperat Res Ctr, Private Bag 80, Hobart, Tas 7001, Australia; [Kusahara, Kazuya] Japan Agcy Marine Earth Sci &amp; Technol, Kanazawa Ku, 3173-25 Showa Machi, Yokohama, Kanagawa 2360001, Japan; [Nicholls, Keith W.] British Antarctic Survey, Nat Environm Res Council, High Cross,Madingley Rd, Cambridge CB3 0ET, England</t>
  </si>
  <si>
    <t>Hokkaido University; Hokkaido University; Research Organization of Information &amp; Systems (ROIS); National Institute of Polar Research (NIPR) - Japan; Graduate University for Advanced Studies - Japan; Antarctic Climate &amp; Ecosystems Cooperative Research Centre (ACE CRC); University of Tasmania; Japan Agency for Marine-Earth Science &amp; Technology (JAMSTEC); UK Research &amp; Innovation (UKRI); Natural Environment Research Council (NERC); NERC British Antarctic Survey</t>
  </si>
  <si>
    <t>Hirano, D (corresponding author), Hokkaido Univ, Inst Low Temp Sci, Kita Ku, Kita 19,Nishi 8, Sapporo, Hokkaido 0600819, Japan.;Hirano, D (corresponding author), Hokkaido Univ, Arctic Res Ctr, Kita Ku, Kita 21,Nishi 11, Sapporo, Hokkaido 0010021, Japan.</t>
  </si>
  <si>
    <t>hirano@lowtem.hokudai.ac.jp</t>
  </si>
  <si>
    <t>zhao, xiang/P-5590-2016; Hirano, Daisuke/P-3963-2019; Ohshima, Kay I/D-6909-2012</t>
  </si>
  <si>
    <t>SIMIZU, Daisuke/0000-0003-4214-6756; Ono, Kazuya/0000-0002-8282-5801; Ushio, Shuki/0000-0002-4028-6723; Kusahara, Kazuya/0000-0003-4067-7959; Nogi, Yoshifumi/0000-0001-8457-4244; Fujii, Masakazu/0000-0003-0527-1742</t>
  </si>
  <si>
    <t>Ministry of Education, Culture, Sports, Science and Technology [JP17K12811, JP17H01615, JP25241001, JP17H01157, JP17H06316, JP17H06317, JP17H06322, JP17H06323, JP17H04710, JP26740007, JP19K12301, JP20K12132]; Science Program of Japanese Antarctic Research Expedition (JARE) as Prioritized Research Project; National Institute of Polar Research (NIPR) [KP-303]; Center for the Promotion of Integrated Sciences of SOKENDAI; Institute of Low Temperature Science, Hokkaido University; Grants-in-Aid for Scientific Research [20K12132] Funding Source: KAKEN; NERC [bas0100033] Funding Source: UKRI</t>
  </si>
  <si>
    <t>Ministry of Education, Culture, Sports, Science and Technology(Ministry of Education, Culture, Sports, Science and Technology, Japan (MEXT)); Science Program of Japanese Antarctic Research Expedition (JARE) as Prioritized Research Project; National Institute of Polar Research (NIPR)(National Institute of Polar Research (NIPR) - Japan); Center for the Promotion of Integrated Sciences of SOKENDAI; Institute of Low Temperature Science, Hokkaido University; Grants-in-Aid for Scientific Research(Ministry of Education, Culture, Sports, Science and Technology, Japan (MEXT)Japan Society for the Promotion of ScienceGrants-in-Aid for Scientific Research (KAKENHI)); NERC(UK Research &amp; Innovation (UKRI)Natural Environment Research Council (NERC))</t>
  </si>
  <si>
    <t>We are deeply grateful to the officers, crews and scientists on board icebreaker Shirase for their help with field observations. Part of the bathymetric data in Lutzow-Holm Bay were provided by the Japan Coast Guard. The model simulation was carried out using the Fujitsu PRIMERGY CX600M1/CX1640M1 (Oakforest-PACS) in the Information Technology Center, The University of Tokyo. This work was supported by Grants-in-Aids for Scientific Research (JP17K12811, JP17H01615, JP25241001, JP17H01157, JP17H06316, JP17H06317, JP17H06322, JP17H06323, JP17H04710, JP26740007, JP19K12301, and JP20K12132) of the Ministry of Education, Culture, Sports, Science and Technology, the Science Program of Japanese Antarctic Research Expedition (JARE) as Prioritized Research Project, National Institute of Polar Research (NIPR) through Project Research KP-303, the Center for the Promotion of Integrated Sciences of SOKENDAI, and the Joint Research Program of the Institute of Low Temperature Science, Hokkaido University.</t>
  </si>
  <si>
    <t>NATURE PUBLISHING GROUP</t>
  </si>
  <si>
    <t>MACMILLAN BUILDING, 4 CRINAN ST, LONDON N1 9XW, ENGLAND</t>
  </si>
  <si>
    <t>10.1038/s41467-020-17527-4</t>
  </si>
  <si>
    <t>NN6JC</t>
  </si>
  <si>
    <t>WOS:000568891400004</t>
  </si>
  <si>
    <t>Ogar, E; Pecl, G; Mustonen, T</t>
  </si>
  <si>
    <t>Ogar, Edwin; Pecl, Gretta; Mustonen, Tero</t>
  </si>
  <si>
    <t>Science Must Embrace Traditional and Indigenous Knowledge to Solve Our Biodiversity Crisis</t>
  </si>
  <si>
    <t>Traditional and Indigenous knowledge has successfully preserved and restored biodiversity across the globe. However, its recognition as being as equally valid as Western science as a way of knowing remains lacking. If we are to preserve global biodiversity and rewild key habitats, science and Indigenous knowledge must work in partnership while also being restitutive and rights based.</t>
  </si>
  <si>
    <t>[Ogar, Edwin] Ekuri Community, 6 Abasi Ita St,138 MCC Rd, Calabar, Cross River Sta, Nigeria; [Pecl, Gretta] Univ Tasmania, Ctr Marine Socioecol, Private Bag 129, Hobart, Tas 7001, Australia; [Pecl, Gretta] Univ Tasmania, Inst Marine &amp; Antarctic Studies, Hobart, Tas 7001, Australia; [Mustonen, Tero] Univ Eastern Finland, Yliopistokatu 2,POB 111, Joensuu 80101, Finland; [Mustonen, Tero] Snowchange Cooperat, Havukkavaarantie 29, Lehtoi 81235, Finland</t>
  </si>
  <si>
    <t>University of Tasmania; University of Tasmania; University of Eastern Finland</t>
  </si>
  <si>
    <t>Pecl, G (corresponding author), Univ Tasmania, Ctr Marine Socioecol, Private Bag 129, Hobart, Tas 7001, Australia.;Pecl, G (corresponding author), Univ Tasmania, Inst Marine &amp; Antarctic Studies, Hobart, Tas 7001, Australia.</t>
  </si>
  <si>
    <t>gretta.pecl@utas.edu.au</t>
  </si>
  <si>
    <t>Pecl, Gretta/D-7267-2011</t>
  </si>
  <si>
    <t>Pecl, Gretta/0000-0003-0192-4339</t>
  </si>
  <si>
    <t>ARC Future Fellowship</t>
  </si>
  <si>
    <t>ARC Future Fellowship(Australian Research Council)</t>
  </si>
  <si>
    <t>We acknowledge and pay respect to the traditional owners and custodians of land and sea country all around the world and recognize their collective wisdom and knowledge. We specifically extend our deep gratitude to the Elders and knowledge holders of the Indigenous Peoples highlighted throughout this text. This manuscript emerged as a result of discussions at http://www.speciesonthemove.com/and https://futureseas2030.org/.E.O.is the Chief of the Ekuri community. E.O. and T.M. were supported by Snowchange, and G.P. was supported by an ARC Future Fellowship.</t>
  </si>
  <si>
    <t>AUG 21</t>
  </si>
  <si>
    <t>10.1016/j.oneear.2020.07.006</t>
  </si>
  <si>
    <t>RV1VD</t>
  </si>
  <si>
    <t>WOS:000645627500008</t>
  </si>
  <si>
    <t>Corrick, EC; Drysdale, RN; Hellstrom, JC; Capron, E; Rasmussen, SO; Zhang, X; Fleitmann, D; Couchoud, I; Wolff, E</t>
  </si>
  <si>
    <t>Corrick, Ellen C.; Drysdale, Russell N.; Hellstrom, John C.; Capron, Emilie; Rasmussen, Sune Olander; Zhang, Xu; Fleitmann, Dominik; Couchoud, Isabelle; Wolff, Eric</t>
  </si>
  <si>
    <t>Synchronous timing of abrupt climate changes during the last glacial period</t>
  </si>
  <si>
    <t>ASIAN SUMMER MONSOON; MILLENNIAL-SCALE VARIABILITY; HIGH-RESOLUTION RECORD; GREENLAND ICE-CORE; ATMOSPHERIC CIRCULATION; SPELEOTHEM RECORD; STALAGMITE EVIDENCE; DELTA-O-18 RECORDS; LATE PLEISTOCENE; ISOTOPE STAGE-3</t>
  </si>
  <si>
    <t>Abrupt climate changes during the last glacial period have been detected in a global array of palaeoclimate records, but our understanding of their absolute timing and regional synchrony is incomplete. Our compilation of 63 published, independently dated speleothem records shows that abrupt warmings in Greenland were associated with synchronous climate changes across the Asian Monsoon, South American Monsoon, and European-Mediterranean regions that occurred within decades. Together with the demonstration of bipolar synchrony in atmospheric response, this provides independent evidence of synchronous high-latitude-to-tropical coupling of climate changes during these abrupt warmings. Our results provide a globally coherent framework with which to validate model simulations of abrupt climate change and to constrain ice-core chronologies.</t>
  </si>
  <si>
    <t>[Corrick, Ellen C.; Drysdale, Russell N.; Couchoud, Isabelle] Univ Melbourne, Sch Geog, Melbourne, Vic, Australia; [Corrick, Ellen C.; Drysdale, Russell N.; Couchoud, Isabelle] Univ Grenoble Alpes, Univ Savoie Mt Blanc, CNRS, EDYTEM, Chambery, France; [Hellstrom, John C.] Univ Melbourne, Sch Earth Sci, Melbourne, Vic, Australia; [Capron, Emilie] British Antarctic Survey, Cambridge, England; [Capron, Emilie; Rasmussen, Sune Olander] Univ Copenhagen, Phys Ice Climate &amp; Earth, Niels Bohr Inst, Copenhagen, Denmark; [Zhang, Xu] Lanzhou Univ, Ctr Pan Third Pole Environm Pan TPE, Coll Earth &amp; Environm Sci, Key Lab Western Chinas Environm Syst,Minist Educ, Lanzhou 730000, Peoples R China; [Zhang, Xu] Helmholtz Ctr Polar &amp; Marine, Alfred Wegener Inst, D-27570 Bremerhaven, Germany; [Zhang, Xu] Chinese Acad Sci, CAS Ctr Excellence Tibetan Plateau Earth Sci, Beijing 100101, Peoples R China; [Fleitmann, Dominik] Univ Basel, Dept Environm Sci, CH-4056 Basel, Switzerland; [Wolff, Eric] Univ Cambridge, Dept Earth Sci, Cambridge, England</t>
  </si>
  <si>
    <t>University of Melbourne; Melbourne Genomics Health Alliance; Communaute Universite Grenoble Alpes; Universite Grenoble Alpes (UGA); Centre National de la Recherche Scientifique (CNRS); Universite Savoie Mont Blanc; University of Melbourne; Melbourne Bioinformatics; UK Research &amp; Innovation (UKRI); Natural Environment Research Council (NERC); NERC British Antarctic Survey; University of Copenhagen; Niels Bohr Institute; Lanzhou University; Helmholtz Association; Alfred Wegener Institute, Helmholtz Centre for Polar &amp; Marine Research; Chinese Academy of Sciences; University of Basel; University of Cambridge</t>
  </si>
  <si>
    <t>Corrick, EC (corresponding author), Univ Melbourne, Sch Geog, Melbourne, Vic, Australia.;Corrick, EC (corresponding author), Univ Grenoble Alpes, Univ Savoie Mt Blanc, CNRS, EDYTEM, Chambery, France.</t>
  </si>
  <si>
    <t>ecorrick@student.unimelb.edu.au</t>
  </si>
  <si>
    <t>Capron, Emilie/ITU-2672-2023; Couchoud, Isabelle/C-3309-2012; Fleitmann, Domnik/HSF-0516-2023; Rasmussen, Sune Olander/AAA-3190-2021; Zhang, Xu/AFX-8847-2022; Hellstrom, John C/B-1770-2008; Rasmussen, Sune/B-5560-2008; Wolff, Eric W/D-7925-2014; Couchoud, Isabelle/KFA-9264-2024</t>
  </si>
  <si>
    <t>Couchoud, Isabelle/0000-0002-7166-9575; Rasmussen, Sune Olander/0000-0002-4177-3611; Zhang, Xu/0000-0003-1833-9689; Wolff, Eric W/0000-0002-5914-8531; Drysdale, Russell/0000-0001-7867-031X; Fleitmann, Dominik/0000-0001-5977-8835; Capron, Emilie/0000-0003-0784-1884; Corrick, Ellen/0000-0001-5020-160X; Hellstrom, John/0000-0001-9427-3525</t>
  </si>
  <si>
    <t>Australian Government Research Training Program Scholarship; Australian Research Council Future Fellowship [FT130100801]; European Union's Seventh Framework Program for research and innovation under the Marie Sklodowska-Curie grant agreement [600207]; Carlsberg Foundation; Helmholtz Postdoc Program [PD-301]; National Key R&amp;D Program of China [2018YFA0606403]; Qingdao National Laboratory for Marine Science and Technology [QNLM201703]; Swiss National Science Foundation [PP002-110554/1]; Royal Society; NERC [bas0100034] Funding Source: UKRI</t>
  </si>
  <si>
    <t>Australian Government Research Training Program Scholarship(Australian GovernmentDepartment of Industry, Innovation and Science); Australian Research Council Future Fellowship(Australian Research Council); European Union's Seventh Framework Program for research and innovation under the Marie Sklodowska-Curie grant agreement(European Union (EU)Marie Curie Actions); Carlsberg Foundation(Carlsberg Foundation); Helmholtz Postdoc Program; National Key R&amp;D Program of China; Qingdao National Laboratory for Marine Science and Technology; Swiss National Science Foundation(Swiss National Science Foundation (SNSF)); Royal Society(Royal Society); NERC(UK Research &amp; Innovation (UKRI)Natural Environment Research Council (NERC))</t>
  </si>
  <si>
    <t>E.C.C. was supported by an Australian Government Research Training Program Scholarship. J.C.H. was supported by an Australian Research Council Future Fellowship (FT130100801). E.C. is funded by the European Union's Seventh Framework Program for research and innovation under the Marie Sklodowska-Curie grant agreement 600207. S.O.R. and E.C. acknowledge the support of the Carlsberg Foundation. X.Z. is supported by Helmholtz Postdoc Program (PD-301), the National Key R&amp;D Program of China (grant 2018YFA0606403), and Qingdao National Laboratory for Marine Science and Technology (QNLM201703). D.F. was supported by the Swiss National Science Foundation (PP002-110554/1). E.W. is supported by a Royal Society professorship.</t>
  </si>
  <si>
    <t>10.1126/science.aay5538</t>
  </si>
  <si>
    <t>NE2OL</t>
  </si>
  <si>
    <t>WOS:000562436800045</t>
  </si>
  <si>
    <t>Nehrbass-Ahles, C; Shin, J; Schmitt, J; Bereiter, B; Joos, F; Schilt, A; Schmidely, L; Silva, L; Teste, G; Grilli, R; Chappellaz, J; Hodell, D; Fischer, H; Stocker, TF</t>
  </si>
  <si>
    <t>Nehrbass-Ahles, C.; Shin, J.; Schmitt, J.; Bereiter, B.; Joos, F.; Schilt, A.; Schmidely, L.; Silva, L.; Teste, G.; Grilli, R.; Chappellaz, J.; Hodell, D.; Fischer, H.; Stocker, T. F.</t>
  </si>
  <si>
    <t>Abrupt CO2 release to the atmosphere under glacial and early interglacial climate conditions</t>
  </si>
  <si>
    <t>DEEP SOUTHERN-OCEAN; ICE CORE DATA; ANTARCTIC ICE; LATE PLEISTOCENE; CARBON-DIOXIDE; NORTH-ATLANTIC; POLAR ICE; ISOTOPIC COMPOSITION; NITROUS-OXIDE; TIME SCALES</t>
  </si>
  <si>
    <t>Pulse-like carbon dioxide release to the atmosphere on centennial time scales has only been identified for the most recent glacial and deglacial periods and is thought to be absent during warmer climate conditions. Here, we present a high-resolution carbon dioxide record from 330,000 to 450,000 years before present, revealing pronounced carbon dioxide jumps (CDJ) under cold and warm climate conditions. CDJ come in two varieties that we attribute to invigoration or weakening of the Atlantic meridional overturning circulation (AMOC) and associated northward and southward shifts of the intertropical convergence zone, respectively. We find that CDJ are pervasive features of the carbon cycle that can occur during interglacial climate conditions if land ice masses are sufficiently extended to be able to disturb the AMOC by freshwater input.</t>
  </si>
  <si>
    <t>[Nehrbass-Ahles, C.; Schmitt, J.; Bereiter, B.; Joos, F.; Schilt, A.; Schmidely, L.; Silva, L.; Fischer, H.; Stocker, T. F.] Univ Bern, Phys Inst, Climate &amp; Environm Phys, Bern, Switzerland; [Nehrbass-Ahles, C.; Schmitt, J.; Bereiter, B.; Joos, F.; Schilt, A.; Schmidely, L.; Silva, L.; Fischer, H.; Stocker, T. F.] Univ Bern, Oeschger Ctr Climate Change Res, Bern, Switzerland; [Nehrbass-Ahles, C.; Hodell, D.] Univ Cambridge, Dept Earth Sci, Godwin Lab Palaeoclimate Res, Cambridge, England; [Shin, J.; Teste, G.; Grilli, R.; Chappellaz, J.] Univ Grenoble Alpes, CNRS, Inst Environm Geosci IGE, Grenoble INP,IRD, Grenoble, France; [Bereiter, B.] Empa Swiss Fed Labs Mat Sci &amp; Technol, Lab Air Pollut Environm Technol, Dubendorf, Switzerland</t>
  </si>
  <si>
    <t>University of Bern; University of Bern; University of Cambridge; Centre National de la Recherche Scientifique (CNRS); Communaute Universite Grenoble Alpes; Institut National Polytechnique de Grenoble; Universite Grenoble Alpes (UGA); Institut de Recherche pour le Developpement (IRD); Swiss Federal Institutes of Technology Domain; Swiss Federal Laboratories for Materials Science &amp; Technology (EMPA)</t>
  </si>
  <si>
    <t>Nehrbass-Ahles, C (corresponding author), Univ Bern, Phys Inst, Climate &amp; Environm Phys, Bern, Switzerland.;Nehrbass-Ahles, C (corresponding author), Univ Bern, Oeschger Ctr Climate Change Res, Bern, Switzerland.;Nehrbass-Ahles, C (corresponding author), Univ Cambridge, Dept Earth Sci, Godwin Lab Palaeoclimate Res, Cambridge, England.</t>
  </si>
  <si>
    <t>cn425@cam.ac.uk</t>
  </si>
  <si>
    <t>Joos, Fortunat/B-4118-2018; Schmitt, Jochen/B-7893-2009</t>
  </si>
  <si>
    <t>Joos, Fortunat/0000-0002-9483-6030; Schmitt, Jochen/0000-0003-4695-3029; Teste, Gregory/0000-0002-4812-1480; Schilt, Adrian/0000-0001-6312-7947; Silva, Lucas/0000-0003-3623-213X; Grilli, Roberto/0000-0001-5636-264X; Schmidely, Loic/0000-0002-6754-4868; Nehrbass-Ahles, Christoph/0000-0002-4009-4633</t>
  </si>
  <si>
    <t>European Union; Swiss National Science Foundation (SNF) [200020_159563, 200020_172745, 200020_172506, 200020_172476, 20FI21_189533]; European Union's Horizon 2020 research and innovation program [820970]; European Community's Seventh Framework Programmes ERC-2011-AdG [291062]; LabEX OSUG@2020 project of the Grenoble Observatory of Sciences of the Universe (OSUG); Swiss National Science Foundation (SNF) [200020_172745, 200020_172506, 200020_159563, 20FI21_189533] Funding Source: Swiss National Science Foundation (SNF); NERC [NE/K005804/1] Funding Source: UKRI</t>
  </si>
  <si>
    <t>European Union(European Union (EU)); Swiss National Science Foundation (SNF)(Swiss National Science Foundation (SNSF)); European Union's Horizon 2020 research and innovation program(Horizon 2020); European Community's Seventh Framework Programmes ERC-2011-AdG(European Research Council (ERC)); LabEX OSUG@2020 project of the Grenoble Observatory of Sciences of the Universe (OSUG); Swiss National Science Foundation (SNF)(Swiss National Science Foundation (SNSF)); NERC(UK Research &amp; Innovation (UKRI)Natural Environment Research Council (NERC))</t>
  </si>
  <si>
    <t>This work is a contribution to the European Project for Ice Coring in Antarctica (EPICA), a joint European Science Foundation and European Commission scientific program, funded by the European Union and by national contributions from Belgium, Denmark, France, Germany, Italy, the Netherlands, Norway, Sweden, Switzerland, and the United Kingdom. Main logistic support was provided by IPEV and PNRA. This is EPICA publication no. 315. C.N.-A., J.Sc., B.B., F.J., A.S., L.Sc., L.Si., H.F., and T.F.S. acknowledge long-term financial support from the Swiss National Science Foundation (SNF project numbers 200020_159563, 200020_172745, 200020_172506, 200020_172476, and 20FI21_189533). This project is TiPES (Tipping Points in the Earth System) contribution no. 17. This project has received funding from the European Union's Horizon 2020 research and innovation program under grant 820970 and from the European Community's Seventh Framework Programmes ERC-2011-AdG under grant agreement 291062 (ERC ICE&amp;LASERS). J.Sh. is supported by the LabEX OSUG@2020 project of the Grenoble Observatory of Sciences of the Universe (OSUG).</t>
  </si>
  <si>
    <t>10.1126/science.aay8178</t>
  </si>
  <si>
    <t>WOS:000562436800052</t>
  </si>
  <si>
    <t>Alkama, R; Taylor, PC; Garcia-San Martin, L; Douville, H; Duveiller, G; Forzieri, G; Swingedouw, D; Cescatti, A</t>
  </si>
  <si>
    <t>Alkama, Ramdane; Taylor, Patrick C.; Garcia-San Martin, Lorea; Douville, Herve; Duveiller, Gregory; Forzieri, Giovanni; Swingedouw, Didier; Cescatti, Alessandro</t>
  </si>
  <si>
    <t>Clouds damp the radiative impacts of polar sea ice loss</t>
  </si>
  <si>
    <t>TOP-OF-ATMOSPHERE; ARCTIC AMPLIFICATION; CLIMATE; SURFACE; SYSTEM; BUDGET; CMIP5; MODEL; OCEAN</t>
  </si>
  <si>
    <t>Clouds play an important role in the climate system: (1) cooling Earth by reflecting incoming sunlight to space and (2) warming Earth by reducing thermal energy loss to space. Cloud radiative effects are especially important in polar regions and have the potential to significantly alter the impact of sea ice decline on the surface radiation budget. Using CERES (Clouds and the Earth's Radiant Energy System) data and 32 CMIP5 (Coupled Model Intercomparison Project) climate models, we quantify the influence of polar clouds on the radiative impact of polar sea ice variability. Our results show that the cloud short-wave cooling effect strongly influences the impact of sea ice variability on the surface radiation budget and does so in a counter-intuitive manner over the polar seas: years with less sea ice and a larger net surface radiative flux show a more negative cloud radiative effect. Our results indicate that 66 +/- 2% of this change in the net cloud radiative effect is due to the reduction in surface albedo and that the remaining 34 +/- 1 % is due to an increase in cloud cover and optical thickness. The overall cloud radiative damping effect is 56 +/- 2 % over the Antarctic and 47 +/- 3 % over the Arctic. Thus, present-day cloud properties significantly reduce the net radiative impact of sea ice loss on the Arctic and Antarctic surface radiation budgets. As a result, climate models must accurately represent present-day polar cloud properties in order to capture the surface radiation budget impact of polar sea ice loss and thus the surface albedo feedback.</t>
  </si>
  <si>
    <t>[Alkama, Ramdane; Garcia-San Martin, Lorea; Duveiller, Gregory; Forzieri, Giovanni; Cescatti, Alessandro] European Commiss, Joint Res Ctr, Via Enrico Fermi 2749, I-21027 Ispra, VA, Italy; [Taylor, Patrick C.] NASA, Langley Res Ctr, Hampton, VA 23665 USA; [Douville, Herve] Meteo France, Ctr Natl Rech Meteorol, CNRS, Toulouse, France; [Swingedouw, Didier] Univ Bordeaux, EPOC, Allee Geoffroy St Hilaire, F-33615 Pessac, France</t>
  </si>
  <si>
    <t>European Commission Joint Research Centre; EC JRC ISPRA Site; National Aeronautics &amp; Space Administration (NASA); NASA Langley Research Center; Centre National de la Recherche Scientifique (CNRS); Meteo France; Universite de Bordeaux</t>
  </si>
  <si>
    <t>Alkama, R (corresponding author), European Commiss, Joint Res Ctr, Via Enrico Fermi 2749, I-21027 Ispra, VA, Italy.;Taylor, PC (corresponding author), NASA, Langley Res Ctr, Hampton, VA 23665 USA.</t>
  </si>
  <si>
    <t>ram.alkama@hotmail.fr; patrick.c.taylor@nasa.gov</t>
  </si>
  <si>
    <t>Keyes, Dennis/AAZ-9285-2021; Cescatti, Alessandro/ABE-6319-2020; Duveiller, Gregory/A-4932-2016; Alkama, Ramdane/ABF-9937-2021; Douville, Hervé/JXN-0710-2024; Swingedouw, Didier/D-1408-2010</t>
  </si>
  <si>
    <t>Duveiller, Gregory/0000-0002-6471-8404; Alkama, Ramdane/0000-0001-9864-2084; Swingedouw, Didier/0000-0002-0583-0850; Garcia San Martin, Lorea/0000-0002-5963-6500; Forzieri, Giovanni/0000-0002-5240-1303</t>
  </si>
  <si>
    <t>10.5194/tc-14-2673-2020</t>
  </si>
  <si>
    <t>NF1TZ</t>
  </si>
  <si>
    <t>WOS:000563086000001</t>
  </si>
  <si>
    <t>Tsujino, H; Urakawa, LS; Griffies, SM; Danabasoglu, G; Adcroft, AJ; Amaral, AE; Arsouze, T; Bentsen, M; Bernardello, R; Böning, CW; Bozec, A; Chassignet, EP; Danilov, S; Dussin, R; Exarchou, E; Fogli, PG; Fox-Kemper, B; Guo, CC; Ilicak, M; Iovino, D; Kim, WM; Koldunov, N; Lapin, V; Li, YW; Lin, PF; Lindsay, K; Liu, HL; Long, MC; Komuro, Y; Marsland, SJ; Masina, S; Nummelin, A; Rieck, JK; Ruprich-Robert, Y; Scheinert, M; Sicardi, V; Sidorenko, D; Suzuki, T; Tatebe, H; Wang, Q; Yeager, SG; Yu, ZP</t>
  </si>
  <si>
    <t>Tsujino, Hiroyuki; Urakawa, L. Shogo; Griffies, Stephen M.; Danabasoglu, Gokhan; Adcroft, Alistair J.; Amaral, Arthur E.; Arsouze, Thomas; Bentsen, Mats; Bernardello, Raffaele; Boening, Claus W.; Bozec, Alexandra; Chassignet, Eric P.; Danilov, Sergey; Dussin, Raphael; Exarchou, Eleftheria; Fogli, Pier Giuseppe; Fox-Kemper, Baylor; Guo, Chuncheng; Ilicak, Mehmet; Iovino, Doroteaciro; Kim, Who M.; Koldunov, Nikolay; Lapin, Vladimir; Li, Yiwen; Lin, Pengfei; Lindsay, Keith; Liu, Hailong; Long, Matthew C.; Komuro, Yoshiki; Marsland, Simon J.; Masina, Simona; Nummelin, Aleksi; Rieck, Jan Klaus; Ruprich-Robert, Yohan; Scheinert, Markus; Sicardi, Valentina; Sidorenko, Dmitry; Suzuki, Tatsuo; Tatebe, Hiroaki; Wang, Qiang; Yeager, Stephen G.; Yu, Zipeng</t>
  </si>
  <si>
    <t>Evaluation of global ocean-sea-ice model simulations based on the experimental protocols of the Ocean Model Intercomparison Project phase 2 (OMIP-2)</t>
  </si>
  <si>
    <t>GENERAL-CIRCULATION MODEL; NORTH-ATLANTIC SIMULATIONS; ANTARCTIC CIRCUMPOLAR CURRENT; EASTERN EQUATORIAL PACIFIC; LAND SYSTEM MODEL; ARCTIC-OCEAN; PART I; BOUNDARY-LAYER; SUBSURFACE COUNTERCURRENTS; OVERTURNING CIRCULATION</t>
  </si>
  <si>
    <t>We present a new framework for global oceansea-ice model simulations based on phase 2 of the Ocean Model Intercomparison Project (OMIP-2), making use of the surface dataset based on the Japanese 55-year atmospheric reanalysis for driving ocean-sea-ice models (JRA55-do). We motivate the use of OMIP-2 over the framework for the first phase of OMIP (OMIP-1), previously referred to as the Coordinated Ocean-ice Reference Experiments (COREs), via the evaluation of OMIP-1 and OMIP-2 simulations from 11 state-of-the-science global ocean-sea-ice models. In the present evaluation, multi-model ensemble means and spreads are calculated separately for the OMIP-1 and OMIP-2 simulations and overall performance is assessed considering metrics commonly used by ocean modelers. Both OMIP-1 and OMIP-2 multi-model ensemble ranges capture observations in more than 80 % of the time and region for most metrics, with the multi-model ensemble spread greatly exceeding the difference between the means of the two datasets. Many features, including some climatologically relevant ocean circulation indices, are very similar between OMIP-1 and OMIP-2 simulations, and yet we could also identify key qualitative improvements in transitioning from OMIP-1 to OMIP-2. For example, the sea surface temperatures of the OMIP-2 simulations reproduce the observed global warming during the 1980s and 1990s, as well as the warming slowdown in the 2000s and the more recent accelerated warming, which were absent in OMIP-1, noting that the last feature is part of the design of OMIP-2 because OMIP-1 forcing stopped in 2009. A negative bias in the sea-ice concentration in summer of both hemispheres in OMIP-1 is significantly reduced in OMIP-2. The overall reproducibility of both seasonal and interannual variations in sea surface temperature and sea surface height (dynamic sea level) is improved in OMIP-2. These improvements represent a new capability of the OMIP-2 framework for evaluating processlevel responses using simulation results. Regarding the sensitivity of individual models to the change in forcing, the models show well-ordered responses for the metrics that are directly forced, while they show less organized responses for those that require complex model adjustments. Many of the remaining common model biases may be attributed either to errors in representing important processes in ocean-sea-ice models, some of which are expected to be reduced by using finer horizontal and/or vertical resolutions, or to shared biases and limitations in the atmospheric forcing. In particular, further efforts are warranted to resolve remaining issues in OMIP-2 such as the warm bias in the upper layer, the mismatch between the observed and simulated variability of heat content and thermosteric sea level before 1990s, and the erroneous representation of deep and bottom water formations and circulations. We suggest that such problems can be resolved through collaboration between those developing models (including parameterizations) and forcing datasets. Overall, the present assessment justifies our recommendation that future model development and analysis studies use the OMIP-2 framework.</t>
  </si>
  <si>
    <t>[Tsujino, Hiroyuki; Urakawa, L. Shogo] JMA Meteorol Res Inst MRI, Tsukuba, Ibaraki, Japan; [Griffies, Stephen M.; Adcroft, Alistair J.; Dussin, Raphael] NOAA, Geophys Fluid Dynam Lab GFDL, Princeton, NJ USA; [Griffies, Stephen M.; Adcroft, Alistair J.] Princeton Univ, Atmospher &amp; Ocean Sci Program, Princeton, NJ 08544 USA; [Danabasoglu, Gokhan; Kim, Who M.; Lindsay, Keith; Long, Matthew C.; Yeager, Stephen G.] Natl Ctr Atmospher Res NCAR, Boulder, CO USA; [Amaral, Arthur E.; Arsouze, Thomas; Bernardello, Raffaele; Exarchou, Eleftheria; Lapin, Vladimir; Ruprich-Robert, Yohan; Sicardi, Valentina] Barcelona Supercomp Ctr, Barcelona, Spain; [Bentsen, Mats; Guo, Chuncheng; Ilicak, Mehmet; Nummelin, Aleksi] NORCE Norwegian Res Ctr, Bjerknes Ctr Climate Res, Bergen, Norway; [Boening, Claus W.; Rieck, Jan Klaus; Scheinert, Markus] GEOMAR Helmholtz Ctr Ocean Res, Kiel, Germany; [Bozec, Alexandra; Chassignet, Eric P.] Florida State Univ, Ctr Ocean Atmospher Predict Studies COAPS, Tallahassee, FL 32306 USA; [Danilov, Sergey; Koldunov, Nikolay; Sidorenko, Dmitry; Wang, Qiang] Helmholtz Zentrum Polar &amp; Meeresforsch AWI, Alfred Wegener Inst, Bremerhaven, Germany; [Fogli, Pier Giuseppe; Iovino, Doroteaciro; Masina, Simona] Ctr Euromediterraneo Cambiamenti Climatici CMCC, Ocean Modeling &amp; Data Assimilat Div, Bologna, Italy; [Fox-Kemper, Baylor] Brown Univ, Dept Earth Environm &amp; Planetary Sci, Providence, RI 02912 USA; [Ilicak, Mehmet] Istanbul Tech Univ, Eurasia Inst Earth Sci, Istanbul, Turkey; [Koldunov, Nikolay] MARUM Ctr Marine Environm Sci, Bremen, Germany; [Li, Yiwen; Lin, Pengfei; Liu, Hailong; Yu, Zipeng] Chinese Acad Sci, Inst Atmospher Phys, LASG, Beijing, Peoples R China; [Li, Yiwen; Lin, Pengfei; Liu, Hailong; Yu, Zipeng] Univ Chinese Acad Sci, Coll Earth &amp; Planetary Sci, Beijing, Peoples R China; [Komuro, Yoshiki; Suzuki, Tatsuo; Tatebe, Hiroaki] Japan Agcy Marine Earth Sci &amp; Technol JAMSTEC, Yokohama, Kanagawa, Japan; [Marsland, Simon J.] CSIRO Oceans &amp; Atmosphere, Aspendale, Vic, Australia</t>
  </si>
  <si>
    <t>National Oceanic Atmospheric Admin (NOAA) - USA; National Oceanic Atmospheric Admin (NOAA) - USA; Princeton University; National Center Atmospheric Research (NCAR) - USA; Universitat Politecnica de Catalunya; Barcelona Supercomputer Center (BSC-CNS); Norwegian Research Centre (NORCE); Bjerknes Centre for Climate Research; Helmholtz Association; GEOMAR Helmholtz Center for Ocean Research Kiel; State University System of Florida; Florida State University; Helmholtz Association; Alfred Wegener Institute, Helmholtz Centre for Polar &amp; Marine Research; Centro Euro-Mediterraneo sui Cambiamenti Climatici (CMCC); Brown University; Istanbul Technical University; University of Bremen; Chinese Academy of Sciences; Institute of Atmospheric Physics, CAS; Chinese Academy of Sciences; University of Chinese Academy of Sciences, CAS; Japan Agency for Marine-Earth Science &amp; Technology (JAMSTEC); Commonwealth Scientific &amp; Industrial Research Organisation (CSIRO)</t>
  </si>
  <si>
    <t>Tsujino, H (corresponding author), JMA Meteorol Res Inst MRI, Tsukuba, Ibaraki, Japan.</t>
  </si>
  <si>
    <t>htsujino@mri-jma.go.jp</t>
  </si>
  <si>
    <t>Atmosphere and Ocean, Collaborative Research Center TRR 181- Energy Transfers in/AAY-2721-2020; Liu, Hailong/C-9566-2013; Boening, Claus W/HIR-8996-2022; Lapin, Vladimir N/G-7483-2014; Adcroft, Alistair/E-5949-2010; Boening, Claus W./B-1686-2012; Lapin, Vladimir/AAB-6924-2019; Bentsen, Mats/JHU-7393-2023; Rieck, Jan Klaus/AAL-5919-2021; Koldunov, Nikolay V. V./A-5439-2011; Marsland, Simon J/A-1453-2012; Ruprich-Robert, Yohan/AAU-3208-2020; Long, Matthew C/H-4632-2016; Fox-Kemper, Baylor/A-1159-2007; Lin, Pengfei/AAJ-5379-2020; Danilov, Sergey/S-6184-2016; Iovino, Doroteaciro/E-9759-2015; Boening, Claus/AAW-6387-2020; li, yiwen/ISB-4836-2023; Fogli, Pier Giuseppe/E-9486-2015; Griffies, Stephen Matthew/N-9144-2019; Kim, Who/F-5348-2018</t>
  </si>
  <si>
    <t>Liu, Hailong/0000-0002-8780-0398; Boening, Claus W/0000-0002-6251-5777; Lapin, Vladimir N/0000-0001-7302-8539; Adcroft, Alistair/0000-0001-9413-1017; Boening, Claus W./0000-0002-6251-5777; Rieck, Jan Klaus/0000-0002-2296-1772; Koldunov, Nikolay V. V./0000-0002-3365-8146; Marsland, Simon J/0000-0002-5664-5276; Ruprich-Robert, Yohan/0000-0002-4008-2026; Fox-Kemper, Baylor/0000-0002-2871-2048; Lin, Pengfei/0000-0003-2361-0066; Danilov, Sergey/0000-0001-8098-182X; Iovino, Doroteaciro/0000-0001-5132-7255; Boening, Claus/0000-0002-6251-5777; Fogli, Pier Giuseppe/0000-0001-7997-6273; Griffies, Stephen Matthew/0000-0002-3711-236X; Arsouze, Thomas/0000-0002-8871-6120; Li, Yiwen/0000-0003-2873-4287; Sidorenko, Dmitry/0000-0001-8579-6068; Wang, Qiang/0000-0002-2704-5394; Nummelin, Aleksi/0000-0002-7591-3504; Danabasoglu, Gokhan/0000-0003-4676-2732; Chassignet, Eric/0000-0003-4710-7502; Tsujino, Hiroyuki/0000-0003-3336-0275; Bentsen, Mats/0000-0001-5441-4063; Bernardello, Raffaele/0000-0003-4923-1582; Kim, Who/0000-0001-5754-9852; Lindsay, Keith/0000-0002-3672-1665</t>
  </si>
  <si>
    <t>Integrated Research Program for Advancing Climate Models (TOUGOU) of the Ministry of Education, Culture, Sports, Science and Technology (MEXT), Japan [JPMXD0717935457, JPMXD0717935561]; Deutsche Forschungsgemeinschaft (DFG, German Research Foundation) [274762653]; Helmholtz Climate Initiative REKLIM (Regional Climate Change); European Union's Horizon 2020 Research &amp; Innovation program [727862, 800154]; Research Council of Norway (EVA) [229771]; INES [270061]; US National Science Foundation (NSF) [1852977]; National Natural Science Foundation of China [41931183, 41976026]; NOAA's Science Collaboration Program [NA16NWS4620043, NA18NWS4620043B]; NOAA [NA18OAR4320123]; Marie Curie Actions (MSCA) [800154] Funding Source: Marie Curie Actions (MSCA)</t>
  </si>
  <si>
    <t>Integrated Research Program for Advancing Climate Models (TOUGOU) of the Ministry of Education, Culture, Sports, Science and Technology (MEXT), Japan(Ministry of Education, Culture, Sports, Science and Technology, Japan (MEXT)); Deutsche Forschungsgemeinschaft (DFG, German Research Foundation)(German Research Foundation (DFG)); Helmholtz Climate Initiative REKLIM (Regional Climate Change); European Union's Horizon 2020 Research &amp; Innovation program; Research Council of Norway (EVA)(Research Council of Norway); INES; US National Science Foundation (NSF)(National Science Foundation (NSF)); National Natural Science Foundation of China(National Natural Science Foundation of China (NSFC)); NOAA's Science Collaboration Program; NOAA(National Oceanic Atmospheric Admin (NOAA) - USA); Marie Curie Actions (MSCA)(Marie Curie Actions)</t>
  </si>
  <si>
    <t>This research has been supported by the Integrated Research Program for Advancing Climate Models (TOUGOU) of the Ministry of Education, Culture, Sports, Science and Technology (MEXT), Japan (grant nos. JPMXD0717935457 and JPMXD0717935561), the Deutsche Forschungsgemeinschaft (DFG, German Research Foundation) (grant no. 274762653), the Helmholtz Climate Initiative REKLIM (Regional Climate Change) and European Union's Horizon 2020 Research &amp; Innovation program (grant nos. 727862 and 800154), the Research Council of Norway (EVA (grant no. 229771) and INES (grant no. 270061)), the US National Science Foundation (NSF) (grant no. 1852977), the National Natural Science Foundation of China (grant nos. 41931183 and 41976026), NOAA's Science Collaboration Program and administered by UCAR's Cooperative Programs for the Advancement of Earth System Science (CPAESS) (grant nos. NA16NWS4620043 and NA18NWS4620043B), and NOAA (grant no. NA18OAR4320123).</t>
  </si>
  <si>
    <t>10.5194/gmd-13-3643-2020</t>
  </si>
  <si>
    <t>NF1TX</t>
  </si>
  <si>
    <t>WOS:000563085800002</t>
  </si>
  <si>
    <t>Strauss, D; Poluianov, S; van der Merwe, C; Krüger, H; Diedericks, C; Krüger, H; Usoskin, I; Heber, B; Nndanganeni, R; Blanco-Avalos, J; García-Tejedor, I; Herbst, K; Caballero-Lopez, R; Moloto, K; Lara, A; Walter, M; Giday, NM; Traversi, R</t>
  </si>
  <si>
    <t>Strauss, Du Toit; Poluianov, Stepan; van der Merwe, Cobus; Kruger, Hendrik; Diedericks, Corrie; Kruger, Helena; Usoskin, Ilya; Heber, Bernd; Nndanganeni, Rendani; Blanco-Avalos, Juanjo; Garcia-Tejedor, Ignacio; Herbst, Konstantin; Caballero-Lopez, Rogelio; Moloto, Katlego; Lara, Alejandro; Walter, Michael; Giday, Nigussie Mezgebe; Traversi, Rita</t>
  </si>
  <si>
    <t>The mini-neutron monitor: a new approach in neutron monitor design</t>
  </si>
  <si>
    <t>JOURNAL OF SPACE WEATHER AND SPACE CLIMATE</t>
  </si>
  <si>
    <t>Neutron monitors; Space weather instrumentation; Cosmic rays; Neutron monitor multiplicity</t>
  </si>
  <si>
    <t>FIELD; RADIATION; STATION</t>
  </si>
  <si>
    <t>The near-Earth cosmic ray flux has been monitored for more than 70 years by a network of ground-based neutron monitors (NMs). With the ever-increasing importance of quantifying the radiation risk and effects of cosmic rays for, e.g., air and space-travel, it is essential to continue operating the existing NM stations, while expanding this crucial network. In this paper, we discuss a smaller and cost-effective version of the traditional NM, the mini-NM. These monitors can be deployed with ease, even to extremely remote locations, where they operate in a semi-autonomous fashion. We believe that the mini-NM, therefore, offers the opportunity to increase the sensitivity and expand the coverage of the existing NM network, making this network more suitable to near-real-time monitoring for space weather applications. In this paper, we present the technical details of the mini-NM's design and operation, and present a summary of the initial tests and science results.</t>
  </si>
  <si>
    <t>[Strauss, Du Toit; van der Merwe, Cobus; Kruger, Hendrik; Diedericks, Corrie; Kruger, Helena; Moloto, Katlego] North West Univ, Ctr Space Res, Potchefstroom Campus,Private Bag X6001, ZA-2520 Potchefstroom, South Africa; [Poluianov, Stepan; Usoskin, Ilya] Univ Oulu, Space Phys &amp; Astron Res Unit, Oulu 90014, Finland; [Poluianov, Stepan; Usoskin, Ilya] Univ Oulu, Sodankyla Geophys Observ, Tahtelantie 62, Sodankyla 99600, Finland; [Heber, Bernd; Herbst, Konstantin] Univ Kiel, Inst Expt &amp; Angew Phys, D-24118 Kiel, Germany; [Nndanganeni, Rendani] South African Natl Space Agcy, POB 32, ZA-7200 Hermanus, South Africa; [Blanco-Avalos, Juanjo; Garcia-Tejedor, Ignacio] Univ Alcala UAH, Dept Fis &amp; Matemat, Campus Cient Tecnol Externo,Pza San Diego S-N, Madrid 28801, Spain; [Blanco-Avalos, Juanjo; Garcia-Tejedor, Ignacio] Univ Alcala UAH, Dept Automat, Campus Cient Tecnol Externo,Pza San Diego S-N, Madrid 28801, Spain; [Caballero-Lopez, Rogelio; Lara, Alejandro] Univ Nacl Autonoma Mexico, Inst Geofis, Ciudad Univ, Mexico City 04510, DF, Mexico; [Walter, Michael] Deutsch Elektronen Synchrotron DESY, Platanenallee 6, D-15738 Zeuthen, Germany; [Giday, Nigussie Mezgebe] Ethiopian Space Sci &amp; Technol Inst, Dept Space Sci &amp; Applicat Res, Algeria St, Addis Ababa 33679, Ethiopia; [Traversi, Rita] Univ Florence, Dept Chem Ugo Schiff, I-50019 Florence, Italy</t>
  </si>
  <si>
    <t>North West University - South Africa; University of Oulu; University of Oulu; University of Kiel; Universidad de Alcala; Universidad de Alcala; Universidad Nacional Autonoma de Mexico; Helmholtz Association; Deutsches Elektronen-Synchrotron (DESY); University of Florence</t>
  </si>
  <si>
    <t>Strauss, D (corresponding author), North West Univ, Ctr Space Res, Potchefstroom Campus,Private Bag X6001, ZA-2520 Potchefstroom, South Africa.</t>
  </si>
  <si>
    <t>dutoit.strauss@nwu.ac.za</t>
  </si>
  <si>
    <t>Avalos, Juan Jose Blanco/AAB-9447-2021; G. Tejedor, J. Ignacio/AAB-5573-2019; López, Rogelio/GQQ-6364-2022; Herbst, Konstantin/AAH-6772-2021</t>
  </si>
  <si>
    <t>Avalos, Juan Jose Blanco/0000-0002-8666-0696; G. Tejedor, J. Ignacio/0000-0003-1397-5950; Herbst, Konstantin/0000-0001-5622-4829; , Katlego Mokwena/0009-0000-0639-2074; Giday, Nigussie Mezgebe/0000-0001-8886-2657; Strauss, Du Toit/0000-0002-0205-0808; Lara, Alejandro/0000-0001-6336-5291; Moloto, Katlego Daniel/0000-0002-4840-6355</t>
  </si>
  <si>
    <t>CRIPA-X of the Academy of Finland [304435]; European Union [213007]; MINECO -FPI 2017 program; European Social Fund; Ministerio de Economia y Competitividad; European Regional Development Fund, FEDER; National Research Foundation of South Africa (NRF) [119424]; [CTM2016-77325-C2-1-P]; Academy of Finland (AKA) [304435] Funding Source: Academy of Finland (AKA)</t>
  </si>
  <si>
    <t>CRIPA-X of the Academy of Finland(Research Council of Finland); European Union(European Union (EU)); MINECO -FPI 2017 program; European Social Fund(European Social Fund (ESF)); Ministerio de Economia y Competitividad(Spanish Government); European Regional Development Fund, FEDER(European Union (EU)); National Research Foundation of South Africa (NRF)(National Research Foundation - South Africa); ; Academy of Finland (AKA)(Research Council of Finland)</t>
  </si>
  <si>
    <t>Operation of DOMC/DOMB mini-NMs is supported by projects CRIPA and CRIPA-X (No. 304435) of the Academy of Finland, Finnish Antarctic Research Program (FINNARP). DOMC/B NM data can be obtained from http://cosmicrays.oulu.fi, courtesy of the Sodankyla Geophysical Observatory. Operation of DOMB/DOMC NMs are possible thanks to the hospitality of the Italian polar programme PNRA (via the LTCPAA PNRA 2015/AC3 project) and the French polar Institute IPEV. The neutron monitor database NMDB (http://nmdb.eu) founded under the European Union's FP7 programme (contract no. 213007) is acknowledged for hosting and providing data. We acknowledge support from the MINECO -FPI 2017 program, co-financed by the European Social Fund. This work has been supported by the project CTM2016-77325-C2-1-P, funded by Ministerio de Economia y Competitividad, and by the European Regional Development Fund, FEDER. This work is based on the research supported in part by the National Research Foundation of South Africa (NRF grant number: 119424). Opinions expressed and conclusions arrived at are those of the authors and are not necessarily to be attributed to the NRF. Figures prepared with Matplotlib (Hunter, 2007). The editor thanks two anonymous reviewers for their assistance in evaluating this paper.</t>
  </si>
  <si>
    <t>2115-7251</t>
  </si>
  <si>
    <t>J SPACE WEATHER SPAC</t>
  </si>
  <si>
    <t>J. Space Weather Space Clim.</t>
  </si>
  <si>
    <t>10.1051/swsc/2020038</t>
  </si>
  <si>
    <t>NF8JK</t>
  </si>
  <si>
    <t>WOS:000563538900003</t>
  </si>
  <si>
    <t>Harris, RMB; Loeffler, F; Rumm, A; Fischer, C; Horchler, P; Scholz, M; Foeckler, F; Henle, K</t>
  </si>
  <si>
    <t>Harris, R. M. B.; Loeffler, F.; Rumm, A.; Fischer, C.; Horchler, P.; Scholz, M.; Foeckler, F.; Henle, K.</t>
  </si>
  <si>
    <t>Biological responses to extreme weather events are detectable but difficult to formally attribute to anthropogenic climate change</t>
  </si>
  <si>
    <t>LARGE LOWLAND RIVER; 2 MAIN TRIBUTARIES; MOLLUSK COMMUNITIES; VARIABILITY; RESILIENCE; HEATWAVE; IMPACTS; SUMMER; TRENDS; DRIVEN</t>
  </si>
  <si>
    <t>As the frequency and intensity of extreme events such as droughts, heatwaves and floods have increased over recent decades, more extreme biological responses are being reported, and there is widespread interest in attributing such responses to anthropogenic climate change. However, the formal detection and attribution of biological responses to climate change is associated with many challenges. We illustrate these challenges with data from the Elbe River floodplain, Germany. Using community turnover and stability indices, we show that responses in plant, carabid and mollusc communities are detectable following extreme events. Community composition and species dominance changed following the extreme flood and summer heatwave of 2002/2003 (all taxa); the 2006 flood and heatwave (molluscs); and after the recurring floods and heatwave of 2010 and the 2013 flood (plants). Nevertheless, our ability to attribute these responses to anthropogenic climate change is limited by high natural variability in climate and biological data; lack of long-term data and replication, and the effects of multiple events. Without better understanding of the mechanisms behind change and the interactions, feedbacks and potentially lagged responses, multiple-driver attribution is unlikely. We discuss whether formal detection and/or attribution is necessary and suggest ways in which understanding of biological responses to extreme events could progress.</t>
  </si>
  <si>
    <t>[Harris, R. M. B.; Loeffler, F.; Fischer, C.; Scholz, M.; Henle, K.] UFZ Helmholtz Ctr Environm Res, Dept Conservat Biol, Permoserstr 15, D-04318 Leipzig, Germany; [Harris, R. M. B.] Univ Tasmania, Antarctic Climate &amp; Ecosyst Cooperat Res Ctr, Hobart, Tas, Australia; [Harris, R. M. B.] Univ Tasmania, Discipline Geog &amp; Spatial Sci, Hobart, Tas, Australia; [Rumm, A.; Foeckler, F.] OKON Ltd Ass Landscape Ecol Limnol &amp; Environm Pla, Hohenfelser Str 4, D-93183 Rohrbach, Kallmunz, Germany; [Fischer, C.] Friedrich Schiller Univ, Inst Geosci, Burgweg 11, D-07749 Jena, Germany; [Horchler, P.] German Fed Inst Hydrol BfG, Dept Vegetat Studies, Landscape Management, Mainzer Tor 1, D-56068 Koblenz, Germany; [Henle, K.] German Ctr Integrat Biodivers Res iDiv, Deutsch Pl 5e, D-04103 Leipzig, Germany</t>
  </si>
  <si>
    <t>Helmholtz Association; Helmholtz Center for Environmental Research (UFZ); Antarctic Climate &amp; Ecosystems Cooperative Research Centre (ACE CRC); University of Tasmania; University of Tasmania; Friedrich Schiller University of Jena</t>
  </si>
  <si>
    <t>Harris, RMB (corresponding author), UFZ Helmholtz Ctr Environm Res, Dept Conservat Biol, Permoserstr 15, D-04318 Leipzig, Germany.;Harris, RMB (corresponding author), Univ Tasmania, Antarctic Climate &amp; Ecosyst Cooperat Res Ctr, Hobart, Tas, Australia.;Harris, RMB (corresponding author), Univ Tasmania, Discipline Geog &amp; Spatial Sci, Hobart, Tas, Australia.</t>
  </si>
  <si>
    <t>rmharris@utas.edu.au</t>
  </si>
  <si>
    <t>Henle, Klaus/I-6837-2013; Scholz, Mathias/AAC-6125-2022; Harris, Rebecca/N-2790-2013</t>
  </si>
  <si>
    <t>Henle, Klaus/0000-0002-6647-5362; Scholz, Mathias/0000-0002-8463-9500; Horchler, Peter Jorg/0009-0002-3054-4351; Harris, Rebecca/0000-0002-6426-2179</t>
  </si>
  <si>
    <t>Open Access funding provided by Projekt DEAL.</t>
  </si>
  <si>
    <t>10.1038/s41598-020-70901-6</t>
  </si>
  <si>
    <t>NL0GR</t>
  </si>
  <si>
    <t>WOS:000567105200003</t>
  </si>
  <si>
    <t>Raymond, JA; Morgan-Kiss, R; Stahl-Rommel, S</t>
  </si>
  <si>
    <t>Raymond, James A.; Morgan-Kiss, Rachael; Stahl-Rommel, Sarah</t>
  </si>
  <si>
    <t>Glycerol Is an Osmoprotectant in Two Antarctic Chlamydomonas Species From an Ice-Covered Saline Lake and Is Synthesized by an Unusual Bidomain Enzyme</t>
  </si>
  <si>
    <t>Chlamydomonas; glycerol synthesis; phosphoserine phosphatase; glycerol-3-phosphate dehydrogenase; Antarctica; Lake Bonney</t>
  </si>
  <si>
    <t>GLYCEROL-3-PHOSPHATE DEHYDROGENASE; ALGA CHLAMYDOMONAS; GREEN-ALGA; REINHARDTII; METABOLISM; ANTIFREEZE; EXCRETION; APPARATUS; PROTEINS; CLONING</t>
  </si>
  <si>
    <t>Glycerol, a compatible solute, has previously been found to act as an osmoprotectant in some marineChlamydomonasspecies and several species ofDunaliellafrom hypersaline ponds. Recently,Chlamydomonas reinhardtiiandDunaliella salinawere shown to make glycerol with an unusual bidomain enzyme, which appears to be unique to algae, that contains a phosphoserine phosphatase and glycerol-3-phosphate dehydrogenase. Here we report that two psychrophilic species ofChlamydomonas(C. spp. UWO241 and ICE-MDV) from Lake Bonney, Antarctica also produce high levels of glycerol to survive in the lake's saline waters. Glycerol concentration increased linearly with salinity and at 1.3 M NaCl, exceeded 400 mM inC. sp. UWO241, the more salt-tolerant strain. We also show that both species expressed several isoforms of the bidomain enzyme. An analysis of one of the isoforms ofC. sp. UWO241 showed that it was strongly upregulated by NaCl and is thus the likely source of glycerol. These results reveal another adaptation of the Lake BonneyChlamydomonasspecies that allow them to survive in an extreme polar environment.</t>
  </si>
  <si>
    <t>[Raymond, James A.] Univ Nevada, Sch Life Sci, Las Vegas, NV 89154 USA; [Morgan-Kiss, Rachael; Stahl-Rommel, Sarah] Miami Univ, Dept Microbiol, Oxford, OH 45056 USA; [Stahl-Rommel, Sarah] JES Tech, Houston, TX USA</t>
  </si>
  <si>
    <t>Nevada System of Higher Education (NSHE); University of Nevada Las Vegas; University System of Ohio; Miami University</t>
  </si>
  <si>
    <t>Raymond, JA (corresponding author), Univ Nevada, Sch Life Sci, Las Vegas, NV 89154 USA.</t>
  </si>
  <si>
    <t>raymond@unlv.nevada.edu</t>
  </si>
  <si>
    <t>NSF [1637708]; DOE [DE-SC0019138]; U.S. Department of Energy (DOE) [DE-SC0019138] Funding Source: U.S. Department of Energy (DOE)</t>
  </si>
  <si>
    <t>NSF(National Science Foundation (NSF)); DOE(United States Department of Energy (DOE)); U.S. Department of Energy (DOE)(United States Department of Energy (DOE))</t>
  </si>
  <si>
    <t>This study was partially funded by NSF grant 1637708 and DOE Grant DE-SC0019138 to RM-K.</t>
  </si>
  <si>
    <t>AUG 20</t>
  </si>
  <si>
    <t>10.3389/fpls.2020.01259</t>
  </si>
  <si>
    <t>NJ6PU</t>
  </si>
  <si>
    <t>WOS:000566167200001</t>
  </si>
  <si>
    <t>Balter-Kennedy, A; Bromley, G; Balco, G; Thomas, H; Jackson, MS</t>
  </si>
  <si>
    <t>Balter-Kennedy, Allie; Bromley, Gordon; Balco, Greg; Thomas, Holly; Jackson, Margaret S.</t>
  </si>
  <si>
    <t>A 14.5-million-year record of East Antarctic Ice Sheet fluctuations from the central Transantarctic Mountains, constrained with cosmogenic 3He, 10Be, 21Ne, and 26Al</t>
  </si>
  <si>
    <t>SURFACE EXPOSURE AGES; NUCLIDE PRODUCTION-RATES; MCMURDO DRY VALLEYS; PLIOCENE SEA-LEVEL; SIRIUS GROUP; VICTORIA LAND; HOLOCENE DEGLACIATION; RADIOGENIC HE-4; OUTLET GLACIERS; EROSION RATES</t>
  </si>
  <si>
    <t>The distribution of moraines in the Transantarctic Mountains affords direct constraint of past ice-marginal positions of the East Antarctic Ice Sheet (EAIS). Here, we describe glacial geologic observations and cosmogenic-nuclide exposure ages from Roberts Massif, an ice-free area in the central Transantarctic Mountains. We measured cosmogenic He-3, Be-10, Ne-21, and Al-26 in 168 dolerite and sandstone boulders collected from 24 distinct deposits. Our data show that a cold-based EAIS was present, in a configuration similar to today, for many periods over the last similar to 14.5 Myr, including the mid-Miocene, late Pliocene, and early to Middle Pleistocene. Moraine ages at Roberts Massif increase with distance from, and elevation above, the modern ice margin, which is consistent with a persistent EAIS extent during glacial maxima and slow, isostatic uplift of the massif itself in response to trough incision by outlet glaciers. We also employ the exceptionally high cosmogenic-nuclide concentrations in several boulders, along with multi-isotope measurements in sandstone boulders, to infer extremely low erosion rates (&lt;&lt; 5 cm Myr(-1)) over the period covered by our record. Although our data are not a direct measure of ice volume, the Roberts Massif glacial record indicates that the EAIS was present and similar to its current configuration during at least some periods when the global temperature was believed to be warmer and/or atmospheric CO2 concentrations were likely higher than today.</t>
  </si>
  <si>
    <t>[Balter-Kennedy, Allie; Thomas, Holly] Univ Maine, Sch Earth &amp; Climate Sci, Orono, ME 04469 USA; [Balter-Kennedy, Allie; Bromley, Gordon] Univ Maine, Orono, ME 04469 USA; [Bromley, Gordon; Jackson, Margaret S.] Natl Univ Ireland Galway, Geog, Galway, Ireland; [Balco, Greg] Berkeley Geochronol Ctr, Berkeley, CA USA</t>
  </si>
  <si>
    <t>University of Maine System; University of Maine Orono; University of Maine System; University of Maine Orono; Ollscoil na Gaillimhe-University of Galway; Berkeley Geochronolgy Center</t>
  </si>
  <si>
    <t>Balter-Kennedy, A (corresponding author), Univ Maine, Sch Earth &amp; Climate Sci, Orono, ME 04469 USA.;Balter-Kennedy, A (corresponding author), Univ Maine, Orono, ME 04469 USA.</t>
  </si>
  <si>
    <t>abalter@ldeo.columbia.edu</t>
  </si>
  <si>
    <t>Balter-Kennedy, Allie/0000-0002-7828-7174; Bromley, Gordon/0000-0002-5671-7065; Jackson, Margaret/0000-0001-7613-752X</t>
  </si>
  <si>
    <t>National Science Foundation, Office of Polar Programs [1443329, 1443321]; Ann and Gordon Getty Foundation; Directorate For Geosciences; Office of Polar Programs (OPP) [1443321, 1443329] Funding Source: National Science Foundation</t>
  </si>
  <si>
    <t>National Science Foundation, Office of Polar Programs(National Science Foundation (NSF)); Ann and Gordon Getty Foundation; Directorate For Geosciences; Office of Polar Programs (OPP)(National Science Foundation (NSF)NSF - Directorate for Geosciences (GEO))</t>
  </si>
  <si>
    <t>This research has been supported by the National Science Foundation, Office of Polar Programs (grant nos. 1443329 and 1443321), and by the Ann and Gordon Getty Foundation.</t>
  </si>
  <si>
    <t>10.5194/tc-14-2647-2020</t>
  </si>
  <si>
    <t>NF1QV</t>
  </si>
  <si>
    <t>WOS:000563077700003</t>
  </si>
  <si>
    <t>Briceño, FA; Fitzgibbon, QP; Polymeropoulos, ET; Hinojosa, IA; Pecl, GT</t>
  </si>
  <si>
    <t>Briceno, Felipe A.; Fitzgibbon, Quinn P.; Polymeropoulos, Elias T.; Hinojosa, Ivan A.; Pecl, Gretta T.</t>
  </si>
  <si>
    <t>Temperature alters the physiological response of spiny lobsters under predation risk</t>
  </si>
  <si>
    <t>CONSERVATION PHYSIOLOGY</t>
  </si>
  <si>
    <t>Climate change; Jasus edwardsii; predator-prey interaction; respiratory physiology</t>
  </si>
  <si>
    <t>SOUTHERN ROCK LOBSTER; JASUS-EDWARDSII HUTTON; OCTOPUS-MAORUM HUTTON; METABOLIC-RATE; SAGMARIASUS-VERREAUXI; NUTRITIONAL CONDITION; OXYGEN-CONSUMPTION; PREY INTERACTIONS; BODY-SIZE; HABITAT</t>
  </si>
  <si>
    <t>Predation risk can strongly shape prey ecological traits, with specific anti-predator responses displayed to reduce encounters with predators. Key environmental drivers, such as temperature, can profoundly modulate prey energetic costs in ectotherms, although we currently lack knowledge of how both temperature and predation risk can challenge prey physiology and ecology. Such uncertainties in predator-prey interactions are particularly relevant for marine regions experiencing rapid environmental changes due to climate change. Using the octopus (Octopus maorum)-spiny lobster (Jasus edwardsii) interaction as a predator-prey model, we examined different metabolic traits of sub adult spiny lobsters under predation risk in combination with two thermal scenarios: 'current' (20 degrees C) and 'warming' (23 degrees C), based on projections of sea-surface temperature under climate change. We examined lobster standard metabolic rates to define the energetic requirements at specific temperatures. Routine metabolic rates (RMRs) within a respirometer were used as a proxy of lobster activity during night and day time, and active metabolic rates, aerobic scope and excess post-exercise oxygen consumption were used to assess the energetic costs associated with escape responses (i.e. tail-flipping) in both thermal scenarios. Lobster standard metabolic rate increased at 23 degrees C, suggesting an elevated energetic requirement (39%) compared to 20 degrees C. Unthreatened lobsters displayed a strong circadian pattern in RMR with higher rates during the night compared with the day, which were strongly magnified at 23 degrees C. Once exposed to predation risk, lobsters at 20 degrees C quickly reduced their RMR by similar to 29%, suggesting an immobility or 'freezing' response to avoid predators. Conversely, lobsters acclimated to 23 degrees C did not display such an anti-predator response. These findings suggest that warmer temperatures may induce a change to the typical immobility predation risk response of lobsters. It is hypothesized that heightened energetic maintenance requirements at higher temperatures may act to override the normal predator-risk responses under climate-change scenarios.</t>
  </si>
  <si>
    <t>[Briceno, Felipe A.; Fitzgibbon, Quinn P.; Polymeropoulos, Elias T.; Pecl, Gretta T.] Univ Tasmania, Inst Marine &amp; Antarctic Studies IMAS, Hobart, Tas 7001, Australia; [Briceno, Felipe A.] Univ Austral Chile, Crustacean Ecophysiol Lab, Los Pinos S-N, Pelluco 5480000, Puerto Montt, Chile; [Hinojosa, Ivan A.] Univ Catolica Norte, Dept Biol Marina, Millennium Nucleus Ecol &amp; Sustainable Management, Coquimbo 1781421, Chile; [Hinojosa, Ivan A.] Univ Catolica Santisima Concepcion, Dept Ecol, Fac Ciencias, Ctr Invest Biodiversidad &amp; Ambientes Sustentables, Concepcion 4090541, Chile</t>
  </si>
  <si>
    <t>University of Tasmania; Universidad Austral de Chile; Universidad Catolica del Norte; Universidad Catolica de la Santisima Concepcion</t>
  </si>
  <si>
    <t>Briceño, FA (corresponding author), Inst Marine &amp; Antarctic Studies, Private Bag 49, Hobart, Tas 7001, Australia.</t>
  </si>
  <si>
    <t>fbricenoj@gmail.com</t>
  </si>
  <si>
    <t>Hinojosa, Ivan/ABC-8915-2021; Hinojosa, Ivan Andres/AAQ-7445-2020; Pecl, Gretta/D-7267-2011; Polymeropoulos, Elias T/E-9883-2013</t>
  </si>
  <si>
    <t>Hinojosa, Ivan/0000-0002-9752-4374; Hinojosa, Ivan Andres/0000-0002-9752-4374; Pecl, Gretta/0000-0003-0192-4339; Polymeropoulos, Elias Theodor/0000-0002-4816-6005; Fitzgibbon, Quinn/0000-0002-1104-3052</t>
  </si>
  <si>
    <t>DCC &amp; FRDC - Marine Biodiversity and Fisheries Climate Change [2011/039]; Chilean Government ('Becas Chile'); IMAS; Holsworth Wildlife Research Endowment [P00221678]; Bookend Lynchpin Ocean scholarship; ARC Future Fellowship</t>
  </si>
  <si>
    <t>DCC &amp; FRDC - Marine Biodiversity and Fisheries Climate Change; Chilean Government ('Becas Chile'); IMAS; Holsworth Wildlife Research Endowment; Bookend Lynchpin Ocean scholarship; ARC Future Fellowship(Australian Research Council)</t>
  </si>
  <si>
    <t>This study contributed to the project 'Preparing fisheries for climate change: identifying adaptation options for four key fisheries in south eastern Australia (DCC &amp; FRDC - Marine Biodiversity and Fisheries Climate Change, Project 2011/039). Special thanks to Jayson Semmens for providing equipment. We acknowledge Alan Beech, John Waters and Samuel Foster for their technical support, as well as Samantha and Matt Twiname for their valuable contribution as volunteers. We also thank Rafael Leon and Juan Carlos Quiroz for their comments on experimental design and the modelling. FB acknowledges a PhD scholarship provided by the Chilean Government ('Becas Chile'), as well as financial support from IMAS, the Holsworth Wildlife Research Endowment (P00221678) and the Bookend Lynchpin Ocean scholarship. GP was supported by an ARC Future Fellowship.</t>
  </si>
  <si>
    <t>2051-1434</t>
  </si>
  <si>
    <t>CONSERV PHYSIOL</t>
  </si>
  <si>
    <t>Conserv. Physiol.</t>
  </si>
  <si>
    <t>coaa065</t>
  </si>
  <si>
    <t>10.1093/conphys/coaa065</t>
  </si>
  <si>
    <t>Biodiversity Conservation; Ecology; Environmental Sciences; Physiology</t>
  </si>
  <si>
    <t>Biodiversity &amp; Conservation; Environmental Sciences &amp; Ecology; Physiology</t>
  </si>
  <si>
    <t>NE7CM</t>
  </si>
  <si>
    <t>WOS:000562758900001</t>
  </si>
  <si>
    <t>Conca, E; Malandrino, M; Giacomino, A; Costa, E; Ardini, F; Inaudi, P; Abollino, O</t>
  </si>
  <si>
    <t>Conca, Eleonora; Malandrino, Mery; Giacomino, Agnese; Costa, Emanuele; Ardini, Francisco; Inaudi, Paolo; Abollino, Ornella</t>
  </si>
  <si>
    <t>Optimization of a sequential extraction procedure for trace elements in Arctic PM10</t>
  </si>
  <si>
    <t>ANALYTICAL AND BIOANALYTICAL CHEMISTRY</t>
  </si>
  <si>
    <t>Aerosol particulate matter; Sequential extraction; Trace elements; Source identification</t>
  </si>
  <si>
    <t>AIRBORNE PARTICULATE MATTER; TERRA-NOVA BAY; ANODIC-STRIPPING VOLTAMMETRY; LEACHING PROCEDURE PART; HEAVY-METALS; NY-ALESUND; EXPERIMENTAL-DESIGN; CHEMICAL FRACTIONATION; SOURCE IDENTIFICATION; ANTARCTIC AEROSOL</t>
  </si>
  <si>
    <t>In this work, a two-step sequential extraction scheme for the determination of trace elements in Arctic PM(10)samples was optimized by using two certified reference materials (CRMs). By means of an experimental design for qualitative variables, the five most common extracting solutions for particulate matter (PM) sequential extraction (high purity water (HPW), 0.032 M HNO3, 0.022 M HCl, 0.11 M CH3COOH, and 0.012 M CH3COOH/CH(3)COONH(4)buffer) and two different extraction methods (stirring and ultrasounds) were compared. The purpose of the study was the identification of the procedure which gives the best estimation of the anthropogenic portion of the elements present in PM(10)samples. The use of ultrasounds instead of stirring induced a low but significant decrease of the extraction of all the elements and a decrease in the repeatability of the procedure. Diluted HNO(3)was the extractant which allowed to maximize the extraction of anthropogenic elements (As, Cd, Pb, Zn) with respect to crustal ones (Al, Si, Ti). The optimized procedure proved successful in avoiding contaminations and, therefore, suitable to be applied to PM samples having extremely low concentrations, such as samples collected in polar or other remote areas. The chosen procedure was applied to ten Arctic PM(10)samples, allowing for a better identification of their sources. Indeed, it was possible to hypothesize that even though the concentrations of As, Cd, K, Mg, Mn, and Ni in spring and summer were different, their mobility and, therefore, their chemical form in the analyzed PM(10)samples were probably similar.</t>
  </si>
  <si>
    <t>[Conca, Eleonora; Malandrino, Mery] Univ Tulin, Dept Chem, Via P Giuria 5, I-10125 Turin, Italy; [Giacomino, Agnese; Inaudi, Paolo; Abollino, Ornella] Univ Turin, Dept Drug Sci &amp; Technol, Via P Giuria 9, I-10125 Turin, Italy; [Costa, Emanuele] Univ Turin, Dept Earth Sci, Via V Caluso 35, I-10125 Turin, Italy; [Ardini, Francisco] Univ Genoa, Dept Chem &amp; Ind Chem, Via Dodecaneso 31, I-16146 Genoa, Italy</t>
  </si>
  <si>
    <t>University of Turin; University of Turin; University of Genoa</t>
  </si>
  <si>
    <t>Malandrino, M (corresponding author), Univ Tulin, Dept Chem, Via P Giuria 5, I-10125 Turin, Italy.</t>
  </si>
  <si>
    <t>may.malandrino@unito.it</t>
  </si>
  <si>
    <t>Inaudi, Paolo/AAB-2956-2021; Conca, Eleonora/IUP-4564-2023</t>
  </si>
  <si>
    <t>Inaudi, Paolo/0000-0001-8321-8109; GIACOMINO, AGNESE/0000-0001-6089-7751</t>
  </si>
  <si>
    <t>Universita degli Studi di Torino within the CRUI-CARE Agreement; Italian Ministry of Education, University and Research (PRIN) [2007L8Y4NB_002, 20092C7KRC_002]; Italian National Research Program for Antarctica (PNRA) [2016/A2.00252, 2015/AC3.04]</t>
  </si>
  <si>
    <t>Universita degli Studi di Torino within the CRUI-CARE Agreement; Italian Ministry of Education, University and Research (PRIN)(Ministry of Education, Universities and Research (MIUR)Research Projects of National Relevance (PRIN)); Italian National Research Program for Antarctica (PNRA)</t>
  </si>
  <si>
    <t>Open access funding provided by Universita degli Studi di Torino within the CRUI-CARE Agreement. This research was supported by the Italian Ministry of Education, University and Research (PRIN no. 2007L8Y4NB_002 and no. 20092C7KRC_002) and by the Italian National Research Program for Antarctica (PNRA) by means of two research projects: SIDDARTA: Source IDentification of (mineral) Dust to AntaRcTicA (grant no. 2016/A2.00252) and LTCPAA: LongTerm Measurements of Chemical and Physical properties ofAtmospheric Aerosols at Dome C (grant no. 2015/AC3.04).</t>
  </si>
  <si>
    <t>1618-2642</t>
  </si>
  <si>
    <t>1618-2650</t>
  </si>
  <si>
    <t>ANAL BIOANAL CHEM</t>
  </si>
  <si>
    <t>Anal. Bioanal. Chem.</t>
  </si>
  <si>
    <t>10.1007/s00216-020-02874-4</t>
  </si>
  <si>
    <t>Biochemical Research Methods; Chemistry, Analytical</t>
  </si>
  <si>
    <t>NW2HL</t>
  </si>
  <si>
    <t>WOS:000561256200002</t>
  </si>
  <si>
    <t>Hewitt, OH; Díez-Vives, C; Taboada, S</t>
  </si>
  <si>
    <t>Hewitt, Olivia H.; Diez-Vives, Cristina; Taboada, Sergi</t>
  </si>
  <si>
    <t>Microbial insights from Antarctic and Mediterranean shallow-water bone-eating worms</t>
  </si>
  <si>
    <t>Endosymbiont; Symbiosis; Siboglinidae; Holobiont; Oceanospirillales; Whale fall</t>
  </si>
  <si>
    <t>DIFFERENTIAL EXPRESSION ANALYSIS; WHALE-FALLS; SIBOGLINIDAE ANNELIDA; STAPHYLOCOCCUS-AUREUS; ARABIDOPSIS-THALIANA; BACTERIAL SYMBIONTS; RIFTIA-PACHYPTILA; ESCHERICHIA-COLI; OSEDAX BONEWORMS; MONTEREY CANYON</t>
  </si>
  <si>
    <t>Bone-eating worms of the genusOsedax(Annelida, Siboglinidae) form unique holobionts (functional entity comprising host and associated microbiota), highly adapted to inhabit bone tissue of marine vertebrates. These gutless worms have developed nutritional symbioses housing intracellular, horizontally acquired, heterotrophic bacteria hypothesised to harness nutrients from organic compounds, sequestered within the bone. Despite previous efforts, critical mechanisms mediating activity and acquisition of diverse bacterial assemblages remain unclear. Using 16S rRNA amplicon sequencing, we performed detailed taxonomic and predicted functional analyses shedding light on the microbial communities of two shallow-waterOsedaxspecies (Osedax deceptionensisandOsedax'mediterranea') from contrasting habitats (Antarctic and Mediterranean Sea), in two tissue types (roots and palps). Comparative assessments between host species revealed distinct microbial assemblages whilst, within host species and body tissue, relative symbiont frequencies retained high variability. We reported relatively high abundances of microbes previously classified as primary endosymbionts, Ribotype 1 (order Oceanospirillales), and diverse likely secondary epibionts warranting further exploration as recurrentOsedaxassociates. Surprisingly,O.'mediterranea' exhibited relatively low abundance of Oceanospirillales, but increased abundance of other potentially hydrocarbon degrading bacteria from the family Alteromonadaceae. We hypothesise the presence of functionally similar, non-Oceanospirillales primary endosymbionts withinO.'mediterranea'. Functional metagenomic profiling (using 16S rRNA sequences) predicted broad metabolic capabilities, encompassing relatively large abundances of genes associated with amino acid metabolism. Comparative analyses between host body tissue communities highlighted several genes potentially providing critical functions to theOsedaxhost or that confer adaptations for intracellular life, housed within bone embedded host root tissues.</t>
  </si>
  <si>
    <t>[Hewitt, Olivia H.; Diez-Vives, Cristina; Taboada, Sergi] Nat Hist Museum London NHM, Dept Life Sci, Cromwell Rd, London SW7 5BD, England; [Taboada, Sergi] Univ Autonoma Madrid, Fac Ciencias, Dept Biol Zool, Madrid 28049, Spain; [Hewitt, Olivia H.] Univ Queensland, Sch Biol Sci, Brisbane, Qld, Australia; [Taboada, Sergi] Univ Alcala, EU US Marine Biodivers Grp, Dept Ciencias Vida, Alcala De Henares 28871, Spain</t>
  </si>
  <si>
    <t>Autonomous University of Madrid; University of Queensland; Universidad de Alcala</t>
  </si>
  <si>
    <t>Hewitt, OH (corresponding author), Nat Hist Museum London NHM, Dept Life Sci, Cromwell Rd, London SW7 5BD, England.</t>
  </si>
  <si>
    <t>livvyhewitt@gmail.com</t>
  </si>
  <si>
    <t>Díez-Vives, Cristina/W-7017-2018; Taboada, Sergi/AAB-9390-2021</t>
  </si>
  <si>
    <t>Díez-Vives, Cristina/0000-0002-1772-7092; Taboada, Sergi/0000-0003-1669-1152; Hewitt, Olivia/0000-0002-2019-2543</t>
  </si>
  <si>
    <t>SponGES project-European Union Framework Programme for Research and Innovation, H2020 [679848]; European Erasmus + Traineeship programme [2018-1-BE02-KA103-046670]; EU Horizon 2020 MSCAs DeepSym [796011]; Juan de la Cierva-Incorporacion programme, Spanish Government [IJCI-2017-33116]</t>
  </si>
  <si>
    <t>SponGES project-European Union Framework Programme for Research and Innovation, H2020; European Erasmus + Traineeship programme; EU Horizon 2020 MSCAs DeepSym; Juan de la Cierva-Incorporacion programme, Spanish Government</t>
  </si>
  <si>
    <t>This work was supported by the SponGES project (Grant Agreement No. 679848)-European Union Framework Programme for Research and Innovation, H2020. OHH received funding from the European Erasmus + Traineeship programme (2018-1-BE02-KA103-046670). CDV received funding from the EU Horizon 2020 MSCAs DeepSym (grant agreement: 796011). ST received funding from the Juan de la Cierva-Incorporacion programme (IJCI-2017-33116), Spanish Government.</t>
  </si>
  <si>
    <t>10.1007/s00300-020-02731-1</t>
  </si>
  <si>
    <t>WOS:000561251600001</t>
  </si>
  <si>
    <t>Bishop, J; Kopalová, K; Kohler, TJ; Van de Vijver, B; Roberts, D; Mcminn, A; Gibson, J</t>
  </si>
  <si>
    <t>Bishop, Jordan; Kopalova, Katerina; Kohler, Tyler J.; Van de Vijver, Bart; Roberts, Donna; Mcminn, Andrew; Gibson, John</t>
  </si>
  <si>
    <t>A re-investigation of lake sediment diatoms from the Vestfold Hills, Antarctica, using an updated, fine-grained taxonomy</t>
  </si>
  <si>
    <t>DIATOM RESEARCH</t>
  </si>
  <si>
    <t>Antarctica; diatoms; Vestfold Hills; fine-grained taxonomy; East Antarctica; lake sediments</t>
  </si>
  <si>
    <t>KING-GEORGE-ISLAND; JAMES-ROSS-ISLAND; SALINE LAKES; MICROBIAL BIOGEOGRAPHY; FRESH-WATER; POTTER COVE; BACILLARIOPHYTA; DISPERSAL; FLORA; CONSERVATION</t>
  </si>
  <si>
    <t>The non-marine diatom flora of the Antarctic continent is currently being revised as recent work within the Maritime and Sub-Antarctic regions has unveiled a number of new endemic species. The under reporting of endemic species is partially due to the historic 'force-fitting' of Antarctic species into European names. Within East Antarctica, the Vestfold Hills are an extensively studied area known for their diversity of lakes spanning a salinity gradient, for whichDiatoms of the saline lakes of the Vestfold Hills, Antarcticaby Roberts &amp; McMinn (1999) has a primary identification resource for over two decades. To determine if improved taxonomic resolution alters the ecological interpretation of these lakes, 30 prepared lake sediment samples first examined by Roberts &amp; McMinn (1999) were re-analysed using an updated, fine-grained taxonomic approach. Our analyses confirmed the role of salinity and alkalinity in structuring Vestfold Hills diatom communities. Thus, the increased taxonomic resolution did not change the original ecological interpretation. However, the revised flora of the Vestfold Hills features 37 species endemic to the Antarctic Region, including members ofLuticola, SabbeaandHalamphora, among others. In total, 183 taxa across 38 genera were observed, in contrast to the 67 taxa reported in the original work. The revised flora, including a larger proportion of endemic species, may improve our understanding of the diatom community in general and has wider implications for both conservation and biodiversity estimates of Antarctica. More widely applied, these data can be incorporated into larger studies of Antarctic microbial biogeography and biodiversity.</t>
  </si>
  <si>
    <t>[Bishop, Jordan; Kopalova, Katerina; Kohler, Tyler J.] Charles Univ Prague, Fac Sci, Dept Ecol, Prague, Czech Republic; [Kohler, Tyler J.] Ecole Polytech Fed Lausanne, Stream Biofilm &amp; Ecosyst Res Lab, Lausanne, Switzerland; [Van de Vijver, Bart] Meise Bot Garden, Res Dept, Meise, Belgium; [Van de Vijver, Bart] Univ Antwerp, Dept Biol, Antwerp, Belgium; [Roberts, Donna; Gibson, John] Australian Antarctic Div, Dept Environm &amp; Energy, Kingston, Australia; [Mcminn, Andrew] Univ Tasmania, Inst Marine &amp; Antarctic Studies, Hobart, Tas, Australia</t>
  </si>
  <si>
    <t>Charles University Prague; Swiss Federal Institutes of Technology Domain; Ecole Polytechnique Federale de Lausanne; University of Antwerp; Australian Antarctic Division; University of Tasmania</t>
  </si>
  <si>
    <t>Bishop, J (corresponding author), Charles Univ Prague, Fac Sci, Dept Ecol, Prague, Czech Republic.</t>
  </si>
  <si>
    <t>jordanmbishop87@gmail.com</t>
  </si>
  <si>
    <t>McMinn, Andrew/A-9910-2008; Kohler, Tyler Joe/IUO-5352-2023; Bishop, Jordan/Q-3298-2017; Kopalova, Katerina/M-6207-2017</t>
  </si>
  <si>
    <t>Kohler, Tyler Joe/0000-0001-5137-4844; McMinn, Andrew/0000-0002-2133-3854; Bishop, Jordan/0000-0003-2006-9462; Kopalova, Katerina/0000-0002-7905-4268; Van de Vijver, Bart/0000-0002-6244-1886</t>
  </si>
  <si>
    <t>Charles University Research Centre program [204069]; Charles University Student Grant (GAUK) [1460218]; Erasmus Student Trainingship grant</t>
  </si>
  <si>
    <t>Charles University Research Centre program; Charles University Student Grant (GAUK); Erasmus Student Trainingship grant</t>
  </si>
  <si>
    <t>This work has been supported by the Charles University Research Centre program No. 204069 and the Charles University Student Grant (GAUK) Project 1460218. J.B. benefitted from an Erasmus Student Trainingship grant allowing him to stay for 6 months in the Meise Botanic Garden. J.B. also benefitted from the Charles University STARS program.</t>
  </si>
  <si>
    <t>0269-249X</t>
  </si>
  <si>
    <t>2159-8347</t>
  </si>
  <si>
    <t>DIATOM RES</t>
  </si>
  <si>
    <t>Diatom Res.</t>
  </si>
  <si>
    <t>JUL 2</t>
  </si>
  <si>
    <t>10.1080/0269249X.2020.1794982</t>
  </si>
  <si>
    <t>NI5IW</t>
  </si>
  <si>
    <t>WOS:000560852800001</t>
  </si>
  <si>
    <t>Glavin, DP; McLain, HL; Dworkin, JP; Parker, ET; Elsila, JE; Aponte, JC; Simkus, DN; Pozarycki, CI; Graham, HV; Nittler, LR; Alexander, CMO</t>
  </si>
  <si>
    <t>Glavin, Daniel P.; McLain, Hannah L.; Dworkin, Jason P.; Parker, Eric T.; Elsila, Jamie E.; Aponte, Jose C.; Simkus, Danielle N.; Pozarycki, Chad, I; Graham, Heather, V; Nittler, Larry R.; Alexander, Conel M. O'D</t>
  </si>
  <si>
    <t>Abundant extraterrestrial amino acids in the primitive CM carbonaceous chondrite Asuka 12236</t>
  </si>
  <si>
    <t>PROGRESSIVE AQUEOUS ALTERATION; INSOLUBLE ORGANIC-MATTER; COMPOUND-SPECIFIC CARBON; PARENT BODY PROCESSES; MURCHISON METEORITE; MODAL MINERALOGY; ASYMMETRIC AUTOCATALYSIS; ISOTOPIC COMPOSITIONS; ENANTIOMERIC EXCESS; CR CHONDRITES</t>
  </si>
  <si>
    <t>The Asuka (A)-12236 meteorite has recently been classified as a CM carbonaceous chondrite of petrologic type 3.0/2.9 and is among the most primitive CM meteorites studied to date. Here, we report the concentrations, relative distributions, and enantiomeric ratios of amino acids in water extracts of the A-12236 meteorite and another primitive CM chondrite Elephant Moraine (EET) 96029 (CM2.7) determined by ultra-high-performance liquid chromatography time-of-flight mass spectrometry. EET 96029 was highly depleted in amino acids and dominated by glycine, while a wide diversity of two- to six-carbon aliphatic primary amino acids were identified in A-12236, which had a total amino acid abundance of 360 +/- 18 nmol g(-1), with most amino acids present without hydrolysis (free). The amino acid concentrations of A-12236 were double those previously measured in the CM2.7 Paris meteorite, consistent with A-12236 being a highly primitive and unheated CM chondrite. The high relative abundance of alpha-amino acids in A-12236 is consistent with formation by a Strecker-cyanohydrin dominated synthesis during a limited early aqueous alteration phase on the CM meteorite parent body. The presence of predominantly free glycine, a near racemic mixture of alanine (d/l similar to 0.93-0.96), and elevated abundances of several terrestrially rare non-protein amino acids including alpha-aminoisobutyric acid (alpha-AIB) and racemic isovaline indicate that these amino acids in A-12236 are extraterrestrial in origin. Given a lack of evidence for biological amino acid contamination in A-12236, it is possible that some of thel-enantiomeric excesses (l(ee) similar to 34-64%) of the protein amino acids, aspartic and glutamic acids and serine, are indigenous to the meteorite; however, isotopic measurements are needed for confirmation. In contrast to more aqueously altered CMs of petrologic types &lt;= 2.5, nol-isovaline excesses were detected in A-12236. This observation strengthens the hypothesis that extensive parent body aqueous activity is required to produce or amplify the largel-isovaline excesses that cannot be explained solely by exposure to circularly polarized radiation or other chiral symmetry breaking mechanisms prior to incorporation into the asteroid parent body.</t>
  </si>
  <si>
    <t>[Glavin, Daniel P.; McLain, Hannah L.; Dworkin, Jason P.; Parker, Eric T.; Elsila, Jamie E.; Aponte, Jose C.; Simkus, Danielle N.; Pozarycki, Chad, I; Graham, Heather, V] NASA, Goddard Space Flight Ctr, Greenbelt, MD 20771 USA; [McLain, Hannah L.; Aponte, Jose C.; Graham, Heather, V] Catholic Univ Amer, Washington, DC 20064 USA; [Simkus, Danielle N.] NASA, Postdoctoral Program, USRA, Columbia, MD 20146 USA; [Pozarycki, Chad, I] Southeastern Univ Res Assoc, Washington, DC 20005 USA; [Nittler, Larry R.; Alexander, Conel M. O'D] Carnegie Inst Sci, Earth &amp; Planets Lab, Washington, DC 20015 USA</t>
  </si>
  <si>
    <t>National Aeronautics &amp; Space Administration (NASA); NASA Goddard Space Flight Center; Catholic University of America; National Aeronautics &amp; Space Administration (NASA); Carnegie Institution for Science</t>
  </si>
  <si>
    <t>Glavin, DP (corresponding author), NASA, Goddard Space Flight Ctr, Greenbelt, MD 20771 USA.</t>
  </si>
  <si>
    <t>daniel.p.glavin@nasa.gov</t>
  </si>
  <si>
    <t>Glavin, Daniel P/D-6194-2012; Aponte, Jose C./B-9091-2013; Dworkin, Jason P./C-9417-2012; Alexander, Conel M. O'D./N-7533-2013</t>
  </si>
  <si>
    <t>Glavin, Daniel P/0000-0001-7779-7765; Dworkin, Jason P./0000-0002-3961-8997; Alexander, Conel M. O'D./0000-0002-8558-1427; Elsila, Jamie/0000-0002-0008-2590; Parker, Eric/0000-0001-7825-5941; Simkus, Danielle/0000-0002-8272-623X; Nittler, Larry/0000-0002-5292-6089</t>
  </si>
  <si>
    <t>NASA [NNM10AA11C]; NASA Astrobiology Institute [13-13NAI7-0032]; NASA's Planetary Science Division Research Program; Simons Foundation (SCOL) [302497]; NSF</t>
  </si>
  <si>
    <t>NASA(National Aeronautics &amp; Space Administration (NASA)); NASA Astrobiology Institute; NASA's Planetary Science Division Research Program; Simons Foundation (SCOL); NSF(National Science Foundation (NSF))</t>
  </si>
  <si>
    <t>The material discussed in this manuscript was motivated and based on work supported by NASA under Contract NNM10AA11C issued through the New Frontiers Program. D.P.G, J.E.E., H.L.M., J.C.A., E.T.P., and J.P.D. also appreciate funding support from the NASA Astrobiology Institute through award 13-13NAI7-0032 to the Goddard Center for Astrobiology, NASA's Planetary Science Division Research Program, and a grant from the Simons Foundation (SCOL award 302497 to J.P.D.). We appreciate valuable comments on the manuscript from Dr. Hiroshi Naraoka, Dr. Yoshihiro Furukawa, Dr. Cornelia Meinert, and an anonymous reviewer. We are very grateful to Dr. Hideyasu Kojima, the Antarctic meteorite curator at the National Institute for Polar Research (NIPR) for providing the Asuka 12236 meteorite sample used in this study. We thank Dr. Kevin Righter, the Antarctic meteorite curator at the NASA Johnson Space Center for allocating the EET 96029 meteorite analyzed in this study. US Antarctic meteorite samples are recovered by the Antarctic Search for Meteorites (ANSMET) program, which has been funded by the NSF and NASA, and characterized and curated by the Department of Mineral Sciences of the Smithsonian Institution and the Astromaterials Curation Office at NASA Johnson Space Center. The authors declare no conflict of interest.</t>
  </si>
  <si>
    <t>10.1111/maps.13560</t>
  </si>
  <si>
    <t>WOS:000560834500001</t>
  </si>
  <si>
    <t>Li, B; Wang, ZM; An, JC; Zhou, CX; Ma, YY</t>
  </si>
  <si>
    <t>Li, Bing; Wang, Zemin; An, Jiachun; Zhou, Chunxia; Ma, Yuanyuan</t>
  </si>
  <si>
    <t>Time-Series Analysis of Subsidence in Nanning, China, Based on Sentinel-1A Data by the SBAS InSAR Method</t>
  </si>
  <si>
    <t>PFG-JOURNAL OF PHOTOGRAMMETRY REMOTE SENSING AND GEOINFORMATION SCIENCE</t>
  </si>
  <si>
    <t>SBAS-InSAR; Surface subsidence; Sentinel-1A; Nanning; Climate anomalies</t>
  </si>
  <si>
    <t>LAND SUBSIDENCE; PERSISTENT SCATTERERS; PERMANENT SCATTERERS; LONG-TERM; INTERFEROMETRY; DEFORMATION; GPS; CALIFORNIA; ALGORITHM; PLAIN</t>
  </si>
  <si>
    <t>Recent research has demonstrated that the Sentinel-1 constellation can be used for continuous tracking of ground deformation phenomena. In this study, the spatial-temporal subsidence characteristics in Nanning were investigated with 18 Sentinel-1A TOPS synthetic aperture radar (SAR) images acquired from 25 June 2015 to 16 December 2016 based on the small baseline subset interferometric SAR (SBAS InSAR) technique. The results showed that the annual average surface deformation rates in Nanning ranged from - 48 mm/year to 20 mm/year, and the maximum deformation was detected in the Langdong area. The SBAS-derived results were validated by Nanning continuously operating reference station (CORS) and levelling measurement data. The correlation coefficient and root-mean-square error (RMSE) between SBAS-derived and levelling-derived mean deformation rates were 0.79 and 2 mm/year, respectively. The maximum discrepancy and the RMSE amounted to 7 mm/year and 4 mm/year comparing the SBAS time-series with the CORS-measured displacement. The verification using levelling and CORS implied high reliability and precision of surface subsidence derived by SBAS InSAR. Our analysis revealed that surface subsidence in Nanning was mainly caused by large-scale urban construction, which should be paid enough attention to avoid further aggravation. With the help of the meteorological data, we also found that the subsidence in Nanning was closely related to climatic anomalies in 2015. This research work will provide important theoretical and practical reference value for urban planning and construction in Nanning.</t>
  </si>
  <si>
    <t>[Li, Bing; Wang, Zemin; An, Jiachun; Zhou, Chunxia; Ma, Yuanyuan] Wuhan Univ, Chinese Antarctic Ctr Surveying &amp; Mapping, Wuhan 430079, Peoples R China</t>
  </si>
  <si>
    <t>Wuhan University</t>
  </si>
  <si>
    <t>Wang, ZM (corresponding author), Wuhan Univ, Chinese Antarctic Ctr Surveying &amp; Mapping, Wuhan 430079, Peoples R China.</t>
  </si>
  <si>
    <t>binglee@whu.edu.cn; zmwang@whu.edu.cn; jcan@whu.edu.cn; zhoucx@whu.edu.cn; mayuanyuan123@whu.edu.cn</t>
  </si>
  <si>
    <t>An, Jiachun/ABG-4275-2020; Li, Kun/JLL-6505-2023; Li, bo/IWL-9318-2023; Li, Ye/JBS-2949-2023; li, bing/GWQ-9617-2022</t>
  </si>
  <si>
    <t>Li, Kun/0000-0002-3638-2974;</t>
  </si>
  <si>
    <t>National Natural Science Foundation of China [41776195]</t>
  </si>
  <si>
    <t>This work was supported by the National Natural Science Foundation of China (Grant no. 41776195); the authors wish to thank the ESA for arranging the Sentinel-1A data, NASA for providing the SRTM DEM data, and the ESA for releasing the POD data.</t>
  </si>
  <si>
    <t>SPRINGER INTERNATIONAL PUBLISHING AG</t>
  </si>
  <si>
    <t>CHAM</t>
  </si>
  <si>
    <t>GEWERBESTRASSE 11, CHAM, CH-6330, SWITZERLAND</t>
  </si>
  <si>
    <t>2512-2789</t>
  </si>
  <si>
    <t>2512-2819</t>
  </si>
  <si>
    <t>PFG-J PHOTOGRAMM REM</t>
  </si>
  <si>
    <t>PFG-J. Photogramm. Remote Sens. Geoinf. Sci.</t>
  </si>
  <si>
    <t>3-4</t>
  </si>
  <si>
    <t>10.1007/s41064-020-00118-9</t>
  </si>
  <si>
    <t>NT0WH</t>
  </si>
  <si>
    <t>WOS:000561260600001</t>
  </si>
  <si>
    <t>Svensson, A; Dahl-Jensen, D; Steffensen, JP; Blunier, T; Rasmussen, SO; Vinther, BM; Vallelonga, P; Capron, E; Gkinis, V; Cook, E; Kjær, HA; Muscheler, R; Kipfstuhl, S; Wilhelms, F; Stocker, TF; Fischer, H; Adolphi, F; Erhardt, T; Sigl, M; Landais, A; Parrenin, F; Buizert, C; McConnell, JR; Severi, M; Mulvaney, R; Bigler, M</t>
  </si>
  <si>
    <t>Svensson, Anders; Dahl-Jensen, Dorthe; Steffensen, Jorgen Peder; Blunier, Thomas; Rasmussen, Sune O.; Vinther, Bo M.; Vallelonga, Paul; Capron, Emilie; Gkinis, Vasileios; Cook, Eliza; Kjaer, Helle Astrid; Muscheler, Raimund; Kipfstuhl, Sepp; Wilhelms, Frank; Stocker, Thomas F.; Fischer, Hubertus; Adolphi, Florian; Erhardt, Tobias; Sigl, Michael; Landais, Amaelle; Parrenin, Frederic; Buizert, Christo; McConnell, Joseph R.; Severi, Mirko; Mulvaney, Robert; Bigler, Matthias</t>
  </si>
  <si>
    <t>Bipolar volcanic synchronization of abrupt climate change in Greenland and Antarctic ice cores during the last glacial period</t>
  </si>
  <si>
    <t>DRONNING MAUD LAND; NORTH-SOUTH SYNCHRONIZATION; STABLE-ISOTOPE RECORDS; OXYGEN-ISOTOPE; WAIS DIVIDE; MINERAL DUST; POLAR ICE; SEE-SAW; DOME C; ERUPTION</t>
  </si>
  <si>
    <t>The last glacial period is characterized by a number of millennial climate events that have been identified in both Greenland and Antarctic ice cores and that are abrupt in Greenland climate records. The mechanisms governing this climate variability remain a puzzle that requires a precise synchronization of ice cores from the two hemispheres to be resolved. Previously, Greenland and Antarctic ice cores have been synchronized primarily via their common records of gas concentrations or isotopes from the trapped air and via cosmogenic isotopes measured on the ice. In this work, we apply ice core volcanic proxies and annual layer counting to identify large volcanic eruptions that have left a signature in both Greenland and Antarctica. Generally, no tephra is associated with those eruptions in the ice cores, so the source of the eruptions cannot be identified. Instead, we identify and match sequences of volcanic eruptions with bipolar distribution of sulfate, i.e. unique patterns of volcanic events separated by the same number of years at the two poles. Using this approach, we pinpoint 82 large bipolar volcanic eruptions throughout the second half of the last glacial period (12-60 ka). This improved ice core synchronization is applied to determine the bipolar phasing of abrupt climate change events at decadal-scale precision. In response to Greenland abrupt climatic transitions, we find a response in the Antarctic water isotope signals (delta O-18 and deuterium excess) that is both more immediate and more abrupt than that found with previous gas-based interpolar synchronizations, providing additional support for our volcanic framework. On average, the Antarctic bipolar seesaw climate response lags the midpoint of Greenland abrupt delta O-18 transitions by 122 +/- 24 years. The time difference between Antarctic signals in deuterium excess and delta O-18, which likewise informs the time needed to propagate the signal as described by the theory of the bipolar seesaw but is less sensitive to synchronization errors, suggests an Antarctic delta O-18 lag behind Greenland of 152 +/- 37 years. These estimates are shorter than the 200 years suggested by earlier gas-based synchronizations. As before, we find variations in the timing and duration between the response at different sites and for different events suggesting an interaction of oceanic and atmospheric teleconnection patterns as well as internal climate variability.</t>
  </si>
  <si>
    <t>[Svensson, Anders; Dahl-Jensen, Dorthe; Steffensen, Jorgen Peder; Blunier, Thomas; Rasmussen, Sune O.; Vinther, Bo M.; Vallelonga, Paul; Capron, Emilie; Gkinis, Vasileios; Cook, Eliza; Kjaer, Helle Astrid; Kipfstuhl, Sepp] Univ Copenhagen, Niels Bohr Inst, Phys Ice Climate &amp; Earth, Copenhagen, Denmark; [Vallelonga, Paul] Univ Western Australia, Oceans Inst, Crawley, WA, Australia; [Muscheler, Raimund; Adolphi, Florian] Lund Univ, Dept Geol, Quaternary Sci, Lund, Sweden; [Kipfstuhl, Sepp; Wilhelms, Frank] Stiftung Alfred Wegener Inst Polar &amp; Meeresforsch, Bremerhaven, Germany; [Stocker, Thomas F.; Fischer, Hubertus; Adolphi, Florian; Erhardt, Tobias; Sigl, Michael; Bigler, Matthias] Univ Bern, Phys Inst, Climate &amp; Environm Phys, Bern, Switzerland; [Stocker, Thomas F.; Fischer, Hubertus; Adolphi, Florian; Erhardt, Tobias; Sigl, Michael] Univ Bern, Oeschger Ctr Climate Change Res, Bern, Switzerland; [Landais, Amaelle] UPS, UVSQ, CNRS, Lab Sci Climat &amp; Environm IPSL,CEA,UMR 8212, Gif Sur Yvette, France; [Parrenin, Frederic] Univ Grenoble Alpes, CNRS, IRD, IGE, Grenoble, France; [Buizert, Christo] Oregon State Univ, Coll Earth Ocean &amp; Atmospher Sci, Corvallis, OR 97331 USA; [McConnell, Joseph R.] Desert Res Inst, Nevada Syst Higher Educ, Reno, NV USA; [Severi, Mirko] Univ Florence, Dept Chem Ugo Schiff, Florence, Italy; [Mulvaney, Robert] British Antarctic Survey, Cambridge, England</t>
  </si>
  <si>
    <t>University of Copenhagen; Niels Bohr Institute; University of Western Australia; Lund University; Helmholtz Association; Alfred Wegener Institute, Helmholtz Centre for Polar &amp; Marine Research; University of Bern; University of Bern; CEA; Centre National de la Recherche Scientifique (CNRS); Universite Paris Saclay; CNRS - National Institute for Earth Sciences &amp; Astronomy (INSU); Universite de Toulouse; Universite Toulouse III - Paul Sabatier; Universite Paris Cite; Centre National de la Recherche Scientifique (CNRS); Institut de Recherche pour le Developpement (IRD); Communaute Universite Grenoble Alpes; Universite Grenoble Alpes (UGA); Oregon State University; Nevada System of Higher Education (NSHE); Desert Research Institute NSHE; University of Florence; UK Research &amp; Innovation (UKRI); Natural Environment Research Council (NERC); NERC British Antarctic Survey</t>
  </si>
  <si>
    <t>Svensson, A (corresponding author), Univ Copenhagen, Niels Bohr Inst, Phys Ice Climate &amp; Earth, Copenhagen, Denmark.</t>
  </si>
  <si>
    <t>as@gfy.ku.dk</t>
  </si>
  <si>
    <t>Vallelonga, Paul/I-9650-2016; Rasmussen, Sune Olander/AAA-3190-2021; Mulvaney, Robert/K-3929-2012; Rasmussen, Sune/B-5560-2008; Capron, Emilie/ITU-2672-2023; Svensson, Anders/A-2643-2010; Erhardt, Tobias/C-4589-2019; Steffensen, Jorgen Peder/JFS-7831-2023; Bigler, Matthias/HTT-3872-2023; Fischer, Hubertus/A-1211-2014; Gkinis, Vasileios/E-8185-2011; Severi, Mirko/J-2508-2012; Dahl-Jensen, Dorthe/AAO-6951-2020; Kjær, Helle Astrid/HGC-7941-2022; Parrenin, Frederic/H-3054-2014; Blunier, Thomas/M-4609-2014</t>
  </si>
  <si>
    <t>Rasmussen, Sune Olander/0000-0002-4177-3611; Svensson, Anders/0000-0002-4364-6085; Erhardt, Tobias/0000-0002-6683-6746; Steffensen, Jorgen Peder/0000-0002-5516-1093; Bigler, Matthias/0000-0003-0184-4013; Gkinis, Vasileios/0000-0002-5910-1549; Dahl-Jensen, Dorthe/0000-0002-1474-1948; Kjær, Helle Astrid/0000-0002-3781-9509; Sigl, Michael/0000-0002-9028-9703; Parrenin, Frederic/0000-0002-9489-3991; Cook, Eliza/0000-0001-7927-7974; Vinther, Bo/0000-0002-6078-771X; Blunier, Thomas/0000-0002-6065-7747</t>
  </si>
  <si>
    <t>European Union's Horizon 2020 research and innovation programme [820047, 820970]; Villum Investigator [16572]; US National Science Foundation [ANT-1643394, 0839093, 1142166]; Carlsberg Foundation (ChronoClimate project); Swedish Research Council [DNR2016-00218, DNR2013-8421]; Swiss National Science Foundation [200020_172745, 200020_172506]; Swiss National Science Foundation (SNF) [200020_172745, 200020_172506] Funding Source: Swiss National Science Foundation (SNF); NERC [bas0100034] Funding Source: UKRI</t>
  </si>
  <si>
    <t>European Union's Horizon 2020 research and innovation programme(Horizon 2020); Villum Investigator(Villum Fonden); US National Science Foundation(National Science Foundation (NSF)); Carlsberg Foundation (ChronoClimate project); Swedish Research Council(Swedish Research Council); Swiss National Science Foundation(Swiss National Science Foundation (SNSF)); Swiss National Science Foundation (SNF)(Swiss National Science Foundation (SNSF)); NERC(UK Research &amp; Innovation (UKRI)Natural Environment Research Council (NERC))</t>
  </si>
  <si>
    <t>This research has been supported by the European Union's Horizon 2020 research and innovation programme (grant no. 820970), the Villum Investigator (grant no. 16572), the US National Science Foundation (grant no. ANT-1643394), the Carlsberg Foundation (ChronoClimate project), the Swedish Research Council (grant no. DNR2016-00218), the Swedish Research Council (grant no. DNR2013-8421), the European Union's Horizon 2020 research and innovation programme (grant no. 820047), the Swiss National Science Foundation (grant nos. 200020_172745 and 200020_172506), and the US National Science Foundation (grant nos. 0839093 and 1142166).</t>
  </si>
  <si>
    <t>AUG 19</t>
  </si>
  <si>
    <t>10.5194/cp-16-1565-2020</t>
  </si>
  <si>
    <t>NF1AU</t>
  </si>
  <si>
    <t>WOS:000563035200002</t>
  </si>
  <si>
    <t>Bell, JJ; McGrath, E; Kandler, NM; Marlow, J; Beepat, SS; Bachtiar, R; Shaffer, MR; Mortimer, C; Micaroni, V; Mobilia, V; Rovellini, A; Harris, B; Farnham, E; Strano, F; Carballo, JL</t>
  </si>
  <si>
    <t>Bell, James J.; McGrath, Emily; Kandler, Nora M.; Marlow, Joseph; Beepat, Sandeep S.; Bachtiar, Ramadian; Shaffer, Megan R.; Mortimer, Charlotte; Micaroni, Valerio; Mobilia, Valeria; Rovellini, Alberto; Harris, Benjamin; Farnham, Elizabeth; Strano, Francesca; Luis Carballo, Jose</t>
  </si>
  <si>
    <t>Interocean patterns in shallow water sponge assemblage structure and function</t>
  </si>
  <si>
    <t>BIOLOGICAL REVIEWS</t>
  </si>
  <si>
    <t>Porifera; diversity; richness; morphology; associated macrofauna; respiration; predation; pumping rates; competition</t>
  </si>
  <si>
    <t>CORAL-REEF SPONGE; HALICHONDRIA-PANICEA PALLAS; GREAT-BARRIER-REEF; RIO-DE-JANEIRO; TERPIOS-HOSHINOTA SUBERITIDAE; CHEMICALLY-MEDIATED INTERACTIONS; CARIBBEAN COMMERCIAL SPONGES; SARCOTRAGUS-MUSCARUM SCHMIDT; CF. CAVERNOSA PORIFERA; MARINE NATIONAL-PARK</t>
  </si>
  <si>
    <t>Sponges are a major component of benthic ecosystems across the world and fulfil a number of important functional roles. However, despite their importance, there have been few attempts to compare sponge assemblage structure and ecological functions across large spatial scales. In this review, we examine commonalities and differences between shallow water (&lt;100 m) sponges at bioregional (15 bioregions) and macroregional (tropical, Mediterranean, temperate, and polar) scales, to provide a more comprehensive understanding of sponge ecology. Patterns of sponge abundance (based on density and area occupied) were highly variable, with an average benthic cover between similar to 1 and 30%. Sponges were generally found to occupy more space (percentage cover) in the Mediterranean and polar macroregions, compared to temperate and tropical macroregions, although sponge densities (sponges m(-2)) were highest in temperate bioregions. Mean species richness standardised by sampling area was similar across all bioregions, except for a few locations that supported very high small-scale biodiversity concentrations. Encrusting growth forms were generally the dominant sponge morphology, with the exception of the Tropical West Atlantic, where upright forms dominated. Annelids and Arthropods were the most commonly reported macrofauna associated with sponges across bioregions. With respect to reproduction, there were no patterns in gametic development (hermaphroditismversusgonochorism), although temperate, tropical, and polar macroregions had an increasingly higher percentage of viviparous species, respectively, with viviparity being the sole gamete development mechanism reported for polar sponges to date. Seasonal reproductive timing was the most common in all bioregions, but continuous timing was more common in the Mediterranean and tropical bioregions compared to polar and temperate bioregions. We found little variation across bioregions in larval size, and the dominant larval type across the globe was parenchymella. No pattens among bioregions were found in the limited information available for standardised respiration and pumping rates. Many organisms were found to predate sponges, with the abundance of sponge predators being higher in tropical systems. While there is some evidence to support a higher overall proportion of phototrophic species in the Tropical Austalian bioregion compared to the Western Atlantic, both also have large numbers of heterotrophic species. Sponges are important spatial competitors across all bioregions, most commonly being reported to interact with anthozoans and algae. Even though the available information was limited for many bioregions, our analyses demonstrate some differences in sponge traits and functions among bioregions, and among macroregions. However, we also identified similarities in sponge assemblage structure and function at global scales, likely reflecting a combination of regional- and local-scale biological and physical processes affecting sponge assemblages, along with common ancestry. Finally, we used our analyses to highlight geographic bias in past sponge research, and identify gaps in our understanding of sponge ecology globally. By so doing, we identified key areas for future research on sponge ecology. We hope that our study will help sponge researchers to consider bioregion-specific features of sponge assemblages and key sponge-mediated ecological processes from a global perspective.</t>
  </si>
  <si>
    <t>[Bell, James J.; McGrath, Emily; Kandler, Nora M.; Marlow, Joseph; Beepat, Sandeep S.; Bachtiar, Ramadian; Shaffer, Megan R.; Mortimer, Charlotte; Micaroni, Valerio; Mobilia, Valeria; Rovellini, Alberto; Harris, Benjamin; Strano, Francesca] Victoria Univ Wellington, Sch Biol Sci, POB 600, Wellington, New Zealand; [McGrath, Emily] Cawthron Inst, 98 Halifax St E, The Wood 7010, Nelson, New Zealand; [Marlow, Joseph] British Antarctic Survey, Madingley Rd, Cambridge CB3 0ET, England; [Farnham, Elizabeth] Minist Primary Ind, POB 2526, Wellington, New Zealand; [Luis Carballo, Jose] Univ Nacl Autonoma Mexico, Inst Ciencias Mar &amp; Limnol, Ave Joel Montes Camarena S-N,Apartado Postal 811, Mazatlan 82000, Mexico</t>
  </si>
  <si>
    <t>Victoria University Wellington; Cawthron Institute; UK Research &amp; Innovation (UKRI); Natural Environment Research Council (NERC); NERC British Antarctic Survey; Universidad Nacional Autonoma de Mexico</t>
  </si>
  <si>
    <t>Bell, JJ (corresponding author), Victoria Univ Wellington, Sch Biol Sci, POB 600, Wellington, New Zealand.</t>
  </si>
  <si>
    <t>james.bell@vuw.ac.nz</t>
  </si>
  <si>
    <t>Micaroni, Valerio/ABF-7136-2021; Carballo, José Luis/C-3198-2018</t>
  </si>
  <si>
    <t>Carballo, José Luis/0000-0002-5146-7597; Mobilia, Valeria/0000-0001-9370-598X; Beepat, Sandeep Shivram/0000-0002-0224-4776; Rovellini, Alberto/0000-0002-1064-4737; Bell, James/0000-0001-9996-945X</t>
  </si>
  <si>
    <t>Victoria University of Wellington Doctoral Scholarship; Commonwealth Doctoral Scholarships; LDPD scholarship; Royal Society of New Zealand Marsden Fund; George Mason Trust; NERC [bas0100036] Funding Source: UKRI</t>
  </si>
  <si>
    <t>Victoria University of Wellington Doctoral Scholarship; Commonwealth Doctoral Scholarships; LDPD scholarship; Royal Society of New Zealand Marsden Fund(Royal Society of New ZealandMarsden Fund (NZ)); George Mason Trust; NERC(UK Research &amp; Innovation (UKRI)Natural Environment Research Council (NERC))</t>
  </si>
  <si>
    <t>We are especially grateful to Dr David Barnes from the British Antarctic Survey (BAS) for making unpublished diversity, abundance and morphological data available to us. E.M., N.M.K., E.F., J.M., M.R.S., V.Mo., V.Mi. and F.S. were all supported by a Victoria University of Wellington Doctoral Scholarship; S.S.B. and C.M. were supported by Commonwealth Doctoral Scholarships; R.B. was supported by a LDPD scholarship and A.R. by the Royal Society of New Zealand Marsden Fund; B.H. was supported by a doctoral scholarship from the George Mason Trust. Wealso acknowledge the comments and feedback from reviewers and the editorial team, which substantially improved our manuscript.</t>
  </si>
  <si>
    <t>1464-7931</t>
  </si>
  <si>
    <t>1469-185X</t>
  </si>
  <si>
    <t>BIOL REV</t>
  </si>
  <si>
    <t>Biol. Rev.</t>
  </si>
  <si>
    <t>10.1111/brv.12637</t>
  </si>
  <si>
    <t>OM1PL</t>
  </si>
  <si>
    <t>WOS:000561836100001</t>
  </si>
  <si>
    <t>Zheng, HN; Liang, SM; Xue, GZ; Ren, DD; Cao, WH; Zhang, CH; Yuan, JJ</t>
  </si>
  <si>
    <t>Zheng, Huina; Liang Shiming; Xue Gaozhan; Ren Dingding; Cao Wenhong; Zhang Chaohua; Yuan Jianjun</t>
  </si>
  <si>
    <t>Effect of heat pretreatment before isoelectric solubilisation/precipitation on the characteristics of Pacific oyster (Crassostrea hongkongensis) and Antarctic krill (Euphausia superba) protein isolates</t>
  </si>
  <si>
    <t>Pacific oysters; Antarctic krill; aquatic protein isoelectric solubilisation; precipitation; protein heat pretreatment; protein characteristics</t>
  </si>
  <si>
    <t>WHITE SHRIMP; BY-PRODUCTS; PROTEASES; FISH; FOOD; SOLUBILIZATION/PRECIPITATION; PHOSPHOLIPIDS; CARRAGEENAN; GELATION; OIL</t>
  </si>
  <si>
    <t>Heat treatment is a convenient way to eliminate the effects of endogenous enzymes on the industrial production of stable products. This study describes the preparation of protein isolates from oysters (OPI and HOPI) and krill (KPI and HKPI) by isoelectric solubilisation/precipitation (ISP) with or without heat pretreatment and comparatively presents their characteristics. The results showed that the solubilities of HOPI (24.08 +/- 1.94%) and HKPI (42.29 +/- 0.78%) were higher than those of OPI (13.46 +/- 0.78%) and KPI (21.71.46 +/- 1.51%), and the free and total sulphhydryl (-SH) content and surface hydrophobicity of HOPI and HKPI were higher than those of OPI and KPI, which are related to higher fat content of HOPI (10.37 +/- 0.55%) and HKPI (34.89 +/- 1.19%). SDS-PAGE and gel chromatography pattern results showed that macromolecular proteins were degraded by endogenous enzymes in OPI and KPI, while they remained unaffected in HOPI and HKPI. The FT-IR spectra showed similar patterns between OPI and HOPI and between KPI and HKPI. While the essential amino acid content was similar for OPI and HOPI (47.06 +/- 1.33% and 47.93 +/- 1.02%), that of KPI and HKPI (50.89 +/- 0.89% and 51.19 +/- 1.11%, respectively) was not significantly different.</t>
  </si>
  <si>
    <t>[Zheng, Huina; Liang Shiming; Xue Gaozhan; Ren Dingding; Cao Wenhong; Zhang Chaohua] Guangdong Ocean Univ, Coll Food Sci &amp; Technol, Zhanjiang 524088, Peoples R China; [Zheng, Huina; Cao Wenhong; Zhang Chaohua] Guangdong Ocean Univ, Shenzhen Inst, Shenzhen 518116, Peoples R China; [Zheng, Huina; Cao Wenhong; Zhang Chaohua] Guangdong Prov Key Lab Aquat Prod Proc &amp; Safety, Zhanjiang 524088, Peoples R China; [Zhang Chaohua; Yuan Jianjun] Fujian Prov Univ, Quanzhou Normal Univ, Key Lab Inshore Resources Biotechnol, Quanzhou 362000, Peoples R China; [Yuan Jianjun] Quanzhou Normal Univ, Coll Oceanol &amp; Food Sci, Quanzhou 362000, Peoples R China</t>
  </si>
  <si>
    <t>Guangdong Ocean University; Guangdong Ocean University; Quanzhou Normal University; Fuzhou University; Quanzhou Normal University</t>
  </si>
  <si>
    <t>Zheng, HN (corresponding author), Guangdong Ocean Univ, Coll Food Sci &amp; Technol, Zhanjiang 524088, Peoples R China.;Zheng, HN (corresponding author), Guangdong Ocean Univ, Shenzhen Inst, Shenzhen 518116, Peoples R China.;Zheng, HN (corresponding author), Guangdong Prov Key Lab Aquat Prod Proc &amp; Safety, Zhanjiang 524088, Peoples R China.;Yuan, JJ (corresponding author), Fujian Prov Univ, Quanzhou Normal Univ, Key Lab Inshore Resources Biotechnol, Quanzhou 362000, Peoples R China.;Yuan, JJ (corresponding author), Quanzhou Normal Univ, Coll Oceanol &amp; Food Sci, Quanzhou 362000, Peoples R China.</t>
  </si>
  <si>
    <t>margaretpaper@126.com; yuanjianjun2005@qztc.edu.cn</t>
  </si>
  <si>
    <t>Ren, Dingding/J-9692-2018; zhang, chao/HTO-2468-2023; zhang, chao/IXD-9965-2023; Zhang, Chaoyang/JPK-5044-2023</t>
  </si>
  <si>
    <t>Guangdong Province Modern Agricultural Industry Technology System Innovation Team Construction Project [2019KJ145]; Special Funds of China's Modern Agricultural Technology System [CARS-48]; Natural Science Foundation of Guangdong Province [2016A030313810]; Open Funds of Guangdong Provincial Key Laboratory of Aquatic Products Processing and Safety [GDPKLAPPS140]; Applied Science and Technology Research and Development Project of Guangdong Province [2016B020235002]; Curriculum and Educational Reform Project of the Graduate School of Guangdong Ocean University [521005035]</t>
  </si>
  <si>
    <t>Guangdong Province Modern Agricultural Industry Technology System Innovation Team Construction Project; Special Funds of China's Modern Agricultural Technology System; Natural Science Foundation of Guangdong Province(National Natural Science Foundation of Guangdong Province); Open Funds of Guangdong Provincial Key Laboratory of Aquatic Products Processing and Safety; Applied Science and Technology Research and Development Project of Guangdong Province; Curriculum and Educational Reform Project of the Graduate School of Guangdong Ocean University</t>
  </si>
  <si>
    <t>This work was supported by the Guangdong Province Modern Agricultural Industry Technology System Innovation Team Construction Project (Grant No: 2019KJ145), the Special Funds of China's Modern Agricultural Technology System (Grant No: CARS-48), the Natural Science Foundation of Guangdong Province (Grant No: 2016A030313810), the Open Funds of Guangdong Provincial Key Laboratory of Aquatic Products Processing and Safety (Grant No: GDPKLAPPS140), the Applied Science and Technology Research and Development Project of Guangdong Province (Grant No: 2016B020235002) and the Curriculum and Educational Reform Project of the Graduate School of Guangdong Ocean University (Grant No: 521005035).</t>
  </si>
  <si>
    <t>10.1111/ijfs.14702</t>
  </si>
  <si>
    <t>QB1DF</t>
  </si>
  <si>
    <t>WOS:000563908600001</t>
  </si>
  <si>
    <t>Deppeler, S; Schulz, KG; Hancock, A; Pascoe, P; McKinlay, J; Davidson, A</t>
  </si>
  <si>
    <t>Deppeler, Stacy; Schulz, Kai G.; Hancock, Alyce; Pascoe, Penelope; McKinlay, John; Davidson, Andrew</t>
  </si>
  <si>
    <t>Ocean acidification reduces growth and grazing impact of Antarctic heterotrophic nanoflagellates</t>
  </si>
  <si>
    <t>DISSOLVED INORGANIC CARBON; KRILL EUPHAUSIA-SUPERBA; SOUTHERN-OCEAN; COMMUNITY STRUCTURE; PHYTOPLANKTON GROWTH; CONCENTRATING MECHANISMS; COASTAL WATERS; PH HOMEOSTASIS; ANNUAL CYCLE; PRYDZ BAY</t>
  </si>
  <si>
    <t>High-latitude oceans have been identified as particularly vulnerable to ocean acidification if anthropogenic CO2 emissions continue. Marine microbes are an essential part of the marine food web and are a critical link in biogeochemical processes in the ocean, such as the cycling of nutrients and carbon. Despite this, the response of Antarctic marine microbial communities to ocean acidification is poorly understood. We investigated the effect of increasing fCO(2) on the growth of heterotrophic nanoflagellates (HNFs), nano- and picophytoplankton, and prokaryotes (heterotrophic Bacteria and Archaea) in a natural coastal Antarctic marine microbial community from Prydz Bay, East Antarctica. At CO2 levels &gt;= 634 mu atm, HNF abundance was reduced, coinciding with increased abundance of picophytoplankton and prokaryotes. This increase in picophytoplankton and prokaryote abundance was likely due to a reduction in top-down control of grazing HNFs. Nanophytoplankton abundance was elevated in the 634 mu atm treatment, suggesting that moderate increases in CO2 may stimulate growth. The taxonomic and morphological differences in CO2 tolerance we observed are likely to favour dominance of microbial communities by prokaryotes, nanophytoplankton, and picophytoplankton. Such changes in predator-prey interactions with ocean acidification could have a significant effect on the food web and biogeochemistry in the Southern Ocean, intensifying organic-matter recycling in surface waters; reducing vertical carbon flux; and reducing the quality, quantity, and availability of food for higher trophic levels.</t>
  </si>
  <si>
    <t>[Deppeler, Stacy] Natl Inst Water &amp; Atmospher Res, Wellington, New Zealand; [Deppeler, Stacy; Hancock, Alyce; Pascoe, Penelope] Univ Tasmania, Inst Marine &amp; Antarctic Studies, Hobart, Tas, Australia; [Schulz, Kai G.] Southern Cross Univ, Ctr Coastal Biogeochem, East Lismore, NSW, Australia; [Hancock, Alyce] Antarctic Gateway Partnership, Hobart, Tas, Australia; [Hancock, Alyce; Davidson, Andrew] Antarctic Climate &amp; Ecosyst Cooperat Res Ctr, Hobart, Tas, Australia; [Pascoe, Penelope; McKinlay, John; Davidson, Andrew] Australian Antarctic Div, Dept Environm &amp; Energy, Kingston, Tas, Australia</t>
  </si>
  <si>
    <t>National Institute of Water &amp; Atmospheric Research (NIWA) - New Zealand; University of Tasmania; Southern Cross University; Antarctic Climate &amp; Ecosystems Cooperative Research Centre (ACE CRC); Australian Antarctic Division</t>
  </si>
  <si>
    <t>Deppeler, S (corresponding author), Natl Inst Water &amp; Atmospher Res, Wellington, New Zealand.;Deppeler, S (corresponding author), Univ Tasmania, Inst Marine &amp; Antarctic Studies, Hobart, Tas, Australia.</t>
  </si>
  <si>
    <t>stacy.deppeler@niwa.co.nz</t>
  </si>
  <si>
    <t>Hancock, Alyce M./AAX-3151-2020; Schulz, Kai/AEZ-9073-2022; Deppeler, Stacy/I-1546-2014</t>
  </si>
  <si>
    <t>Hancock, Alyce M./0000-0001-6049-5592; Schulz, Kai/0000-0002-8481-4639; Deppeler, Stacy/0000-0003-2213-2656; McKinlay, John/0000-0003-4858-2604</t>
  </si>
  <si>
    <t>Australian Antarctic Division [AAS4026]; Elite Research Scholarship from the Institute for Marine and Antarctic Studies, University of Tasmania</t>
  </si>
  <si>
    <t>Australian Antarctic Division; Elite Research Scholarship from the Institute for Marine and Antarctic Studies, University of Tasmania</t>
  </si>
  <si>
    <t>This research has been supported by the Australian Antarctic Division (grant no. AAS4026) and the Elite Research Scholarship from the Institute for Marine and Antarctic Studies, University of Tasmania.</t>
  </si>
  <si>
    <t>AUG 18</t>
  </si>
  <si>
    <t>10.5194/bg-17-4153-2020</t>
  </si>
  <si>
    <t>NF0EO</t>
  </si>
  <si>
    <t>WOS:000562977000001</t>
  </si>
  <si>
    <t>Storsve, AB; Johnsen, L; Nyborg, C; Melau, J; Hisdal, J; Burri, L</t>
  </si>
  <si>
    <t>Storsve, Andreas B.; Johnsen, Line; Nyborg, Christoffer; Melau, Jorgen; Hisdal, Jonny; Burri, Lena</t>
  </si>
  <si>
    <t>Effects of Krill Oil and Race Distance on Serum Choline and Choline Metabolites in Triathletes: A Field Study</t>
  </si>
  <si>
    <t>FRONTIERS IN NUTRITION</t>
  </si>
  <si>
    <t>choline; betaine; dimethylglycine; high-intensity exercise; krill oil; phosphatidylcholine; sport nutrition; triathlon</t>
  </si>
  <si>
    <t>FATTY-ACIDS; BETAINE; PLASMA; EXERCISE; HEALTH; FOCUS</t>
  </si>
  <si>
    <t>Choline is an essential nutrient that has been implicated in athletic performance due to its role in maintaining normal muscle function. The concentration of free choline in serum may decrease during long-distance high-intensity exercise, yet few nutritional strategies to counteract this potentially performance-depleting loss in choline have been investigated outside the laboratory. This exploratory field study was performed to investigate if pre-race supplementation with phosphatidylcholine from krill oil can counteract the expected drop in choline and some of its metabolites during triathlon competitions. Forty-seven triathletes, 12 females and 35 males ranging in age from 25 to 61 years, were recruited from participants in the Ironman-distance Norseman Xtreme triathlon and the Sprint/Olympic-distance Oslo Triathlon. Twenty-four athletes were randomly allocated to the krill oil group, receiving 4 g of SuperbaBoost (TM) krill oil daily for 5 weeks prior to the race, and 23 athletes were randomly allocated to the placebo group, receiving 4 g of mixed vegetable oil daily. Blood samples were obtained before the race, immediately after completion of the race, and the day after the race for analysis of choline and its metabolites. The results showed that serum choline concentrations significantly decreased from pre-race to race finish in all races, with a more pronounced decrease observed in the Ironman-distance Norseman Xtreme triathlon (34% decrease) relative to the Sprint/Olympic-distance Oslo Triathlon (15% decrease). A reduction in betaine was also observed, while dimethylglycine (DMG) concentrations remained stable across all time points. Significantly higher concentrations of choline (9.4% on average) and DMG (21.4% on average) were observed in the krill oil compared to the placebo group, and the krill oil group showed a significantly greater increase in serum choline following race completion. In conclusion, krill oil may help to prevent that circulating choline concentrations become limiting during endurance competitions.</t>
  </si>
  <si>
    <t>[Storsve, Andreas B.; Johnsen, Line; Burri, Lena] Aker BioMarine Antarctic AS, Lysaker, Norway; [Nyborg, Christoffer; Melau, Jorgen; Hisdal, Jonny] Univ Oslo, Dept Clin Med, Fac Med, Oslo, Norway; [Nyborg, Christoffer; Hisdal, Jonny] Oslo Univ Hosp, Sect Vasc Invest, Oslo, Norway; [Melau, Jorgen] Vestfold Hosp Trust, Prehosp Div, Tonsberg, Norway</t>
  </si>
  <si>
    <t>University of Oslo; University of Oslo</t>
  </si>
  <si>
    <t>Storsve, AB (corresponding author), Aker BioMarine Antarctic AS, Lysaker, Norway.</t>
  </si>
  <si>
    <t>andreas.storsve@akerbiomarine.com</t>
  </si>
  <si>
    <t>Melau, Jørgen/0000-0002-3860-3988</t>
  </si>
  <si>
    <t>This work was financially supported by Aker BioMarine Antarctic AS.</t>
  </si>
  <si>
    <t>2296-861X</t>
  </si>
  <si>
    <t>FRONT NUTR</t>
  </si>
  <si>
    <t>Front. Nutr.</t>
  </si>
  <si>
    <t>10.3389/fnut.2020.00133</t>
  </si>
  <si>
    <t>NJ7WM</t>
  </si>
  <si>
    <t>WOS:000566253400001</t>
  </si>
  <si>
    <t>Ford, SA; Jepsen, MR; Kingston, N; Lewis, E; Brooks, TM; MacSharry, B; Mertz, O</t>
  </si>
  <si>
    <t>Ford, Scott Alan; Jepsen, Martin Rudbeck; Kingston, Naomi; Lewis, Edward; Brooks, Thomas M.; MacSharry, Brian; Mertz, Ole</t>
  </si>
  <si>
    <t>Deforestation leakage undermines conservation value of tropical and subtropical forest protected areas</t>
  </si>
  <si>
    <t>deforestation; irreplaceability; land use; leakage; propensity score matching; protected area effectiveness; spillover; tropical forest</t>
  </si>
  <si>
    <t>DRIVERS; IMPACTS; PARKS</t>
  </si>
  <si>
    <t>Aim The establishment of protected areas is among the most widespread responses to mitigate species loss. Although protected areas are often assumed to have conservation benefits, negative impacts have also been documented. One potential negative outcome is leakage, whereby protected areas displace land-use activities harmful to conservation into adjacent areas. This can undermine protection by accelerating loss of species or skewing judgements of effectiveness. This study assessed the prevalence of deforestation leakage in a pan-tropical and subtropical selection of 120 protected areas. Location Tropical and subtropical forest regions of America, Africa and Asia. Time period 2001-2017. Major taxa studied Threatened species of amphibians, birds and terrestrial mammals. Methods We used Global Forest Change data to assess the average yearly rate of deforestation in protected areas, protected area buffer zones and statistically matched, unprotected control areas. We calculated and compared irreplaceability of habitat for threatened amphibian, bird and terrestrial mammal species between protected areas and buffer zones. Results In 55 cases, deforestation rates were higher in buffer zones than in protected and control areas, suggesting a relatively high prevalence of deforestation leakage stemming from protected areas. In 78.2% of documented leakage cases, reduced deforestation in protected areas was not sufficient to offset the amount of deforestation in 10 km buffer zones to a level that would be expected without protection. In 90.9% of leakage cases, the irreplaceability of species in the 10 km buffer zone was greater than that of the protected area, implying a negative impact of leakage on threatened species. Main conclusions The results suggest that protected areas are generally effective at preventing deforestation within their jurisdiction; however, leakage patterns can undermine conservation success because buffer zones often contain habitat for threatened species. We recommend accounting for the possibility of leakage when designing new protected areas and networks.</t>
  </si>
  <si>
    <t>[Ford, Scott Alan; Jepsen, Martin Rudbeck; Mertz, Ole] Univ Copenhagen, Dept Geosci &amp; Nat Resource Management, Sect Geog, Oster Voldgade 10, DK-1350 Copenhagen, Denmark; [Kingston, Naomi; Lewis, Edward] UN Environm World Conservat Monitoring Ctr, Cambridge, England; [Brooks, Thomas M.] Int Union Conservat Nat, Gland, Switzerland; [Brooks, Thomas M.] Univ Tasmania, Inst Marine &amp; Antarctic Studies, Hobart, Tas, Australia; [Brooks, Thomas M.] Univ Philippines Los Banos, World Agroforestry Ctr ICRAF, Los Banos, Philippines; [MacSharry, Brian] European Environm Agcy, Copenhagen, Denmark</t>
  </si>
  <si>
    <t>University of Copenhagen; University of Tasmania; University of the Philippines System; University of the Philippines Los Banos; CGIAR; World Agroforestry (ICRAF)</t>
  </si>
  <si>
    <t>Ford, SA (corresponding author), Univ Copenhagen, Dept Geosci &amp; Nat Resource Management, Sect Geog, Oster Voldgade 10, DK-1350 Copenhagen, Denmark.</t>
  </si>
  <si>
    <t>scf@ign.ku.dk</t>
  </si>
  <si>
    <t>Mertz, Ole/M-2482-2014; Ford, Scott/HOH-3818-2023; Jepsen, Martin R/J-4039-2012</t>
  </si>
  <si>
    <t>Ford, Scott/0000-0002-7881-8270;</t>
  </si>
  <si>
    <t>H2020 Marie Sklodowska-Curie Actions [766417]; Marie Curie Actions (MSCA) [766417] Funding Source: Marie Curie Actions (MSCA)</t>
  </si>
  <si>
    <t>H2020 Marie Sklodowska-Curie Actions(Marie Curie ActionsHorizon 2020); Marie Curie Actions (MSCA)(Marie Curie Actions)</t>
  </si>
  <si>
    <t>H2020 Marie Sklodowska-Curie Actions, Grant/Award Number: 766417</t>
  </si>
  <si>
    <t>10.1111/geb.13172</t>
  </si>
  <si>
    <t>OA2UZ</t>
  </si>
  <si>
    <t>WOS:000560344800001</t>
  </si>
  <si>
    <t>Barbero, A; Blouzon, C; Savarino, J; Caillon, N; Dommergue, A; Grilli, R</t>
  </si>
  <si>
    <t>Barbero, Albane; Blouzon, Camille; Savarino, Joel; Caillon, Nicolas; Dommergue, Aurelien; Grilli, Roberto</t>
  </si>
  <si>
    <t>A compact incoherent broadband cavity-enhanced absorption spectrometer for trace detection of nitrogen oxides, iodine oxide and glyoxal at levels below parts per billion for field applications</t>
  </si>
  <si>
    <t>DIFFERENTIAL OPTICAL-ABSORPTION; MAX-DOAS MEASUREMENTS; ANTARCTIC PLATEAU; CROSS-SECTION; NO2; SPECTROSCOPY; SYSTEM; HONO; METHYLGLYOXAL; ULTRAVIOLET</t>
  </si>
  <si>
    <t>We present a compact, affordable and robust instrument based on incoherent broadband cavity-enhanced absorption spectroscopy (IBBCEAS) for simultaneous detection of NOx, IO, CHOCHO and O-3 in the 400-475 nm wavelength region. The instrument relies on the injection of a high-power LED source in a high-finesse cavity (F similar to 33100), with the transmission signal being detected by a compact spectrometer based on a high-order diffraction grating and a charge-coupled device (CCD) camera. A minimum detectable absorption of 2.0 x 10(-10) cm(-1) was achieved within similar to 22 min of total acquisition, corresponding to a figure of merit of 1.8 x 10(-10) cm(-1) Hz(-1/2) per spectral element. Due to the multiplexing broadband feature of the setup, multi-species detection can be performed with simultaneous detection of NO2, IO, CHOCHO and O-3 achieving detection limits of 11, 0.3, 10 ppt (parts per trillion) and 47 ppb (parts per billion) (1 sigma) within 22 min of measurement, respectively (half of the time is spent on the acquisition of the reference spectrum in the absence of the absorber, and the other half is spent on the absorption spectrum). The implementation on the inlet gas line of a compact ozone generator based on electrolysis of water allows for the measurement of NOx (NO + NO2) and therefore an indirect detection of NO with detection limits for NOx and NO of 10 and 21 ppt (1 sigma), respectively. The device has been designed to fit in a 19 in., 3U (5.25 in.) rack-mount case; weighs 15 kg; and has a total electrical power consumption of &lt; 300 W. The instrument can be employed to address different scientific objectives such as better constraining the oxidative capacity of the atmosphere, studying the chemistry of highly reactive species in atmospheric chambers as well as in the field and looking at the sources of glyoxal in the marine boundary layer to study possible implications on the formation of secondary aerosol particles.</t>
  </si>
  <si>
    <t>[Barbero, Albane; Blouzon, Camille; Savarino, Joel; Caillon, Nicolas; Dommergue, Aurelien; Grilli, Roberto] Univ Grenoble Alpes, Inst Engn, Grenoble INP, CNRS,IRD,IGE, F-38000 Grenoble, France</t>
  </si>
  <si>
    <t>Communaute Universite Grenoble Alpes; Institut National Polytechnique de Grenoble; Centre National de la Recherche Scientifique (CNRS); Universite Grenoble Alpes (UGA); Institut de Recherche pour le Developpement (IRD)</t>
  </si>
  <si>
    <t>Grilli, R (corresponding author), Univ Grenoble Alpes, Inst Engn, Grenoble INP, CNRS,IRD,IGE, F-38000 Grenoble, France.</t>
  </si>
  <si>
    <t>roberto.grilli@cnrs.fr</t>
  </si>
  <si>
    <t>dommergue, aurelien/HLP-6539-2023; Barbero, Albane/AAW-6323-2020; Caillon, Nicolas/B-7127-2019; savarino, joel/H-9730-2012</t>
  </si>
  <si>
    <t>dommergue, aurelien/0000-0002-8185-9604; Barbero, Albane/0000-0002-3600-2169; Caillon, Nicolas/0000-0002-6318-6194; Grilli, Roberto/0000-0001-5636-264X; savarino, joel/0000-0002-6708-9623</t>
  </si>
  <si>
    <t>PARCS project (Pollution in the Arctic System, a project of the CNRS French Arctic Initiative); Labex OSUG@2020 (Investissements d'avenir) [ANR10 LABX56]; French national programme LEFE (Les Enveloppes Fluides et l'Environnement); Agence Nationale de la Recherche (ANR) [ANR-16-CE01-0011-01 EAIIST]; BNP Paribas Foundation through its Climate &amp; Biodiversity Initiative; French Polar Institute (IPEV) [1177, 1169]</t>
  </si>
  <si>
    <t>PARCS project (Pollution in the Arctic System, a project of the CNRS French Arctic Initiative); Labex OSUG@2020 (Investissements d'avenir)(Agence Nationale de la Recherche (ANR)); French national programme LEFE (Les Enveloppes Fluides et l'Environnement); Agence Nationale de la Recherche (ANR)(Agence Nationale de la Recherche (ANR)); BNP Paribas Foundation through its Climate &amp; Biodiversity Initiative; French Polar Institute (IPEV)</t>
  </si>
  <si>
    <t>The research leading to these results has received funding from the PARCS project (Pollution in the Arctic System, a project of the CNRS French Arctic Initiative at https://parcs.aeris-data.fr/, last access: 27 March 2020), the Labex OSUG@2020 (Investissements d'avenir ANR10 LABX56), the French national programme LEFE (Les Enveloppes Fluides et l'Environnement), the Agence Nationale de la Recherche (ANR; contract no. ANR-16-CE01-0011-01 EAIIST), the BNP Paribas Foundation through its Climate &amp; Biodiversity Initiative, and the French Polar Institute (IPEV) through programmes 1177 (CAPOXI 35-75) and 1169 (EAIIST).</t>
  </si>
  <si>
    <t>AUG 17</t>
  </si>
  <si>
    <t>10.5194/amt-13-4317-2020</t>
  </si>
  <si>
    <t>NF1CI</t>
  </si>
  <si>
    <t>WOS:000563039200001</t>
  </si>
  <si>
    <t>Hanna, E; Cappelen, J; Fettweis, X; Mernild, SH; Mote, TL; Mottram, R; Steffen, K; Ballinger, TJ; Hall, R</t>
  </si>
  <si>
    <t>Hanna, Edward; Cappelen, John; Fettweis, Xavier; Mernild, Sebastian H.; Mote, Thomas L.; Mottram, Ruth; Steffen, Konrad; Ballinger, Thomas J.; Hall, Richard</t>
  </si>
  <si>
    <t>Greenland surface air temperature changes from 1981 to 2019 and implications for ice-sheet melt and mass-balance change</t>
  </si>
  <si>
    <t>climate change; Greenland ice sheet; mass balance; melt; temperature</t>
  </si>
  <si>
    <t>CLIMATE MODEL; SUMMER; TRENDS</t>
  </si>
  <si>
    <t>We provide an updated analysis of instrumental Greenland monthly temperature data to 2019, focusing mainly on coastal stations but also analysing ice-sheet records from Swiss Camp and Summit. Significant summer (winter) coastal warming of similar to 1.7 (4.4)degrees C occurred from 1991-2019, but since 2001 overall temperature trends are generally flat and insignificant due to a cooling pattern over the last 6-7 years. Inland and coastal stations show broadly similar temperature trends for summer. Greenland temperature changes are more strongly correlated with Greenland Blocking than with North Atlantic Oscillation changes. In quantifying the association between Greenland coastal temperatures and Greenland Ice Sheet (GrIS) mass-balance changes, we show a stronger link of temperatures with total mass balance rather than surface mass balance. Based on Greenland coastal temperatures and modelled mass balance for the 1972-2018 period, each 1 degrees C of summer warming corresponds to similar to(91) 116 Gt center dot yr(-1)of GrIS (surface) mass loss and a 26 Gt center dot yr(-1) increase in solid ice discharge. Given an estimated 4.0-6.6 degrees C of further Greenland summer warming according to the regional model MAR projections run under CMIP6 future climate projections (SSP5-8.5 scenario), and assuming that ice-dynamical losses and ice sheet topography stay similar to the recent past, linear extrapolation gives a corresponding GrIS global sea-level rise (SLR) contribution of similar to 10.0-12.6 cm by 2100, compared with the 8-27 cm (mean 15 cm) likely model projection range reported by IPCC in 2019 (SPM.B1.2). However, our estimate represents a lower limit for future GrIS change since fixed dynamical mass losses and amplified melt arising from both melt-albedo and melt-elevation positive feedbacks are not taken into account here.</t>
  </si>
  <si>
    <t>[Hanna, Edward] Univ Lincoln, Sch Geog, Ruston Way, Lincoln LN6 7FL, England; [Hanna, Edward] Univ Lincoln, Lincoln Ctr Water &amp; Planetary Hlth, Lincoln, England; [Cappelen, John; Mottram, Ruth] Danish Meteorol Inst, Copenhagen, Denmark; [Fettweis, Xavier] Univ Liege, SPHERES Res Unit, Geog, Liege, Belgium; [Mernild, Sebastian H.] Nansen Environm &amp; Remote Sensing Ctr, Bergen, Norway; [Mernild, Sebastian H.] Western Norway Univ Appl Sci, Fac Engn &amp; Sci, Sogndal, Norway; [Mernild, Sebastian H.] Univ Magallanes, Direct Antarctic &amp; Sub Antarctic Programs, Punta Arenas, Chile; [Mernild, Sebastian H.] Univ Bergen, Geophys Inst, Bergen, Norway; [Mote, Thomas L.] Univ Georgia, Dept Geog, Athens, GA 30602 USA; [Steffen, Konrad] Swiss Fed Inst Forest Snow &amp; Landscape Res WSL, Birmensdorf, Switzerland; [Ballinger, Thomas J.] Univ Alaska Fairbanks, Int Arctic Res Ctr, Fairbanks, AK USA; [Hall, Richard] Univ Bristol, Sch Geog Sci, Bristol, Avon, England</t>
  </si>
  <si>
    <t>University of Lincoln; University of Lincoln; Danish Meteorological Institute DMI; University of Liege; Nansen Environmental &amp; Remote Sensing Center (NERSC); Western Norway University of Applied Sciences; Universidad de Magallanes; University of Bergen; University System of Georgia; University of Georgia; Swiss Federal Institutes of Technology Domain; Swiss Federal Institute for Forest, Snow &amp; Landscape Research; University of Alaska System; University of Alaska Fairbanks; University of Bristol</t>
  </si>
  <si>
    <t>Hanna, E (corresponding author), Univ Lincoln, Sch Geog, Ruston Way, Lincoln LN6 7FL, England.</t>
  </si>
  <si>
    <t>ehanna@lincoln.ac.uk</t>
  </si>
  <si>
    <t>Hanna, Edward/W-5927-2019; Mote, Thomas/U-6681-2017; Mernild, Sebastian H./M-5516-2013</t>
  </si>
  <si>
    <t>Hanna, Edward/0000-0002-8683-182X; Hall, Richard J/0000-0003-4840-383X; Fettweis, Xavier/0000-0002-4140-3813; Ballinger, Thomas/0000-0002-8722-1927; Mernild, Sebastian H./0000-0003-0797-3975</t>
  </si>
  <si>
    <t>University of Alaska Fairbanks Experimental Arctic Prediction Initiative; Fonds de la Recherche Scientifique de Belgique (F.R.S.FNRS) [2.5020.11]; Walloon Region [1117545]</t>
  </si>
  <si>
    <t>University of Alaska Fairbanks Experimental Arctic Prediction Initiative; Fonds de la Recherche Scientifique de Belgique (F.R.S.FNRS)(Fonds de la Recherche Scientifique - FNRS); Walloon Region</t>
  </si>
  <si>
    <t>We thank all the data providers of the climatological datasets used here, including NOAA for updated Greenland Summit temperature data. E.H. thanks Arabella Hanna for help with figure drawing. T.J.B. acknowledges support from the University of Alaska Fairbanks Experimental Arctic Prediction Initiative. Computational resources used to perform MAR simulations have been provided by the Consortium des Equipements de Calcul Intensif (CECI), funded by the Fonds de la Recherche Scientifique de Belgique (F.R.S.FNRS) under grant 2.5020.11, and the Tier-1 supercomputer (Zenobe) of the Federation Wallonie Bruxelles infrastructure funded by the Walloon Region under grant agreement 1117545. We thank the three anonymous reviewers, whose comments significantly enhanced the manuscript.</t>
  </si>
  <si>
    <t>E1336</t>
  </si>
  <si>
    <t>E1352</t>
  </si>
  <si>
    <t>10.1002/joc.6771</t>
  </si>
  <si>
    <t>WOS:000560908400001</t>
  </si>
  <si>
    <t>Silva, LJ; Crevelin, EJ; Souza, DT; Lacerda, GV; de Oliveira, VM; Ruiz, ALTG; Rosa, LH; Moraes, LAB; Melo, IS</t>
  </si>
  <si>
    <t>Silva, Leonardo Jose; Crevelin, Eduardo Jose; Souza, Danilo Tosta; Lacerda-Junior, Gileno Vieira; de Oliveira, Valeria Maia; Gois Ruiz, Ana Lucia Tasca; Rosa, Luiz Henrique; Beraldo Moraes, Luiz Alberto; Melo, Itamar Soares</t>
  </si>
  <si>
    <t>Actinobacteria from Antarctica as a source for anticancer discovery</t>
  </si>
  <si>
    <t>SP AMC 23; SP NOV.; BACTERIAL DIVERSITY; NATURAL-PRODUCTS; VASCULAR PLANTS; STREPTOMYCES; SOIL; ANTHRACYCLINE; RHIZOSPHERE; EXPRESSION</t>
  </si>
  <si>
    <t>Although many advances have been achieved to treat aggressive tumours, cancer remains a leading cause of death and a public health problem worldwide. Among the main approaches for the discovery of new bioactive agents, the prospect of microbial secondary metabolites represents an effective source for the development of drug leads. In this study, we investigated the actinobacterial diversity associated with an endemic Antarctic species, Deschampsia antarctica, by integrated culture-dependent and culture-independent methods and acknowledged this niche as a reservoir of bioactive strains for the production of antitumour compounds. The 16S rRNA-based analysis showed the predominance of the Actinomycetales order, a well-known group of bioactive metabolite producers belonging to the Actinobacteria phylum. Cultivation techniques were applied, and 72 psychrotolerant Actinobacteria strains belonging to the genera Actinoplanes, Arthrobacter, Kribbella, Mycobacterium, Nocardia, Pilimelia, Pseudarthrobacter, Rhodococcus, Streptacidiphilus, Streptomyces and Tsukamurella were identified. The secondary metabolites were screened, and 17 isolates were identified as promising antitumour compound producers. However, the bio-guided assay showed a pronounced antiproliferative activity for the crude extracts of Streptomyces sp. CMAA 1527 and Streptomyces sp. CMAA 1653. The TGI and LC50 values revealed the potential of these natural products to control the proliferation of breast (MCF-7), glioblastoma (U251), lung/non-small (NCI-H460) and kidney (786-0) human cancer cell lines. Cinerubin B and actinomycin V were the predominant compounds identified in Streptomyces sp. CMAA 1527 and Streptomyces sp. CMAA 1653, respectively. Our results suggest that the rhizosphere of D. antarctica represents a prominent reservoir of bioactive actinobacteria strains and reveals it as an important environment for potential antitumour agents.</t>
  </si>
  <si>
    <t>[Silva, Leonardo Jose] Univ Sao Paulo, Coll Agr Luiz de Queiroz, Piracicaba, SP, Brazil; [Crevelin, Eduardo Jose; Souza, Danilo Tosta; Beraldo Moraes, Luiz Alberto] Univ Sao Paulo, Fac Philosophy Sci &amp; Letters Ribeirao Preto FFCLR, Dept Chem, Lab Mass Spectrometry Appl Nat Prod Chem, Ribeirao Preto, SP, Brazil; [Lacerda-Junior, Gileno Vieira; Melo, Itamar Soares] Brazilian Agr Res Corp EMBRAPA Embrapa Environm, Lab Environm Microbiol, Jaguariuna, SP, Brazil; [de Oliveira, Valeria Maia] Univ Campinas UNICAMP, Res Ctr Chem Biol &amp; Agr CPQBA, Microbial Resourses Div, Campinas, SP, Brazil; [Gois Ruiz, Ana Lucia Tasca] Univ Campinas UNICAMP, Fac Pharmaceut Sci, Campinas, SP, Brazil; [Rosa, Luiz Henrique] Fed Univ Minas Gerais UFMG, Dept Microbiol, Biol Sci Inst, Belo Horizonte, MG, Brazil</t>
  </si>
  <si>
    <t>Universidade de Sao Paulo; Universidade de Sao Paulo; Universidade Estadual de Campinas; Universidade Estadual de Campinas; Universidade Federal de Minas Gerais</t>
  </si>
  <si>
    <t>Melo, IS (corresponding author), Brazilian Agr Res Corp EMBRAPA Embrapa Environm, Lab Environm Microbiol, Jaguariuna, SP, Brazil.</t>
  </si>
  <si>
    <t>itamar.melo@embrapa.br</t>
  </si>
  <si>
    <t>Lacerda Júnior, Gileno/E-8321-2017; Ruiz, Ana Lucia Tasca Gois/C-2249-2012; de Moraes, Luiz Alberto Beraldo/K-2282-2012; Oliveira, Valéria Maia/L-2422-2014; Crevelin, Eduardo Jose/L-8882-2016; Tosta Souza, Danilo/E-5864-2013</t>
  </si>
  <si>
    <t>Lacerda Júnior, Gileno/0000-0003-4493-0755; Ruiz, Ana Lucia Tasca Gois/0000-0002-0844-8702; Oliveira, Valéria Maia/0000-0001-8817-4758; Crevelin, Eduardo Jose/0000-0001-8708-147X; Tosta Souza, Danilo/0000-0002-8093-6663</t>
  </si>
  <si>
    <t>CNPq (National Council for Scientific and Technological); FAPESP (Sao Paulo Research Foundation); ProAntar (Brazilian Antarctic Program)</t>
  </si>
  <si>
    <t>CNPq (National Council for Scientific and Technological); FAPESP (Sao Paulo Research Foundation)(Fundacao de Amparo a Pesquisa do Estado de Sao Paulo (FAPESP)); ProAntar (Brazilian Antarctic Program)</t>
  </si>
  <si>
    <t>This study was made possible thanks to the laboratorial support of EMBRAPA Environment and financial support provided by CNPq (National Council for Scientific and Technological), FAPESP (Sao Paulo Research Foundation) and ProAntar (Brazilian Antarctic Program).</t>
  </si>
  <si>
    <t>10.1038/s41598-020-69786-2</t>
  </si>
  <si>
    <t>NF8JF</t>
  </si>
  <si>
    <t>WOS:000563538400020</t>
  </si>
  <si>
    <t>Liu, HY; Guo, HD; Liu, G; Ding, YX</t>
  </si>
  <si>
    <t>Liu, Huiying; Guo, Huadong; Liu, Guang; Ding, Yixing</t>
  </si>
  <si>
    <t>An exploratory study on moon-based observation coverage of sea ice from the geometry</t>
  </si>
  <si>
    <t>EARTH OBSERVATION</t>
  </si>
  <si>
    <t>Moon-based earth observation is an exploratory topic, expected to open up a new perspective on earth observation and has attracted considerable attention in recent years. Sea ice covers large areas of polar regions and plays a crucial role in the earth system. In this study, the moon-based observation coverage of sea ice is investigated in terms of geometric configuration. A simulation was carried out based on a simplified geometric model, the relative position of the moon to the earth, and the sea ice extent data. The results revealed both similarities and discrepancies between the moon-based observation coverage of Arctic and Antarctic sea ice. The main discrepancy was found in the better observation integrity of Antarctic sea ice. Moreover, the observation duration is longer and the observation coverage of sea ice is larger when the incidence angle is in the range of 20 degrees-60 degrees than in 20 degrees-50 degrees. With characteristics such as latitudinal imaging strip and continuous observation for several days in a sidereal month, the moon-based observation shows a large potential for monitoring Antarctic Marginal Ice Zone (MIZ). The peculiarities of moon-based observation may provide a new perspective for sea ice monitoring.</t>
  </si>
  <si>
    <t>[Liu, Huiying; Guo, Huadong; Liu, Guang; Ding, Yixing] Chinese Acad Sci, Inst Remote Sensing &amp; Digital Earth, CAS Key Lab Digital Earth Sci, Beijing, Peoples R China; [Liu, Huiying; Guo, Huadong; Liu, Guang; Ding, Yixing] Chinese Acad Sci, Aerosp Informat Res Inst, Beijing, Peoples R China</t>
  </si>
  <si>
    <t>Chinese Academy of Sciences; The Institute of Remote Sensing &amp; Digital Earth, CAS; Chinese Academy of Sciences; Aerospace Information Research Institute, CAS</t>
  </si>
  <si>
    <t>Liu, G (corresponding author), Chinese Acad Sci, Inst Remote Sensing &amp; Digital Earth, CAS Key Lab Digital Earth Sci, Beijing, Peoples R China.</t>
  </si>
  <si>
    <t>liuguang@radi.ac.cn</t>
  </si>
  <si>
    <t>liu, guang/0000-0001-8596-8528</t>
  </si>
  <si>
    <t>Key Research Program of Frontier Sciences, CAS [QYZDY-SSWDQC026]; National Natural Science Foundation of China [41590853]</t>
  </si>
  <si>
    <t>Key Research Program of Frontier Sciences, CAS; National Natural Science Foundation of China(National Natural Science Foundation of China (NSFC))</t>
  </si>
  <si>
    <t>This work was supported by Key Research Program of Frontier Sciences, CAS[Grant No. QYZDY-SSWDQC026] and the National Natural Science Foundation of China [Grant No. 41590853].</t>
  </si>
  <si>
    <t>10.1080/01431161.2020.1734258</t>
  </si>
  <si>
    <t>ME1PW</t>
  </si>
  <si>
    <t>WOS:000544434600003</t>
  </si>
  <si>
    <t>Belonenko, T; Frolova, A; Gnevyshev, V</t>
  </si>
  <si>
    <t>Belonenko, Tatyana; Frolova, Anastasia; Gnevyshev, Vladimir</t>
  </si>
  <si>
    <t>Detection of waveguide for Rossby waves using satellite altimetry in the Antarctic Circumpolar Current</t>
  </si>
  <si>
    <t>NONZONAL OCEAN CURRENTS; PLANETARY-WAVES; MEAN FLOW; PART I; DISPERSION-RELATION; BOTTOM TOPOGRAPHY; NONLINEAR REGIME; SOUTHERN-OCEAN; EDDIES; PROPAGATION</t>
  </si>
  <si>
    <t>The subject of this paper is the Antarctic Circumpolar Current (ACC) as the waveguide for Rossby waves. The ACC is the region where Rossby waves manifest differently in comparison to other parts of the World Ocean. The ACC is not only the waveguide for Rossby waves where wave kinetic energy is modified by jets, yet the region where Rossby waves interact with the flow. This manuscript contains a theoretical discussion of idealized Rossby wave dynamics and then computes a set of waveguide boundaries for the ACC, based on analysis of the propagation characteristics of sea surface height from satellite altimeter data. Since the linear theory of Rossby waves is not suitable within the waveguide areas, we propose a nonlinear approach that can explain the eastward propagation of Rossby waves in the ACC. We use the nonlinear theory of Rossby waves and zonal jets interaction, based on the fact that the nonlinearity in the long-wave approximation for Rossby waves exactly compensates the Doppler shift. The dispersion equation agrees well with altimetry data and provides a reasonable explanation to the propagation of the Rossby waves eastward within the ACC. We detect the northern and the southern waveguide boundaries for the ACC using altimetry and compare them to the climatological fronts in the ACC. We reveal that the Polar Front and the northern and southern branches of the Subantarctic Front are mostly located inside the waveguide in the South Ocean except the Indian sectors of the (30 degrees to 90 degrees E).</t>
  </si>
  <si>
    <t>[Belonenko, Tatyana; Frolova, Anastasia] St Petersburg State Univ, 7-9 Univ Skaya Nab, St Petersburg 199034, Russia; [Gnevyshev, Vladimir] Russian Acad Sci, Shirshov Inst Oceanol, Moscow, Russia</t>
  </si>
  <si>
    <t>Saint Petersburg State University; Russian Academy of Sciences; Shirshov Institute of Oceanology</t>
  </si>
  <si>
    <t>Belonenko, T (corresponding author), St Petersburg State Univ, 7-9 Univ Skaya Nab, St Petersburg 199034, Russia.</t>
  </si>
  <si>
    <t>btvlisab@yandex.ru</t>
  </si>
  <si>
    <t>Frolova, Anastasia V/ACE-4108-2022; Belonenko, Tatyana/K-2162-2013</t>
  </si>
  <si>
    <t>Frolova, Anastasia V/0000-0002-8064-7116; Belonenko, Tatyana/0000-0003-4608-7781</t>
  </si>
  <si>
    <t>Russian Foundation of Basic Research [20-0500066]</t>
  </si>
  <si>
    <t>Russian Foundation of Basic Research(Russian Foundation for Basic Research (RFBR))</t>
  </si>
  <si>
    <t>This research was supported by the Russian Foundation of Basic Research, project No. [20-0500066].</t>
  </si>
  <si>
    <t>10.1080/01431161.2020.1752955</t>
  </si>
  <si>
    <t>WOS:000544434600010</t>
  </si>
  <si>
    <t>Minamihara, Y; Sato, K; Tsutsumi, M</t>
  </si>
  <si>
    <t>Minamihara, Y.; Sato, K.; Tsutsumi, M.</t>
  </si>
  <si>
    <t>Intermittency of Gravity Waves in the Antarctic Troposphere and Lower Stratosphere Revealed by the PANSY Radar Observation</t>
  </si>
  <si>
    <t>MOMENTUM FLUX; CLIMATE; TROPOPAUSE; MODELS</t>
  </si>
  <si>
    <t>The momentum fluxes associated with gravity waves (GWs) significantly vary both in time and space. It is important to qualify the intermittency of GWs because the intermittency largely affects the vertical profile of momentum flux convergences in the middle atmosphere. In this study, 1 year of continuous observation with high time/height resolution and accuracy was provided by the PANSY radar, a Mesosphere-Stratosphere-Troposphere (MST) radar at Syowa Station (69.01 degrees S, 39.59 degrees E) in the Antarctic. The PANSY radar is used to study the intermittency of GWs in the troposphere and lower stratosphere. In all seasons, the intermittency is large in the troposphere with Gini coefficients of 0.4-0.6 for absolute momentum fluxes (rho(o)vertical bar(u'w') over bar vertical bar) and 0.4-0.7 for vertical wind variances multiplied by the density (rho(o)(w'(2)) over bar). However, the intermittency is small in the lower stratosphere with Gini coefficients of 0.3-0.5 for rho(o)vertical bar(u'w') over bar vertical bar and 0.2-0.4 for rho(o)(w'(2)) over bar. The seasonal characteristics in the lower stratosphere are different between rho(o)vertical bar(u'w') over bar vertical bar and rho(o)(w'(2)) over bar: small Gini coefficients are observed in May-July for rho(o)vertical bar(u'w') over bar vertical bar and in December-February for rho(o)(w'(2)) over bar. Simple model experiments with ideal distributions of GWs as a function of momentum flux magnitude and ground-based phase velocity are performed. These results indicate that the vertical profiles of the Gini coefficient obtained by the PANSY radar are largely affected by orographic GWs with large amplitudes. The results also suggest that the generation and the partial reflection of GWs play an important role in determining the vertical profile of GW intermittency.</t>
  </si>
  <si>
    <t>[Minamihara, Y.; Sato, K.] Univ Tokyo, Dept Earth &amp; Planetary Sci, Tokyo, Japan; [Tsutsumi, M.] Natl Inst Polar Res, Tokyo, Japan</t>
  </si>
  <si>
    <t>University of Tokyo; Research Organization of Information &amp; Systems (ROIS); National Institute of Polar Research (NIPR) - Japan</t>
  </si>
  <si>
    <t>Minamihara, Y (corresponding author), Univ Tokyo, Dept Earth &amp; Planetary Sci, Tokyo, Japan.</t>
  </si>
  <si>
    <t>minamihara@eps.s.u-tokyo.ac.jp</t>
  </si>
  <si>
    <t>; Sato, Kaoru/E-1693-2012</t>
  </si>
  <si>
    <t>Minamihara, Yuichi/0000-0003-0928-4292; Sato, Kaoru/0000-0002-6225-6066</t>
  </si>
  <si>
    <t>JSPS KAKENHI [201703536]; IST CREST [JPMJCR1663]</t>
  </si>
  <si>
    <t>JSPS KAKENHI(Ministry of Education, Culture, Sports, Science and Technology, Japan (MEXT)Japan Society for the Promotion of ScienceGrants-in-Aid for Scientific Research (KAKENHI)); IST CREST(Core Research for Evolutional Science and Technology (CREST))</t>
  </si>
  <si>
    <t>All figures in this paper were created using Dennou Club Library (DCL). This work was supported by JSPS KAKENHI grants 201703536 and by IST CREST JPMJCR1663. I would like to thank M. Kohma and R. Shibuya for their many valuable comments and discussions. The PANSY multi-institutional project was operated by the University of Tokyo and the National Institute of Polar Research (NIPR), and the PANSY radar system observations at Syowa Station were operated by the Japanese Antarctic Research Expedition members. We archive the PANSY radar observation data in the PANSY project website (http://pansy.eps.s.u-tokyo.ac.jp/en/data/nc.php).The operational radiosonde observation data used in this study were obtained from the website of Japan Meteorological Agency (http://www.jma.go.jp/jma/index.html).</t>
  </si>
  <si>
    <t>AUG 16</t>
  </si>
  <si>
    <t>e2020JD032543</t>
  </si>
  <si>
    <t>10.1029/2020JD032543</t>
  </si>
  <si>
    <t>ND7JX</t>
  </si>
  <si>
    <t>WOS:000562080300001</t>
  </si>
  <si>
    <t>Chemke, R; Polvani, LM</t>
  </si>
  <si>
    <t>Chemke, R.; Polvani, L. M.</t>
  </si>
  <si>
    <t>Using Multiple Large Ensembles to Elucidate the Discrepancy Between the 1979-2019 Modeled and Observed Antarctic Sea Ice Trends</t>
  </si>
  <si>
    <t>SOUTHERN-OCEAN; NATURAL VARIABILITY; CMIP5; TEMPERATURE; ATTRIBUTION</t>
  </si>
  <si>
    <t>In spite of the unabated emissions of greenhouse gases into the atmosphere, sea ice around Antarctica has increased over most of the satellite era. Such an increase is not captured by climate models, which simulate a melting over the same period. Over the last few years, moreover, the observed sea ice trends have drastically changed, and this might act to cancel the models-observations discrepancy. Here we show that in spite of the very recent Antarctic sea ice trend changes, such discrepancy still exists. Analyzing multiple large ensembles of model simulations, we elucidate the origin of the models-observations discrepancy. We show that internal variability cannot account for the discrepancy, which therefore is likely to stem from biases in the models' forced response to the external forcing. These biases, we show, reside in thermodynamic ocean-atmosphere coupling, as models fail to simulate the trends in surface heat fluxes from reanalyses over the period 1979-2019.</t>
  </si>
  <si>
    <t>[Chemke, R.; Polvani, L. M.] Columbia Univ, Dept Appl Phys &amp; Appl Math, New York, NY 10027 USA; [Polvani, L. M.] Columbia Univ, Lamont Doherty Earth Observ, Dept Earth &amp; Environm Sci, Palisades, NY USA</t>
  </si>
  <si>
    <t>Columbia University; Columbia University</t>
  </si>
  <si>
    <t>Chemke, R (corresponding author), Columbia Univ, Dept Appl Phys &amp; Appl Math, New York, NY 10027 USA.</t>
  </si>
  <si>
    <t>rc3101@columbia.edu</t>
  </si>
  <si>
    <t>Polvani, Lorenzo M/E-5949-2011</t>
  </si>
  <si>
    <t>National Science Foundation</t>
  </si>
  <si>
    <t>This research is founded by a grant from the National Science Foundation to Columbia University.</t>
  </si>
  <si>
    <t>e2020GL088339</t>
  </si>
  <si>
    <t>10.1029/2020GL088339</t>
  </si>
  <si>
    <t>NB2XI</t>
  </si>
  <si>
    <t>WOS:000560376100024</t>
  </si>
  <si>
    <t>Dunmire, D; Lenaerts, JTM; Banwell, AF; Wever, N; Shragge, J; Lhermitte, S; Drews, R; Pattyn, F; Hansen, JSS; Willis, IC; Miller, J; Keenan, E</t>
  </si>
  <si>
    <t>Dunmire, D.; Lenaerts, J. T. M.; Banwell, A. F.; Wever, N.; Shragge, J.; Lhermitte, S.; Drews, R.; Pattyn, F.; Hansen, J. S. S.; Willis, I. C.; Miller, J.; Keenan, E.</t>
  </si>
  <si>
    <t>Observations of Buried Lake Drainage on the Antarctic Ice Sheet</t>
  </si>
  <si>
    <t>Antartica; meltwater; glaciology; hydrology; GPR; hydrofracture</t>
  </si>
  <si>
    <t>PHYSICAL SNOWPACK MODEL; SUPRAGLACIAL LAKES; SHELF; EVOLUTION; FRACTURE; LAND</t>
  </si>
  <si>
    <t>Between 1992 and 2017, the Antarctic Ice Sheet (AIS) lost ice equivalent to 7.6 +/- 3.9 mm of sea level rise. AIS mass loss is mitigated by ice shelves that provide a buttress by regulating ice flow from tributary glaciers. However, ice-shelf stability is threatened by meltwater ponding, which may initiate, or reactivate preexisting, fractures, currently poorly understood processes. Here, through ground penetrating radar (GPR) analysis over a buried lake in the grounding zone of an East Antarctic ice shelf, we present the first field observations of a lake drainage event in Antarctica via vertical fractures. Concurrent with the lake drainage event, we observe a decrease in surface elevation and an increase in Sentinel-1 backscatter. Finally, we suggest that fractures that are initiated or reactivated by lake drainage events in a grounding zone will propagate with ice flow onto the ice shelf itself, where they may have implications for its stability. Plain Language Summary The Antarctic Ice Sheet (AIS) is losing mass, thereby contributing to sea level rise. Ice shelves, which are thick floating layers of glacier ice extending from the glaciers on land, buttress much of the AIS and protect it from even more mass loss. The stability of these ice shelves is threatened by meltwater ponds that form during the summer and may cause ice shelves to break up. Here, we present field observations from Antarctica of a buried meltwater lake drainage via vertical fractures. To detect the drainage event, we use radar observations collected in the field, along with surface height changes and radar images from satellites, from both before and after the drainage event. Our study improves the understanding of meltwater processes on Antarctic ice shelves, and implications of those processes on ice-shelf stability.</t>
  </si>
  <si>
    <t>[Dunmire, D.; Lenaerts, J. T. M.; Wever, N.; Keenan, E.] Univ Colorado, Dept Atmospher &amp; Ocean Sci, Boulder, CO 80309 USA; [Banwell, A. F.; Hansen, J. S. S.; Willis, I. C.; Miller, J.] Cooperat Inst Res Environm Sci CIRES, Boulder, CO USA; [Banwell, A. F.; Willis, I. C.] Univ Cambridge, Scott Polar Res Inst SPRI, Cambridge, England; [Shragge, J.] Colorado Sch Mines, Geophys Dept, Golden, CO 80401 USA; [Lhermitte, S.] Delft Univ Technol, Dept Geosci &amp; Remote Sensing, Delft, Netherlands; [Drews, R.] Univ Tubingen, Dept Geol &amp; Geodynam, Tubingen, Germany; [Pattyn, F.] Univ Libre Bruxelles, Lab Glaciol, Brussels, Belgium; [Hansen, J. S. S.] Univ Colorado, Dept Geol Sci, Boulder, CO 80309 USA</t>
  </si>
  <si>
    <t>University of Colorado System; University of Colorado Boulder; University of Cambridge; Colorado School of Mines; Delft University of Technology; Eberhard Karls University of Tubingen; Universite Libre de Bruxelles; University of Colorado System; University of Colorado Boulder</t>
  </si>
  <si>
    <t>Dunmire, D (corresponding author), Univ Colorado, Dept Atmospher &amp; Ocean Sci, Boulder, CO 80309 USA.</t>
  </si>
  <si>
    <t>devon.dunmire@colorado.edu</t>
  </si>
  <si>
    <t>Drews, reinhard/AAP-4134-2021; Banwell, Alison/W-8180-2018; Lhermitte, Stef (Stefaan)/A-3385-2013; Shragge, Jeffrey C/A-9275-2009; Lenaerts, Jan/D-9423-2012; Pattyn, Frank/AAA-9640-2019</t>
  </si>
  <si>
    <t>Drews, reinhard/0000-0002-2328-294X; Banwell, Alison/0000-0001-9545-829X; Lhermitte, Stef (Stefaan)/0000-0002-1622-0177; Shragge, Jeffrey C/0000-0002-1986-0399; Lenaerts, Jan/0000-0003-4309-4011; Pattyn, Frank/0000-0003-4805-5636; Miller, J. Z./0000-0003-1452-1627; Hansen, Jasmine/0000-0002-9515-2642; Willis, Ian/0000-0002-0750-7088; Wever, Nander/0000-0002-4829-8585; Dunmire, Devon/0000-0001-6299-9137</t>
  </si>
  <si>
    <t>NASA FINESST Fellowship [80NSSC19K1329]; University of Colorado Seed Grant; U.S. National Science Foundation [1841607]; CIRES Postdoctoral Visiting Fellowship; Swiss National Science Foundation (SNSF) [P2ELP2_172299]; DFG Emmy Noether Grant [DR 822/3-1]; CIRES Sabbatical Visiting Fellowship; Swiss National Science Foundation (SNF) [P2ELP2_172299] Funding Source: Swiss National Science Foundation (SNF)</t>
  </si>
  <si>
    <t>NASA FINESST Fellowship; University of Colorado Seed Grant; U.S. National Science Foundation(National Science Foundation (NSF)); CIRES Postdoctoral Visiting Fellowship; Swiss National Science Foundation (SNSF)(Swiss National Science Foundation (SNSF)); DFG Emmy Noether Grant(German Research Foundation (DFG)); CIRES Sabbatical Visiting Fellowship; Swiss National Science Foundation (SNF)(Swiss National Science Foundation (SNSF))</t>
  </si>
  <si>
    <t>D. D. was supported by a NASA FINESST Fellowship (Award 80NSSC19K1329) and by a University of Colorado Seed Grant awarded to J. T. M. L. A. F. B. received support from the U.S. National Science Foundation under Award 1841607 to the University of Colorado Boulder, and from a CIRES Postdoctoral Visiting Fellowship. N. W. was supported by the Swiss National Science Foundation (SNSF), Grant P2ELP2_172299. R. D. is supported by by the DFG Emmy Noether Grant DR 822/3-1. I. C. W. was supported by a CIRES Sabbatical Visiting Fellowship. The authors declare that they have no competing financial interests. The authors thank Amber Leeson and another anonymous reviewer, and the editor Mathieu Morlighem, for their insightful feedback and helpful comments to advance this paper.</t>
  </si>
  <si>
    <t>e2020GL087970</t>
  </si>
  <si>
    <t>10.1029/2020GL087970</t>
  </si>
  <si>
    <t>WOS:000560376100011</t>
  </si>
  <si>
    <t>Kim, H; Shiokawa, K; Park, J; Miyoshi, Y; Miyashita, Y; Stolle, C; Kim, KH; Matzka, J; Buchert, S; Fromm, T; Hwang, J</t>
  </si>
  <si>
    <t>Kim, Hyangpyo; Shiokawa, Kazuo; Park, Jaeheung; Miyoshi, Yoshizumi; Miyashita, Yukinaga; Stolle, Claudia; Kim, Khan-Hyuk; Matzka, Juergen; Buchert, Stephan; Fromm, Tanja; Hwang, Junga</t>
  </si>
  <si>
    <t>Ionospheric Plasma Density Oscillation Related to EMIC Pc1 Waves</t>
  </si>
  <si>
    <t>EMIC Pc1 wave; ULF wave; compressional mode; plasma density oscillation; swarm satellite; proton precipitation</t>
  </si>
  <si>
    <t>GLOBAL CHARACTERISTICS; PRECIPITATION; MODULATION; PULSATIONS</t>
  </si>
  <si>
    <t>We report the first observation of plasma density oscillations coherent with magnetic Pc1 waves. Swarm satellites observed compressional Pc1 wave activity in the 0.5-3 Hz band, which was coherent with in situ plasma density oscillations. Around the Pc1 event location, the Antarctic Neumayer Station III (L similar to 4.2) recorded similar Pc1 events in the horizontal component while NOAA-15 observed isolated proton precipitations at energies above 30 keV. All these observations support that the compressional Pc1 waves at Swarm are oscillations converted from electromagnetic ion cyclotron (EMIC) waves coming from the magnetosphere. The magnetic field and plasma density oscillate in-phase. We compared the amplitudes of density and magnetic field oscillations normalized to background values and found that the density power is much larger than the magnetic field power. This difference cannot be explained by a simple magnetohydrodynamic (MHD) model, although steep horizontal/vertical gradients of background ionospheric density can partly reconcile the discrepancy.</t>
  </si>
  <si>
    <t>[Kim, Hyangpyo; Shiokawa, Kazuo; Miyoshi, Yoshizumi] Nagoya Univ, Inst Space Earth Environm Res, Nagoya, Aichi, Japan; [Park, Jaeheung; Miyashita, Yukinaga; Hwang, Junga] Korea Astron &amp; Space Sci Inst, Daejeon, South Korea; [Park, Jaeheung; Hwang, Junga] Korea Univ Sci &amp; Technol, Daejeon, South Korea; [Stolle, Claudia; Matzka, Juergen] GFZ German Res Ctr Geosci, Potsdam, Germany; [Kim, Khan-Hyuk] Kyung Hee Univ, Sch Space Res, Gyeonggi, South Korea; [Buchert, Stephan] Swedish Inst Space Phys, Uppsala, Sweden; [Fromm, Tanja] Alfred Wegener Inst Polar &amp; Marine Res, Bremerhaven, Germany</t>
  </si>
  <si>
    <t>Nagoya University; Korea Astronomy &amp; Space Science Institute (KASI); University of Science &amp; Technology (UST); Helmholtz Association; Helmholtz-Center Potsdam GFZ German Research Center for Geosciences; Kyung Hee University; Helmholtz Association; Alfred Wegener Institute, Helmholtz Centre for Polar &amp; Marine Research</t>
  </si>
  <si>
    <t>Kim, H (corresponding author), Nagoya Univ, Inst Space Earth Environm Res, Nagoya, Aichi, Japan.</t>
  </si>
  <si>
    <t>kim.hyangpyo@isee.nagoya-u.ac.jp</t>
  </si>
  <si>
    <t>Miyoshi, Yoshizumi/T-5748-2019; Kim, Khan-Hyuk/E-2361-2013; Matzka, Jurgen/J-9420-2014</t>
  </si>
  <si>
    <t>Miyoshi, Yoshizumi/0000-0001-7998-1240; Matzka, Jurgen/0000-0001-9926-2796; Miyashita, Yukinaga/0000-0001-5622-8141; gim, hyangpyo/0000-0002-6839-9455; Kim, Khan-Hyuk/0000-0001-8872-6065; Stolle, Claudia/0000-0002-5717-1623; Buchert, Stephan/0000-0003-2158-6074</t>
  </si>
  <si>
    <t>National Research Foundation of Korea (NRF) [NRF-2019R1A6A3A03032669]; JSPS KAKENHI [15H05815, 16H06286, 15H05747, 17H00728, 20H01955, 20H01959]; Air Force Office of Scientific Research (AFOSR) [FA2386-18-1-0107]; Basic Science Research Program through NRF [NRF2019R1F1A1055444]; Grants-in-Aid for Scientific Research [20H01955] Funding Source: KAKEN</t>
  </si>
  <si>
    <t>National Research Foundation of Korea (NRF)(National Research Foundation of Korea); JSPS KAKENHI(Ministry of Education, Culture, Sports, Science and Technology, Japan (MEXT)Japan Society for the Promotion of ScienceGrants-in-Aid for Scientific Research (KAKENHI)); Air Force Office of Scientific Research (AFOSR)(United States Department of DefenseAir Force Office of Scientific Research (AFOSR)); Basic Science Research Program through NRF(National Research Foundation of Korea); Grants-in-Aid for Scientific Research(Ministry of Education, Culture, Sports, Science and Technology, Japan (MEXT)Japan Society for the Promotion of ScienceGrants-in-Aid for Scientific Research (KAKENHI))</t>
  </si>
  <si>
    <t>We would like to thank the Swarm team for making their data available to the public. This work was supported by Grant NRF-2019R1A6A3A03032669, under the National Research Foundation of Korea (NRF). This work was also supported by JSPS KAKENHI (15H05815, 16H06286, 15H05747, 17H00728, 20H01955, and 20H01959). J. P. was supported by the Air Force Office of Scientific Research (AFOSR) Grant FA2386-18-1-0107. The work of K.-H. Kim was supported by the Basic Science Research Program through NRF funded by NRF2019R1F1A1055444.</t>
  </si>
  <si>
    <t>e2020GL089000</t>
  </si>
  <si>
    <t>10.1029/2020GL089000</t>
  </si>
  <si>
    <t>WOS:000560376100088</t>
  </si>
  <si>
    <t>Li, Q; England, MH</t>
  </si>
  <si>
    <t>Li, Qian; England, Matthew H.</t>
  </si>
  <si>
    <t>Tropical Indo-Pacific Teleconnections to Southern Ocean Mixed Layer Variability</t>
  </si>
  <si>
    <t>Southern Ocean; climate variability; tropical teleconnections; mixed layer variability; subantarctic mode water; high-resolution ocean model</t>
  </si>
  <si>
    <t>ANTHROPOGENIC CARBON-DIOXIDE; ANTARCTIC MODE WATER; SEA-ICE; WEST ANTARCTICA; CIRCULATION; DRIVEN; CLIMATE; MECHANISM; ENSO; TRANSPORT</t>
  </si>
  <si>
    <t>The Southern Ocean plays a fundamental role in the global energy and carbon budgets via the uptake of large quantities of heat and carbon in subantarctic mode water (SAMW). Even though SAMW variability is closely tied to variations in mixed layer depth (MLD) and properties, little is known about what controls interannual to multidecadal MLD variations. Here we use atmospheric observations combined with a global 1/10 degrees ocean-sea ice model to examine the mechanisms controlling Southern Ocean mixed layer variability. We find that tropical teleconnections from the Indo-Pacific to the Amundsen Sea Low via El Nino-Southern Oscillation and the Indian Ocean Dipole control mixed layer variability along the path of a Rossby wave train across the South Pacific during early winter. This suggests recent multidecadal variations in mixed layer properties are likely to have been significantly impacted by transitions in the Interdecadal Pacific Oscillation. Plain Language Summary In the Southern Ocean, subantarctic mode water and mixed layers undergo substantial interannual and multidecadal variability, with a wave-like pattern of anomalies appearing across the Southern Ocean. This zonally asymmetric pattern is thought to be important for regulating the uptake of anthropogenic carbon and heat. Yet the mechanism for the variations in Southern Ocean mixed layer properties and how this relates to tropical sea surface temperature variability remain unclear. This study demonstrates that tropical teleconnections control mixed layer variability, particularly along the pathway of a Rossby wave train propagating from the tropical Indo-Pacific toward the Amundsen-Bellingshausen Seas.</t>
  </si>
  <si>
    <t>[Li, Qian; England, Matthew H.] Univ New South Wales, Climate Change Res Ctr, Sydney, NSW, Australia; [Li, Qian] Univ New South Wales, ARC Ctr Excellence Climate Syst Sci, Sydney, NSW, Australia; [England, Matthew H.] Univ New South Wales, ARC Ctr Excellence Climate Extremes, Sydney, NSW, Australia</t>
  </si>
  <si>
    <t>University of New South Wales Sydney; ARC Centre of Excellence for Climate System Science; University of New South Wales Sydney; University of New South Wales Sydney</t>
  </si>
  <si>
    <t>Li, Q (corresponding author), Univ New South Wales, Climate Change Res Ctr, Sydney, NSW, Australia.;Li, Q (corresponding author), Univ New South Wales, ARC Ctr Excellence Climate Syst Sci, Sydney, NSW, Australia.</t>
  </si>
  <si>
    <t>qian.li5@unsw.edu.au</t>
  </si>
  <si>
    <t>England, Matthew/A-7539-2011</t>
  </si>
  <si>
    <t>England, Matthew/0000-0001-9696-2930; LI, QIAN/0000-0002-2099-233X</t>
  </si>
  <si>
    <t>Australian Research Council (ARC) Centre of Excellence for Climate System Science; ARC Centre of Excellence for Climate Extremes; Centre for Southern Hemisphere Ocean Research (CSHOR); Earth Science and Climate Change Hub of the Australian Government's National Environmental Science Programme (NESP)</t>
  </si>
  <si>
    <t>Australian Research Council (ARC) Centre of Excellence for Climate System Science(Australian Research Council); ARC Centre of Excellence for Climate Extremes; Centre for Southern Hemisphere Ocean Research (CSHOR); Earth Science and Climate Change Hub of the Australian Government's National Environmental Science Programme (NESP)</t>
  </si>
  <si>
    <t>Q. L. is supported by the Australian Research Council (ARC) Centre of Excellence for Climate System Science. M. H. E. is supported by the ARC Centre of Excellence for Climate Extremes and the Centre for Southern Hemisphere Ocean Research (CSHOR), a joint research center between QNLM, CSIRO, UNSW, and UTAS. M. H. E. is also supported by the Earth Science and Climate Change Hub of the Australian Government's National Environmental Science Programme (NESP). The model simulation and analysis were conducted on the National Computational Infrastructure (NCI) facility in Canberra, Australia.</t>
  </si>
  <si>
    <t>e2020GL088466</t>
  </si>
  <si>
    <t>10.1029/2020GL088466</t>
  </si>
  <si>
    <t>WOS:000560376100062</t>
  </si>
  <si>
    <t>Li, WH; Shum, CK; Li, F; Zhang, SK; Ming, F; Chen, W; Zhang, B; Lei, JT; Zhang, QC</t>
  </si>
  <si>
    <t>Li, Wenhao; Shum, C. K.; Li, Fei; Zhang, Shengkai; Ming, Feng; Chen, Wei; Zhang, Bao; Lei, Jintao; Zhang, Qingchuan</t>
  </si>
  <si>
    <t>Contributions of Greenland GPS Observed Deformation From Multisource Mass Loading Induced</t>
  </si>
  <si>
    <t>GPS; SMB; Greenland; transient signal; GRACE; MSSA</t>
  </si>
  <si>
    <t>REGIONAL CLIMATE MODEL; ICE-SHEET; JAKOBSHAVN ISBRAE; INTERANNUAL VARIATIONS; UPERNAVIK ISSTROM; VARIABILITY; DISPLACEMENTS; BALANCE; ACCELERATION; OSCILLATIONS</t>
  </si>
  <si>
    <t>Global Positioning System (GPS) provides critical geodetic constraints on Earth's elastic response induced by ice and other mass loadings in Greenland. Previous studies focused on long-term ice mass changes, with relatively fewer studies on transient signals and had used fewer GPS stations. Here we reconstructed 44 Greenland-wide coastal decadal GPS time series using multichannel singular spectral analysis and quantified the origins of spatiotemporal patterns of transient to seasonal signals. We used an exhaustive list of geophysical processes, including surface mass balance (SMB), atmospheric pressure, continental hydrology, nontidal ocean loading, bedrock thermal expansion, precipitation, runoff, and ice discharge, and identified that most of Greenland's GPS sites exhibit SMB-induced transient signals during 2012-2015, with maximum displacement reaching 20.45 mm. Analyses of differenced time series between adjacent GPS stations near peripheral glaciers reveal that locally varying seasonal signals are primarily attributable to SMB, followed by atmosphere. Plain Language Summary Prior studies on Greenland ice sheet mass change mainly focused on long-term and accelerated signals. However, the effects of multisource geophysical mechanisms on GPS observed transient or abrupt signals are relatively less studied, including quantifying locally varying spatiotemporal patterns between adjacent Global Positioning System (GPS) stations over entire Greenland. In this study, we model crustal displacements caused by an exhaustive list of geophysical mechanisms in Greenland, including atmospheric pressure, continental water storage, nontidal ocean circulation loading, bedrock thermal expansion, surface mass balance, and ice discharge. We then reconstruct the transient signals from 44 Greenland-wide coastal GPS decadal records using multichannel singular spectral analysis. The differenced time series between adjacent GPS stations located near the peripheral glaciers reveals that locally varying deformation is primarily caused by surface mass balance loading, followed by atmosphere loading. Most of GPS observed transient signals are attributable to surface mass balance and ice discharge loading, 2009 to mid-2011, and 2012 to 2015, which can reach a maximum displacement of 20.5 mm, with a mean displacement of 5.97 mm.</t>
  </si>
  <si>
    <t>[Li, Wenhao; Li, Fei; Zhang, Shengkai; Zhang, Qingchuan] Wuhan Univ, Chinese Antarctic Ctr Surveying &amp; Mapping, Wuhan, Peoples R China; [Shum, C. K.] Ohio State Univ, Sch Earth Sci, Div Geodet Sci, Columbus, OH 43210 USA; [Shum, C. K.; Chen, Wei] Chinese Acad Sci, Inst Geodesy &amp; Geophys, Wuhan, Peoples R China; [Li, Fei] Wuhan Univ, State Key Lab Informat Engn Surveying Mapping &amp; R, Wuhan, Peoples R China; [Ming, Feng] Xian Inst Surveying &amp; Mapping, State Key Lab Geoinformat Engn, Xian, Peoples R China; [Zhang, Bao] Wuhan Univ, Sch Geodesy &amp; Geomat, Wuhan, Peoples R China; [Lei, Jintao] Hong Kong Polytech Univ, Dept Land Surveying &amp; Geoinformat, Hong Kong, Peoples R China</t>
  </si>
  <si>
    <t>Wuhan University; University System of Ohio; Ohio State University; Chinese Academy of Sciences; Innovation Academy for Precision Measurement Science &amp; Technology, CAS; Wuhan University; Wuhan University; Hong Kong Polytechnic University</t>
  </si>
  <si>
    <t>Li, F (corresponding author), Wuhan Univ, Chinese Antarctic Ctr Surveying &amp; Mapping, Wuhan, Peoples R China.;Li, F (corresponding author), Wuhan Univ, State Key Lab Informat Engn Surveying Mapping &amp; R, Wuhan, Peoples R China.</t>
  </si>
  <si>
    <t>fli@whu.edu.cn</t>
  </si>
  <si>
    <t>Lei, Jintao/0000-0002-4497-5868; Ming, Feng/0000-0003-3088-2537; Shum, C K/0000-0001-9378-4067</t>
  </si>
  <si>
    <t>National Key Research and Development Program of China [2017YFA0603104, 017YFA0603103]; State Key Program of National Natural Science Foundation of China [41531069, 41974040]; Strategic Priority Research Program of the Chinese Academy of Sciences [XDA19070302]</t>
  </si>
  <si>
    <t>National Key Research and Development Program of China; State Key Program of National Natural Science Foundation of China(National Natural Science Foundation of China (NSFC)); Strategic Priority Research Program of the Chinese Academy of Sciences(Chinese Academy of Sciences)</t>
  </si>
  <si>
    <t>The numerical calculations in this paper were conducted in the Supercomputing Center of Wuhan University. We acknowledge scientific data providers for their data sets used in this study. We thank Yan Jiang, Natural Resources Canada, and an anonymous reviewer for providing constructive comments, which have improved this manuscript. This research was supported by the National Key Research and Development Program of China (2017YFA0603104, 017YFA0603103), the State Key Program of National Natural Science Foundation of China (41531069, 41974040), and by the Strategic Priority Research Program of the Chinese Academy of Sciences (XDA19070302).</t>
  </si>
  <si>
    <t>e2020GL088627</t>
  </si>
  <si>
    <t>10.1029/2020GL088627</t>
  </si>
  <si>
    <t>WOS:000560376100041</t>
  </si>
  <si>
    <t>Noguchi, S; Kuroda, Y; Kodera, K; Watanabe, S</t>
  </si>
  <si>
    <t>Noguchi, S.; Kuroda, Y.; Kodera, K.; Watanabe, S.</t>
  </si>
  <si>
    <t>Robust Enhancement of Tropical Convective Activity by the 2019 Antarctic Sudden Stratospheric Warming</t>
  </si>
  <si>
    <t>sudden stratospheric warming; Brewer-Dobson circulation; Hadley circulation; cumulus convection; stratosphere-troposphere coupling; subseasonal-to-seasonal forecast</t>
  </si>
  <si>
    <t>SOUTHERN ANNULAR MODE; NONHYDROSTATIC MODEL; TROPOPAUSE LAYER; PART I; DYNAMICS; TROPOSPHERE; PREDICTABILITY; CIRCULATION; EVENT</t>
  </si>
  <si>
    <t>Tropical tropospheric responses to a sudden stratospheric warming (SSW) event that occurred over Antarctica in September 2019 have been investigated by conducting a series of ensemble forecast experiments. Comparative examinations between the normal forecast and the partially nudged forecast, whose stratospheric circulation is constrained to a reanalysis, reveal a significant enhancement/suppression in the convective activity (upwelling/downwelling) over the northern/southern part of the tropics. Such an acceleration of the Hadley circulation is set up by thermal structural changes in the upper troposphere and lower stratosphere. The tropical cooling caused by the enhanced Brewer-Dobson circulation destabilizes the environment there and stimulates deep cumulus convections. In this case, the southern area of the Asian monsoon region is particularly sensitive. Although details of the triggered response depend on the adopted cumulus parameterization scheme, a boosting tendency of the convective upwelling via the SSW is robust. Plain Language Summary A rare Antarctic sudden stratospheric warming (SSW) event that occurred in September 2019 provides an opportunity to investigate its impact on convective activity in the tropics. By comparing the normal forecast and a perfect stratosphere forecast, this study confirmed the robust influence of the SSW on the cumulus convection over the Northern Hemisphere tropics. In other words, the Antarctic SSW could enhance the probability of extreme weather in boreal summer to early autumn, including the genesis and development of tropical cyclones. Therefore, this process of the teleconnection between the Antarctic stratosphere and the tropical troposphere has the potential to be a valuable source of extended-range predictability in practical seasonal forecasts.</t>
  </si>
  <si>
    <t>[Noguchi, S.; Watanabe, S.] Japan Agcy Marine Earth Sci &amp; Technol JAMSTEC, Res Ctr Environm Modeling &amp; Applicat, Yokohama, Kanagawa, Japan; [Noguchi, S.; Kuroda, Y.; Kodera, K.] Japan Meteorol Agcy, Meteorol Res Inst, Tsukuba, Ibaraki, Japan; [Kuroda, Y.] Japan Meteorol Agcy, Meteorol Coll, Kashiwa, Chiba, Japan</t>
  </si>
  <si>
    <t>Japan Agency for Marine-Earth Science &amp; Technology (JAMSTEC); Meteorological Research Institute - Japan; Japan Meteorological Agency; Japan Meteorological Agency</t>
  </si>
  <si>
    <t>Noguchi, S (corresponding author), Japan Agcy Marine Earth Sci &amp; Technol JAMSTEC, Res Ctr Environm Modeling &amp; Applicat, Yokohama, Kanagawa, Japan.;Noguchi, S (corresponding author), Japan Meteorol Agcy, Meteorol Res Inst, Tsukuba, Ibaraki, Japan.</t>
  </si>
  <si>
    <t>noguchis@jamstec.go.jp</t>
  </si>
  <si>
    <t>Watanabe, Shingo/L-9689-2014</t>
  </si>
  <si>
    <t>Watanabe, Shingo/0000-0002-2228-0088; Noguchi, Shunsuke/0000-0002-1810-3425</t>
  </si>
  <si>
    <t>CREST, Japan Science and Technology Agency [JPMJCR1663]; Japan Society for the Promotion of Science [19K14798]; Grants-in-Aid for Scientific Research [19K14798] Funding Source: KAKEN</t>
  </si>
  <si>
    <t>CREST, Japan Science and Technology Agency(Japan Science &amp; Technology Agency (JST)Core Research for Evolutional Science and Technology (CREST)); 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</si>
  <si>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This work was supported by CREST, Japan Science and Technology Agency (JPMJCR1663) and Grants-in-Aid for Scientific Research (19K14798) from the Japan Society for the Promotion of Science. S. Noguchi would like to thank members of the Cloud-Resolving Model Development and Application Group at JAMSTEC for helpful conversations. Special thanks are extended to P. Haynes and one anonymous reviewer for their thoughtful comments.</t>
  </si>
  <si>
    <t>e2020GL088743</t>
  </si>
  <si>
    <t>10.1029/2020GL088743</t>
  </si>
  <si>
    <t>WOS:000560376100043</t>
  </si>
  <si>
    <t>Venturelli, RA; Siegfried, MR; Roush, KA; Li, W; Burnett, J; Zook, R; Fricker, HA; Priscu, JC; Leventer, A; Rosenheim, BE</t>
  </si>
  <si>
    <t>Venturelli, R. A.; Siegfried, M. R.; Roush, K. A.; Li, W.; Burnett, J.; Zook, R.; Fricker, H. A.; Priscu, J. C.; Leventer, A.; Rosenheim, B. E.</t>
  </si>
  <si>
    <t>Mid-Holocene Grounding Line Retreat and Readvance at Whillans Ice Stream, West Antarctica</t>
  </si>
  <si>
    <t>ROSS SEA; ORGANIC-CARBON; RAMPED PYROLYSIS; CONTINENT-WIDE; MELT RATES; SHEET; SHELF; BENEATH; LEVEL; ZONE</t>
  </si>
  <si>
    <t>Understanding ice sheet evolution through the geologic past can help constrain ice sheet models that predict future ice dynamics. Existing geological records of grounding line retreat in the Ross Sea, Antarctica, have been confined to ice-free and terrestrial archives, which reflect dynamics from periods of more extensive ice cover. Therefore, our perspective of grounding line retreat since the Last Glacial Maximum remains incomplete. Sediments beneath Ross Ice Shelf and grounded ice offer complementary insight into the southernmost extent of grounding line retreat, yielding a more complete view of ice dynamics during deglaciation. Here we thermochemically separate the youngest organic carbon to estimate ages from sediments extracted near the Whillans Ice Stream grounding line to provide direct evidence of mid-Holocene (7.5-4.8 kyr B.P.) grounding line retreat in that region. Our study demonstrates the utility of accurately dated, grounding-line-proximal sediment deposits for reconstructing past interactions between marine and subglacial environments. Plain Language Summary Ice sheet grounding lines, where ice loses contact with the underlying bed and transitions to an ice shelf floating on the ocean, are critical areas that govern the stability of marine-based ice sheets. However, the short period (years to decades) that we have been able to map grounding lines from ground, airborne, and satellite observations compared to the long periods over which ice sheets change (centuries to millenia) limits our knowledge of grounding line stability. We focus our geologic perspective of grounding line retreat in the Ross Sea, a region that has experienced a high degree of change throughout the last glacial-interglacial cycle. Prior work reconstructing the timeline of ice sheet change in this region is based heavily on ice-free marine sedimentary records, where dates of the first open marine sedimentation after ice retreat can be estimated. Dating sediments from beneath floating ice shelves and near grounding lines has proven difficult for both logistical and methodological reasons, limiting our understanding of grounding line evolution. We used novel radiocarbon dating methods on sediments collected from beneath the floating Ross Ice Shelf to find that the grounding line retreated inland of the current position during the mid-Holocene and subsequently readvanced.</t>
  </si>
  <si>
    <t>[Venturelli, R. A.; Rosenheim, B. E.] Univ S Florida, Coll Marine Sci, St Petersburg, FL 33701 USA; [Siegfried, M. R.] Colorado Sch Mines, Dept Geophys, Golden, CO 80401 USA; [Siegfried, M. R.; Fricker, H. A.] Univ Calif San Diego, Scripps Inst Oceanog, Inst Geophys &amp; Planetary Phys, La Jolla, CA 92093 USA; [Roush, K. A.; Li, W.; Priscu, J. C.] Montana State Univ, Dept Land Resources &amp; Environm Sci, Bozeman, MT 59717 USA; [Burnett, J.] Univ Washington, Appl Phys Lab, Seattle, WA 98105 USA; [Zook, R.] Univ Nebraska, Lincoln, NE USA; [Leventer, A.] Colgate Univ, Dept Geol, Hamilton, NY 13346 USA</t>
  </si>
  <si>
    <t>State University System of Florida; University of South Florida; Colorado School of Mines; University of California System; University of California San Diego; Scripps Institution of Oceanography; Montana State University System; Montana State University Bozeman; University of Washington; University of Washington Seattle; University of Nebraska System; University of Nebraska Lincoln; Colgate University</t>
  </si>
  <si>
    <t>Venturelli, RA (corresponding author), Univ S Florida, Coll Marine Sci, St Petersburg, FL 33701 USA.</t>
  </si>
  <si>
    <t>raventurelli@mail.usf.edu</t>
  </si>
  <si>
    <t>Venturelli, Ryan A/ISV-3343-2023; Rosenheim, Brad/F-6349-2012</t>
  </si>
  <si>
    <t>Venturelli, Ryan A/0000-0001-9548-0382; Rosenheim, Brad/0000-0001-6141-4651; Leventer, Amy/0000-0001-9401-0987; Fricker, Helen Amanda/0000-0002-0921-1432</t>
  </si>
  <si>
    <t>U.S. National Science Foundation, Section for Antarctic Sciences, Antarctic Integrated System Science program, Whillans Ice Stream Subglacial Access Research Drilling (WISSARD; NSF) [OPP-0839059, OPP-0839142, OPP-0838933, OPP-0838885]; U.S. National Science Foundation, Section for Antarctic Sciences, Antarctic Integrated System Science program, Subglacial Antarctic Lakes Scientific Access (SALSA; NSF) [OPP1543347, OPP-1543537, OPP1543441]</t>
  </si>
  <si>
    <t>U.S. National Science Foundation, Section for Antarctic Sciences, Antarctic Integrated System Science program, Whillans Ice Stream Subglacial Access Research Drilling (WISSARD; NSF); U.S. National Science Foundation, Section for Antarctic Sciences, Antarctic Integrated System Science program, Subglacial Antarctic Lakes Scientific Access (SALSA; NSF)</t>
  </si>
  <si>
    <t>This work was supported by the U.S. National Science Foundation, Section for Antarctic Sciences, Antarctic Integrated System Science program as part of two subglacial access projects: Whillans Ice Stream Subglacial Access Research Drilling (WISSARD; NSF Grants OPP-0839059, OPP-0839142, OPP-0838933, and OPP-0838885) and Subglacial Antarctic Lakes Scientific Access (SALSA; NSF Grants OPP1543347, OPP-1543537, and OPP1543441). We thank the University of Nebraska, Lincoln, drill team for borehole access that enabled sample collection, the WISSARD Science Team (see wissard.org for a list of members) for their work in the field, Raytheon Polar Services and Antarctic Support Contract (ASC) for logistical support, and the New York Air National Guard and Ken Borek Air for air support in the field. We acknowledge R. Scherer, R. Powell, and S. Tulaczyk for collection of the WGZ sediment core used in this study. We thank the GMT team for their continued support of the software package; Figure 1 was produced using GMT6/pyGMT (Wessel et al., 2019). This paper benefitted from discussions with C. Schafer, A. Michaud, C. Gustafson, and M. Patterson as well as insightful criticisms and feedback from L. Simkins and one anonymous reviewer.</t>
  </si>
  <si>
    <t>e2020GL088476</t>
  </si>
  <si>
    <t>10.1029/2020GL088476</t>
  </si>
  <si>
    <t>WOS:000560376100083</t>
  </si>
  <si>
    <t>Yang, CY; Smith, AK; Li, T; Kinnison, DE; Li, JHY; Dou, XK</t>
  </si>
  <si>
    <t>Yang, Chengyun; Smith, Anne K.; Li, Tao; Kinnison, Douglas E.; Li, Jianghanyang; Dou, Xiankang</t>
  </si>
  <si>
    <t>Can the Madden-Julian Oscillation Affect the Antarctic Total Column Ozone?</t>
  </si>
  <si>
    <t>MJO; Antarctic TCO; ozone transport</t>
  </si>
  <si>
    <t>MULTI SENSOR REANALYSIS; STRATOSPHERIC OZONE; DEPLETION; IMPACT; MJO; CIRCULATION; EVENTS; MODEL; WAVES</t>
  </si>
  <si>
    <t>The effect of the Madden-Julian Oscillation (MJO) on springtime Antarctic ozone variations is revealed for the first time from multi-satellite reanalysis and model simulations. Twenty to 30 days after MJO Phase 8 (P8), Antarctic total column ozone (TCO) anomalies significantly decrease by up to -15 DU, associated with a wave-1 response at around 60 degrees S. After MJO P8, MJO-related geopotential height anomalies in the southern hemispheric (SH) Indian Ocean emanate from subtropics to polar regions, leading to suppressed upward and poleward propagation of planetary waves (PWs) and weakened Brewer-Dobson circulation in the SH stratosphere. This in turn results in less ozone transport from midlatitudes into the polar region and thus a negative polar TCO response. Dynamical transport plays a dominant role in modulating the Antarctic TCO after MJO P8. The magnitude of transient changes due to chemical processes is relatively weak than that caused by dynamical transport. Plain Language Summary This investigation explores how the southern hemispheric circulation and Antarctic ozone vary in response to a dominant tropospheric intraseasonal phenomenon known as the Madden-Julian Oscillation (MJO), which is characterized by globally coherent variations in tropical convective activity with a time scale ranging from 30 to 80 days. The MJO-related perturbations can modulate the atmospheric circulation in the southern hemispheric stratosphere. The deceleration of the atmospheric circulation in the lower stratosphere decreases the transport of ozone-rich air from lower latitudes to the polar region, which then leads to significant ozone perturbation over Antarctica after certain phases of the MJO.</t>
  </si>
  <si>
    <t>[Yang, Chengyun; Li, Tao; Dou, Xiankang] Univ Sci &amp; Technol China, Sch Earth &amp; Space Sci, CAS Key Lab Geospace Environm, Hefei, Anhui, Peoples R China; [Yang, Chengyun; Li, Tao; Dou, Xiankang] Univ Sci &amp; Technol China, Sch Earth &amp; Space Sci, Mengcheng Natl Geophys Observ, Hefei, Anhui, Peoples R China; [Yang, Chengyun; Li, Tao; Dou, Xiankang] Univ Sci &amp; Technol China, CAS Ctr Excellence Comparat Planetol, Hefei, Anhui, Peoples R China; [Smith, Anne K.; Kinnison, Douglas E.] Natl Ctr Atmospher Res, Atmospher Chem Observat &amp; Modeling, POB 3000, Boulder, CO 80307 USA; [Li, Jianghanyang] Purdue Univ, Dept Earth Atmospher &amp; Planetary Sci, W Lafayette, IN 47907 USA; [Dou, Xiankang] Wuhan Univ, Sch Elect Informat, Wuhan, Hubei, Peoples R China</t>
  </si>
  <si>
    <t>Chinese Academy of Sciences; University of Science &amp; Technology of China, CAS; Chinese Academy of Sciences; University of Science &amp; Technology of China, CAS; Chinese Academy of Sciences; University of Science &amp; Technology of China, CAS; National Center Atmospheric Research (NCAR) - USA; Purdue University System; Purdue University; Wuhan University</t>
  </si>
  <si>
    <t>Li, T (corresponding author), Univ Sci &amp; Technol China, Sch Earth &amp; Space Sci, CAS Key Lab Geospace Environm, Hefei, Anhui, Peoples R China.;Li, T (corresponding author), Univ Sci &amp; Technol China, Sch Earth &amp; Space Sci, Mengcheng Natl Geophys Observ, Hefei, Anhui, Peoples R China.;Li, T (corresponding author), Univ Sci &amp; Technol China, CAS Ctr Excellence Comparat Planetol, Hefei, Anhui, Peoples R China.</t>
  </si>
  <si>
    <t>litao@ustc.edu.cn</t>
  </si>
  <si>
    <t>Dou, xiankang/M-9106-2013; Li, Tao/J-8950-2014; Li, Jianghanyang/HRE-0549-2023; Li, Jianghanyang/GLT-7227-2022</t>
  </si>
  <si>
    <t>Li, Tao/0000-0002-5100-4429; Li, Jianghanyang/0000-0003-4965-0031; Li, Jianghanyang/0000-0003-4965-0031; Yang, Chengyun/0000-0001-9984-637X; Smith, Anne/0000-0003-2384-5033; Kinnison, Douglas/0000-0002-3418-0834</t>
  </si>
  <si>
    <t>Strategic Priority Research Program of Chinese Academy of Sciences [XDB 41000000]; National Natural Science Foundation of China (NSFC) [41874180, 41674149, 41974175, 41831071, 41874181]; Open Research Project of Large Research Infrastructures of CAS-Study on the interaction between low/mid-latitude atmosphere and ionosphere based on the Chinese Meridian Project; National Science Foundation; National Science Foundation (NSF); Office of Science of the U.S. Department of Energy</t>
  </si>
  <si>
    <t>Strategic Priority Research Program of Chinese Academy of Sciences(Chinese Academy of Sciences); National Natural Science Foundation of China (NSFC)(National Natural Science Foundation of China (NSFC)); Open Research Project of Large Research Infrastructures of CAS-Study on the interaction between low/mid-latitude atmosphere and ionosphere based on the Chinese Meridian Project; National Science Foundation(National Science Foundation (NSF)); National Science Foundation (NSF)(National Science Foundation (NSF)); Office of Science of the U.S. Department of Energy(United States Department of Energy (DOE))</t>
  </si>
  <si>
    <t>This work is supported by the Strategic Priority Research Program of Chinese Academy of Sciences, Grant XDB 41000000, the National Natural Science Foundation of China (NSFC) (Grants 41874180, 41674149, 41974175, 41831071, and 41874181), and the Open Research Project of Large Research Infrastructures of CAS-Study on the interaction between low/mid-latitude atmosphere and ionosphere based on the Chinese Meridian Project. We thank ECMWF for daily reanalysis data. The National Center for Atmospheric Research (NCAR) is sponsored by the National Science Foundation. WACCM is a component of the Community Earth System Model (CESM), which is supported by the National Science Foundation (NSF) and the Office of Science of the U.S. Department of Energy. Computing resources were provided by NCAR's Computational and Information Systems Laboratory (CISL).</t>
  </si>
  <si>
    <t>e2020GL088886</t>
  </si>
  <si>
    <t>10.1029/2020GL088886</t>
  </si>
  <si>
    <t>WOS:000560376100109</t>
  </si>
  <si>
    <t>Furusho, A; Akita, T; Mita, M; Naraoka, H; Hamase, K</t>
  </si>
  <si>
    <t>Furusho, Aogu; Akita, Takeyuki; Mita, Masashi; Naraoka, Hiroshi; Hamase, Kenji</t>
  </si>
  <si>
    <t>Three-dimensional high-performance liquid chromatographic analysis of chiral amino acids in carbonaceous chondrites</t>
  </si>
  <si>
    <t>JOURNAL OF CHROMATOGRAPHY A</t>
  </si>
  <si>
    <t>Amino acids; Enantiomer separation; Three-dimensional HPLC; Meteorite</t>
  </si>
  <si>
    <t>HPLC ANALYSIS; PARENT BODY; MURCHISON; METEORITE; MURRAY; YAMATO-791198; DIPEPTIDES; ISOVALINE; INSIGHTS; EXCESSES</t>
  </si>
  <si>
    <t>A three-dimensional (3D) HPLC system in combination with fluorescence derivatization has been developed for the highly sensitive and selective analysis of chiral amino acids in extraterrestrial samples. As the targets, alanine (Ala), 2-aminobutyric acid (2AB), valine (Val), norvaline (nVal) and isovaline (iVal), frequently found chiral amino acids in the carbonaceous chondrites, were selected. These amino acids were pre-column derivatized with 4-fluoro-7-nitro-2,1,3-benzoxadiazole (NBD-F), and the target analytes were separated from other amino acids and organic compounds by a reversed-phase column in the first dimension. The targets were further separated from interferences by an anion-exchange column in the second dimension, and their enantiomers were separated and determined in the third dimension by a Pirkle-type enantioselective column. The present 3D-HPLC system was validated and applied to the Murchison meteorite and the Antarctic meteorites, and all of the target amino acid enantiomers were clearly observed (0.78-22.33 nmol/g in the Murchison meteorite and 1.79-78.84 nmol/g in the Antarctic meteorites) without severe interferences. The %L values of the non-proteinogenic amino acids were almost 50% in both meteorites, and even the proteinogenic amino acids were almost racemic in the Antarctic meteorites. (C) 2020 Elsevier B.V. All rights reserved.</t>
  </si>
  <si>
    <t>[Furusho, Aogu; Akita, Takeyuki; Hamase, Kenji] Kyushu Univ, Grad Sch Pharmaceut Sci, Higasi Ku, 3-1-1 Maidashi, Fukuoka 8128582, Japan; [Mita, Masashi] KAGAMI Inc, 7-7-15 Saito Asagi, Ibaraki 5670085, Japan; [Naraoka, Hiroshi] Kyushu Univ, Dept Earth &amp; Planetary Sci, Nishi Ku, 744 Motooka, Fukuoka 8190395, Japan</t>
  </si>
  <si>
    <t>Kyushu University; Kyushu University</t>
  </si>
  <si>
    <t>Hamase, K (corresponding author), Kyushu Univ, Grad Sch Pharmaceut Sci, Higasi Ku, 3-1-1 Maidashi, Fukuoka 8128582, Japan.</t>
  </si>
  <si>
    <t>hamase@phar.kyushu-u.ac.jp</t>
  </si>
  <si>
    <t>Akita, Takeyuki/AEG-4032-2022</t>
  </si>
  <si>
    <t>Akita, Takeyuki/0000-0003-0789-1654</t>
  </si>
  <si>
    <t>JSPS KAKENHI [JP15H05749, JP19H03359, JP19J21452, JP19K07027]</t>
  </si>
  <si>
    <t>This study was supported in part by JSPS KAKENHI Grant Numbers JP15H05749, JP19H03359, JP19J21452 and JP19K07027. The Yamato meteorites were provided by the National Institute of Polar Research, Japan. The authors appreciate KAGAMI Inc. for their technical support.</t>
  </si>
  <si>
    <t>0021-9673</t>
  </si>
  <si>
    <t>1873-3778</t>
  </si>
  <si>
    <t>J CHROMATOGR A</t>
  </si>
  <si>
    <t>J. Chromatogr. A</t>
  </si>
  <si>
    <t>10.1016/j.chroma.2020.461255</t>
  </si>
  <si>
    <t>MP2CP</t>
  </si>
  <si>
    <t>WOS:000552017600010</t>
  </si>
  <si>
    <t>Mawbey, EM; Hendry, KR; Greaves, MJ; Hillenbrand, CD; Kuhn, G; Spencer-Jones, CL; McClymont, EL; Vadman, KJ; Shevenell, AE; Jernas, PE; Smith, JA</t>
  </si>
  <si>
    <t>Mawbey, Elaine M.; Hendry, Katharine R.; Greaves, Mervyn J.; Hillenbrand, Claus-Dieter; Kuhn, Gerhard; Spencer-Jones, Charlotte L.; McClymont, Erin L.; Vadman, Kara J.; Shevenell, Amelia E.; Jernas, Patrycja E.; Smith, James A.</t>
  </si>
  <si>
    <t>Mg/Ca-Temperature Calibration of Polar Benthic foraminifera species for reconstruction of bottom water temperatures on the Antarctic shelf</t>
  </si>
  <si>
    <t>GEOCHIMICA ET COSMOCHIMICA ACTA</t>
  </si>
  <si>
    <t>Mg; Ca-temperature calibration; Benthic foraminifera; Antarctica; Paleotemperature reconstruction; Core-tops</t>
  </si>
  <si>
    <t>ICE-SHEET RETREAT; OCEAN CIRCULATION; SOUTHERN-OCEAN; WEDDELL SEA; DEEP-WATER; WEST; VARIABILITY; HOLOCENE; PENINSULA; ECOLOGY</t>
  </si>
  <si>
    <t>Benthic foraminifera Mg/Ca is a well-established bottom water temperature (BWT) proxy used in paleoclimate studies. The relationship between Mg/Ca and BWT for numerous species has been determined using core-top and culturing studies. However, the scarcity of calcareous microfossils in Antarctic shelf sediments and poorly defined calibrations at low temperatures has limited the use of the foraminiferal Mg/Ca paleothermometer in ice proximal Antarctic sediments. Here we present paired ocean temperature and modern benthic foraminifera Mg/Ca data for three species, Trifarina angulosa, Bulimina aculeata, and Globocassidulina subglobosa, but with a particular focus on Trifarina angulosa. The core-top data from several Antarctic sectors span a BWT range of -1.7 to +1.2 degrees C and constrain the relationship between Mg/Ca and cold temperatures. We compare our results to published lower-latitude core-top data for species in the same or related genera, and in the case of Trifarina angulosa, produce a regional calibration. The resulting regional equation for Trifarina angulosa is Temperature (degrees C) = (Mg/Ca - 1.14 +/- 0.035)/0.069 +/- 0.033). Addition of our Trifarina angulosa data to the previously published Uvigerina spp. dataset provides an alternative global calibration, although some data points appear to be offset from this relationship and are discussed. Mg-temperature relationships for Bulimina aculeata and Globocassidulina subglobosa are also combined with previously published data to produce calibration equations of Temperature (degrees C) = (Mg/Ca-1.04 +/- 0.07)/0.099 +/- 0.01 and Temperature (degrees C) = (Mg/Ca-0.99 +/- 0.03)/0.087 +/- 0.01, respectively. These refined calibrations highlight the potential utility of benthic foraminifera Mg/Ca-paleothermometry for reconstructing past BWT in Antarctic margin settings. (C) 2020 The Author(s). Published by Elsevier Ltd. This is an open access article under the CC BY license (http://creativecommons.org/licenses/by/4.0/).</t>
  </si>
  <si>
    <t>[Mawbey, Elaine M.; Hillenbrand, Claus-Dieter; Smith, James A.] British Antarctic Survey, Madingley Rd, Cambridge CB3 0ET, England; [Hendry, Katharine R.] Univ Bristol, Fac Sci, Sch Earth Sci, Wills Mem Bldg Queens Rd, Bristol BS8 1RJ, Avon, England; [Greaves, Mervyn J.] Univ Cambridge, Dept Earth Sci, Godwin Lab Palaeoclimate Res, Downing St, Cambridge CB2 3EQ, England; [Kuhn, Gerhard] Alfred Wegener Inst Helmholtz Zentrum Polar &amp; Mee, Alten Hafen 26, D-27568 Bremerhaven, Germany; [Spencer-Jones, Charlotte L.; McClymont, Erin L.] Univ Durham, Dept Geog, Durham DH1 3LE, England; [Vadman, Kara J.; Shevenell, Amelia E.] Univ S Florida, Coll Marine Sci, St Petersburg, FL USA; [Jernas, Patrycja E.] Univ Gdansk, Inst Oceanog, Dept Marine Geol, Aleja Marszalka Jozefa Pilsudskiego 46, PL-81378 Gdynia, Poland</t>
  </si>
  <si>
    <t>UK Research &amp; Innovation (UKRI); Natural Environment Research Council (NERC); NERC British Antarctic Survey; University of Bristol; University of Cambridge; Helmholtz Association; Alfred Wegener Institute, Helmholtz Centre for Polar &amp; Marine Research; Durham University; State University System of Florida; University of South Florida; Fahrenheit Universities; University of Gdansk</t>
  </si>
  <si>
    <t>Mawbey, EM (corresponding author), British Antarctic Survey, Madingley Rd, Cambridge CB3 0ET, England.</t>
  </si>
  <si>
    <t>elawbe@bas.ac.uk</t>
  </si>
  <si>
    <t>McClymont, Erin/AAX-3657-2020; Shevenell, Amelia E/C-2757-2015; Hendry, Katharine/E-4793-2011</t>
  </si>
  <si>
    <t>McClymont, Erin/0000-0003-1562-8768; Hendry, Katharine/0000-0002-0790-5895; Greaves, Mervyn/0000-0001-8014-8627</t>
  </si>
  <si>
    <t>Natural Environment Research Council [NE/M013081/1]; NSF Antarctic Integrated Systems Science Program [1143834, 1143836, 1143837, 1143843, 1313826]; NSF Antarctic Earth Sciences [1744970]; [NE/M013782/1]; [NE/M013243/1]; Office of Polar Programs (OPP); Directorate For Geosciences [1143836, 1313826, 1143837] Funding Source: National Science Foundation; Office of Polar Programs (OPP); Directorate For Geosciences [1143843, 1143834] Funding Source: National Science Foundation; NERC [NE/M013243/1, NE/M013081/1, bas0100030, NE/M013782/1] Funding Source: UKRI</t>
  </si>
  <si>
    <t>Natural Environment Research Council(UK Research &amp; Innovation (UKRI)Natural Environment Research Council (NERC)); NSF Antarctic Integrated Systems Science Program; NSF Antarctic Earth Sciences; ; ; Office of Polar Programs (OPP); Directorate For Geosciences(National Science Foundation (NSF)NSF - Directorate for Geosciences (GEO)); Office of Polar Programs (OPP); Directorate For Geosciences(National Science Foundation (NSF)NSF - Directorate for Geosciences (GEO)); NERC(UK Research &amp; Innovation (UKRI)Natural Environment Research Council (NERC))</t>
  </si>
  <si>
    <t>We thank the captain, crew, shipboard scientists and support staff participating in RRS James Clark Ross expeditions JR104 and JR141, RV Polarstern expeditions ANT-II/3, ANT-1V/3, ANT-VI/2, ANT-IX/3 and ANT-XXIII/4 and RV/IB Nathaniel B. Palmer expedition NBP14-02. Furthermore, we are grateful to Prof. Andreas Mackensen (AWI) for providing picked foraminifera samples. This study was funded by the Natural Environment Research Council grant NE/M013081/1, awarded to J.A.S., K.H. H., E.L.M and C.D.H. Additional funding from grants NE/M013782/1, NE/M013243/1 and NSF Antarctic Integrated Systems Science Program #1143834, 1143836, 1143837, 1143843, and 1313826 and NSF Antarctic Earth Sciences #1744970 to A.E.S is also acknowledged. Finally we thank two anonymous reviewers and the editorial guidance of Dr. Tom Marchitto which helped improve our manuscript.</t>
  </si>
  <si>
    <t>0016-7037</t>
  </si>
  <si>
    <t>1872-9533</t>
  </si>
  <si>
    <t>GEOCHIM COSMOCHIM AC</t>
  </si>
  <si>
    <t>Geochim. Cosmochim. Acta</t>
  </si>
  <si>
    <t>AUG 15</t>
  </si>
  <si>
    <t>10.1016/j.gca.2020.05.027</t>
  </si>
  <si>
    <t>MH0WR</t>
  </si>
  <si>
    <t>WOS:000546451400004</t>
  </si>
  <si>
    <t>Graly, JA; Licht, KJ; Bader, NA; Bish, DL</t>
  </si>
  <si>
    <t>Graly, Joseph A.; Licht, Kathy J.; Bader, Nicole A.; Bish, David L.</t>
  </si>
  <si>
    <t>Chemical weathering signatures from Mt. Achernar Moraine, Central Transantarctic Mountains I: Subglacial sediments compared with underlying rock</t>
  </si>
  <si>
    <t>Antarctica; Chemical Weathering; Clay Minerals; Subglacial Processes; Geochemical Cycles</t>
  </si>
  <si>
    <t>ANTARCTIC ICE-SHEET; ATMOSPHERIC CO2; BLUE ICE; BASAL SEDIMENT; CLAY-MINERALS; BLOOD FALLS; DRY VALLEYS; GLACIER; ORIGIN; SOILS</t>
  </si>
  <si>
    <t>In order to determine chemical weathering rates on the subglacial land surface of Antarctica, we compare the composition and mineralogy of freshly emerging fine sediments to that of the underlying bedrock, as represented by glacially derived cobble -sized clasts. Samples were collected from Mt. Achernar Moraine, a large blue ice moraine, where subglacial material naturally emerges through sublimation of the surrounding ice. Both rocks and sediments were analyzed for total elemental composition, mineral abundance by X-ray diffraction, and by sequential extractions targeting chemical weathering products. The fine sediment fraction is significantly enriched in chemical weathering products and depleted in primary minerals com- pared with the cobble clasts. The alteration pathways consist primarily of the development of smectite, kaolinite, carbonate minerals, and amorphous material. Extensive Fe oxidation is evidenced by a decline in magnetic susceptibility and by increases in extractable Fe. If we assume the only input into the subglacial system is the water and ice -trapped gas supplied by basal melt, the net chemical alteration is explained through oxidation of organic matter equal to -0.7% of the bedrock mass and subsequent carbonation weathering. The underlying sedimentary rock is sufficiently rich in organic matter for this pathway to be plausible. For the O 2 that is oxidizing organic matter to be supplied by basal meltwater, water fluxes would need to be three orders of magnitude larger than sediment fluxes. Independent models of basal melt and sediment transport at our field site confirm that such a difference between water and sediment flux is likely at the study site. The rate of subglacial carbonation weathering inferred from the Mt. Achernar Moraine site may be comparable to that found in high latitude sub - aerial environments. If Mt. Achernar Moraine is typical of other Antarctic sites, the subglacial land surface of Antarctica does play a role in global geochemical cycling. (c) 2020 Elsevier Ltd. All rights reserved.</t>
  </si>
  <si>
    <t>[Graly, Joseph A.] Northumbria Univ, Geog &amp; Environm Sci, Newcastle Upon Tyne, Tyne &amp; Wear, England; [Graly, Joseph A.; Licht, Kathy J.; Bader, Nicole A.] Indiana Univ Purdue Univ, Earth Sci, Indianapolis, IN 46202 USA; [Bish, David L.] Indiana Univ, Earth &amp; Atmospher Sci, Bloomington, IN USA</t>
  </si>
  <si>
    <t>Northumbria University; Indiana University System; Indiana University-Purdue University Indianapolis; Indiana University System; Indiana University Bloomington</t>
  </si>
  <si>
    <t>Graly, JA (corresponding author), Northumbria Univ, Geog &amp; Environm Sci, Newcastle Upon Tyne, Tyne &amp; Wear, England.;Graly, JA (corresponding author), Indiana Univ Purdue Univ, Earth Sci, Indianapolis, IN 46202 USA.</t>
  </si>
  <si>
    <t>joseph.graly@northumbria.ac.uk</t>
  </si>
  <si>
    <t>Bish, David/AAY-7618-2020</t>
  </si>
  <si>
    <t>Licht, Kathy/0000-0002-2233-2853; Graly, Joseph/0000-0002-7939-6022</t>
  </si>
  <si>
    <t>National Science Foundation Antarctic grants [PLR1443433, PLR-1443213, ANT-0944578, ANT-0944475]; Indiana University Collaborative Research Grant; IUPUI Office of the Vice Chancellor for Research; NSF [MRI-1429241]</t>
  </si>
  <si>
    <t>National Science Foundation Antarctic grants; Indiana University Collaborative Research Grant; IUPUI Office of the Vice Chancellor for Research; NSF(National Science Foundation (NSF))</t>
  </si>
  <si>
    <t>This paper was edited by A. Dosseto and thoughtfully reviewed by R. Rudnick and two anonymous reviewers. This work was supported by National Science Foundation Antarctic grants PLR1443433, PLR-1443213, ANT-0944578 and ANT-0944475, by an Indiana University Collaborative Research Grant, and by funding from the IUPUI Office of the Vice Chancellor for Research. The US Antarctic Program, Kenn Borek Air, Ltd., and field team members from the 2010 and 2015 seasons are gratefully acknowledged for their support, particularly M. Kaplan. T. Kennedy assisted with magnetic susceptibility analyses. H. Johnston assisted with particle size analyses. S. Cox and S. Olund assisted with the sequential extraction analyses. We would like to acknowledge the Integrated Nanosystems Development Institute (INDI) for use of their Bruker D8 Discover X-ray diffraction instrument, which was awarded through NSF grant MRI-1429241.</t>
  </si>
  <si>
    <t>10.1016/j.gca.2020.06.005</t>
  </si>
  <si>
    <t>WOS:000546451400010</t>
  </si>
  <si>
    <t>Gauthier, MS; Kelley, SE; Hodder, TJ</t>
  </si>
  <si>
    <t>Gauthier, Michelle S.; Kelley, Samuel E.; Hodder, Tyler J.</t>
  </si>
  <si>
    <t>Lake Agassiz drainage bracketed Holocene Hudson Bay Ice Saddle collapse</t>
  </si>
  <si>
    <t>Quaternary; Laurentide Ice Sheet; Lake Agassiz; Tyrrell Sea; 8.2 ka cold event; Hudson Bay Ice Saddle</t>
  </si>
  <si>
    <t>NORTHERN ONTARIO; RADIOCARBON AGES; COLD EVENT; SHEET; DEGLACIATION; OJIBWAY; MODEL; BP</t>
  </si>
  <si>
    <t>The duration and intensity of the early Holocene freshening events has been explained by subglacial outburst(s) from Lake Agassiz, the collapse of a Laurentide Ice Sheet 'saddle' overlying Hudson Bay, and/or a combination of the two events. Our field evidence provides new radiocarbon ages and geomorphologic observations to assess the deglacial history of this important region, allowing for revision of the sequence of events. We show that the collapse of the Hudson Bay Ice Saddle in southwestern Hudson Bay occurred between 8.57 +/- 0.28 ka BP and 8.11 +/- 0.19 ka BP. This event was preceded by at least one subglacial-drainage event through numerous newly-mapped subglacial channels onshore of southwestern Hudson Bay. Lake Agassiz may have experienced multiple subglacial drainage events prior to the final HBIS collapse, accounting for the timing discrepancies in freshwater cooling observed in the North Atlantic. Importantly, this new work links the chronology of events on the southwest (land-based) side of the HBIS to the northeast (marine-based) side of the ice sheet. Additionally, this work provides a potential analog for the behaviour of other ice sheets whose beds lie well below sea level, such as the West Antarctic Ice Sheet, during periods of warming climate. (C) 2020 Elsevier B.V. All rights reserved.</t>
  </si>
  <si>
    <t>[Gauthier, Michelle S.; Hodder, Tyler J.] Manitoba Geol Survey, Winnipeg, MB, Canada; [Kelley, Samuel E.] Univ Coll Dublin, Sch Earth Sci, Dublin, Ireland; [Kelley, Samuel E.] Univ Waterloo, Dept Earth &amp; Environm Sci, Waterloo, ON, Canada</t>
  </si>
  <si>
    <t>University College Dublin; University of Waterloo</t>
  </si>
  <si>
    <t>Gauthier, MS (corresponding author), Manitoba Geol Survey, Winnipeg, MB, Canada.</t>
  </si>
  <si>
    <t>michelle.trommelen@gmail.com; sam.kelley@ucd.ie; Tyler.Hodder@gov.mb.ca</t>
  </si>
  <si>
    <t>Gauthier, Michelle/0000-0001-7176-9202; Kelley, Samuel/0000-0001-9214-0577</t>
  </si>
  <si>
    <t>Manitoba Geological Survey</t>
  </si>
  <si>
    <t>This study was supported by the Manitoba Geological Survey, as well by an NRCanGEM-II grant which partially supported S.K. while at the University of Waterloo. Tom Lowell is thanked for the Matlab script used in the construction of Fig. 5, as well as discussions on Laurentide deglaciation and a thorough review. Macrofossil identification by the late Alice Telka has aided our interpretations, and her contributions will be greatly missed by the scientific community. This paper has significantly benefited from review by four anonymous reviewers.</t>
  </si>
  <si>
    <t>10.1016/j.epsl.2020.116372</t>
  </si>
  <si>
    <t>MD2TG</t>
  </si>
  <si>
    <t>WOS:000543825300012</t>
  </si>
  <si>
    <t>Wilson, DJ; Struve, T; van de Flierdt, T; Chen, TY; Li, T; Burke, A; Robinson, LF</t>
  </si>
  <si>
    <t>Wilson, David J.; Struve, Torben; van de Flierdt, Tina; Chen, Tianyu; Li, Tao; Burke, Andrea; Robinson, Laura F.</t>
  </si>
  <si>
    <t>Sea-ice control on deglacial lower cell circulation changes recorded by Drake Passage deep-sea corals</t>
  </si>
  <si>
    <t>ocean circulation; deglaciation; Drake Passage; Nd isotopes; deep-sea corals; sea-ice</t>
  </si>
  <si>
    <t>NEODYMIUM ISOTOPIC COMPOSITION; SOUTHERN-OCEAN; OVERTURNING CIRCULATION; ATMOSPHERIC CO2; NORTH-ATLANTIC; PACIFIC-OCEAN; CARBON; WATER; DENSITY; STRATIFICATION</t>
  </si>
  <si>
    <t>The sequence of deep ocean circulation changes between the Last Glacial Maximum and the Holocene provides important insights for understanding deglacial climate change and the role of the deep ocean in the global carbon cycle. Although it is known that significant amounts of carbon were sequestered in a deep overturning cell during glacial periods and released during deglaciation, the driving mechanisms for these changes remain unresolved. Southern Ocean sea-ice has recently been proposed to play a critical role in setting the global deep ocean stratification and circulation, and hence carbon storage, but testing such conceptual and modelling studies requires data constraining past circulation changes. To this end, we present the first deglacial dataset of neodymium (Nd) isotopes measured on absolute-dated deep-sea corals from modern Lower Circumpolar Deep Water depths in the Drake Passage. Our record demonstrates deglacial variability of 2.5 epsilon(Nd )units, with radiogenic values of up to epsilon(Nd) = -5.9 during the Last Glacial Maximum providing evidence for a stratified glacial circulation mode with restricted incorporation of Nd from North Atlantic Deep Water in the lower cell. During the deglaciation, a renewed Atlantic influence in the deep Southern Ocean is recorded early in Heinrich Stadial 1, coincident with Antarctic sea-ice retreat, and is followed by a brief return to more Pacific-like values during the Antarctic Cold Reversal. These changes demonstrate a strong influence of Southern Ocean processes in setting deep ocean circulation and support the proposed sea-ice control on deep ocean structure. Furthermore, by constraining the Nd isotopic composition of Lower Circumpolar Deep Water in the Southern Ocean, our new data are important for interpreting deglacial circulation changes in other ocean basins and support a spatially asynchronous return of North Atlantic Deep Water to the deep southeast and southwest Atlantic Ocean. (C) 2020 Elsevier B.V. All rights reserved.</t>
  </si>
  <si>
    <t>[Wilson, David J.] UCL, Inst Earth &amp; Planetary Sci, Gower St, London WC1E 6BT, England; [Wilson, David J.] Birkbeck Univ London, Gower St, London WC1E 6BT, England; [Wilson, David J.; Struve, Torben; van de Flierdt, Tina] Imperial Coll London, Dept Earth Sci &amp; Engn, London SW7 2AZ, England; [Struve, Torben] Carl von Ossietzky Univ Oldenburg, Inst Chem &amp; Biol Marine Environm ICBM, Marine Isotope Geochem, Carl von Ossietzky Str 9-11, D-26129 Oldenburg, Germany; [Chen, Tianyu; Li, Tao; Robinson, Laura F.] Univ Bristol, Sch Earth Sci, Wills Mem Bldg,Queens Rd, Bristol BS8 1RJ, Avon, England; [Chen, Tianyu; Li, Tao] Nanjing Univ, Sch Earth Sci &amp; Engn, Nanjing 210023, Peoples R China; [Burke, Andrea] Univ St Andrews, Sch Earth &amp; Environm Sci, St Andrews KY16 9AL, Fife, Scotland</t>
  </si>
  <si>
    <t>University of London; University College London; University of London; Birkbeck University London; Imperial College London; Carl von Ossietzky Universitat Oldenburg; University of Bristol; Nanjing University; University of St Andrews</t>
  </si>
  <si>
    <t>Wilson, DJ (corresponding author), UCL, Inst Earth &amp; Planetary Sci, Gower St, London WC1E 6BT, England.;Wilson, DJ (corresponding author), Birkbeck Univ London, Gower St, London WC1E 6BT, England.</t>
  </si>
  <si>
    <t>david.j.wilson@ucl.ac.uk</t>
  </si>
  <si>
    <t>Chen, Tianyu/JDD-7264-2023; Wilson, David/AAA-9939-2019; Li, Tao/ITW-0434-2023</t>
  </si>
  <si>
    <t>Wilson, David/0000-0003-2786-4688; Li, Tao/0000-0002-9975-152X; Struve, Torben/0000-0002-6453-5552; Burke, Andrea/0000-0002-3754-1498; van de Flierdt, Tina/0000-0001-7176-9755</t>
  </si>
  <si>
    <t>Natural Environment Research Council [NE/N001141/1, NE/N003861/1]; Leverhulme Trust [RPG-398]; Grantham Institute for Climate Change and the Environment; Marie Curie Reintegration grant [IRG 230828]; European Research Council [278705]; NERC [NE/F016751/1, NE/S001743/1, NE/N003861/1, NE/N001141/1] Funding Source: UKRI</t>
  </si>
  <si>
    <t>Natural Environment Research Council(UK Research &amp; Innovation (UKRI)Natural Environment Research Council (NERC)); Leverhulme Trust(Leverhulme Trust); Grantham Institute for Climate Change and the Environment; Marie Curie Reintegration grant(European Union (EU)); European Research Council(European Research Council (ERC)); NERC(UK Research &amp; Innovation (UKRI)Natural Environment Research Council (NERC))</t>
  </si>
  <si>
    <t>We acknowledge the science teams and crews of expeditions NBP0805 and NBP1103 for collecting the sample material, and K. Kreissig and B. Coles for maintaining the laboratory facilities in the MAGIC group. We also thank two anonymous reviewers for their positive and helpful comments. Financial support to DJW, TS, and TvdF was provided by the Natural Environment Research Council(NE/N001141/1), the Leverhulme Trust (RPG-398), the Grantham Institute for Climate Change and the Environment, and a Marie Curie Reintegration grant (IRG 230828). LFR acknowledges support from the Natural Environment Research Council (NE/N003861/1) and the European Research Council (278705).</t>
  </si>
  <si>
    <t>10.1016/j.epsl.2020.116405</t>
  </si>
  <si>
    <t>WOS:000543825300029</t>
  </si>
  <si>
    <t>Guillaumot, C; Saucède, T; Morley, SA; Augustine, S; Danis, B; Kooijman, S</t>
  </si>
  <si>
    <t>Guillaumot, Charlene; Saucede, Thomas; Morley, Simon A.; Augustine, Starrlight; Danis, Bruno; Kooijman, Sebastiaan</t>
  </si>
  <si>
    <t>Can DEB models infer metabolic differences between intertidal and subtidal morphotypes of the Antarctic limpet Nacella concinna (Strebel, 1908)?</t>
  </si>
  <si>
    <t>ecological modelling; Southern Ocean; marine benthic species; model relevance; model accuracy</t>
  </si>
  <si>
    <t>DYNAMIC ENERGY BUDGET; PHYSIOLOGICAL-RESPONSE; LATERNULA-ELLIPTICA; CLIMATE VARIABILITY; SHELL MORPHOLOGY; PATELLA-CAERULEA; ECOSYSTEM MODEL; THERMAL LIMITS; SIGNY ISLAND; TEMPERATURE</t>
  </si>
  <si>
    <t>Studying the influence of changing environmental conditions on Antarctic marine benthic invertebrates is strongly constrained by limited access to the region, which poses difficulties to performing long-term experimental studies. Ecological modelling has been increasingly used as a potential alternative to assess the impact of such changes on species distribution or physiological performance. Among ecological models, the Dynamic Energy Budget (DEB) approach represents each individual through four energetic compartments (i.e. reserve, structure, maturation and reproduction) from which energy is allocated in contrasting proportions according to different life stages and to two forcing environmental factors (food resources and temperature). In this study, the example of an abundant coastal limpet, Nacella concinna (Strebel 1908), was studied. The species is known to have intertidal and subtidal morphotypes, genetically similar but physiologically and morphologically contrasting. The objectives of this paper are (1) to evaluate the potential of the DEB approach, and assess whether a DEB model can be separately built for the intertidal and subtidal morphotypes, based on a field experiment and data from literature and (2) to analyse whether models are contrasting enough to reflect the known physiological and morphological differences between the morphotypes. We found only minor differences in temperature-corrected parameter values between both populations, meaning that the observed differences can be only explained by differences in environmental conditions (i.e. DEB considered variables, food resources and temperature, but also other variables not considered by DEB). Despite the known morphological difference between the populations, the difference in shape coefficients was small. This study shows that even with the amount of data so far available in the literature, DEB models can already be applied to some Southern Ocean case studies, but, more data are required to accurately model the physiological and morphological differences between individuals.</t>
  </si>
  <si>
    <t>[Guillaumot, Charlene; Danis, Bruno] Univ Libre Bruxelles, Lab Biol Marine, Ave FD Roosevelt 50 CP 160-15, B-1050 Brussels, Belgium; [Guillaumot, Charlene; Saucede, Thomas] Univ Bourgogne Franche Comte, EPHE, CNRS, UMR Biogeosci 6282, 6 Bd Gabriel, F-21000 Dijon, France; [Morley, Simon A.] NERC, British Antarctic Survey, Cambridge CB3 0ET, England; [Augustine, Starrlight] Kvaplan Niva, Fram High North Res Ctr Climate &amp; Environm, N-9296 Tromso, Norway; [Kooijman, Sebastiaan] Vrije Univ Amsterdam, Dept Theoret Biol, De Boelelaan 1087, NL-1081 HV Amsterdam, Netherlands</t>
  </si>
  <si>
    <t>Universite Libre de Bruxelles; Universite de Bourgogne; Centre National de la Recherche Scientifique (CNRS); Universite PSL; Ecole Pratique des Hautes Etudes (EPHE); UK Research &amp; Innovation (UKRI); Natural Environment Research Council (NERC); NERC British Antarctic Survey; Vrije Universiteit Amsterdam</t>
  </si>
  <si>
    <t>Guillaumot, C (corresponding author), Univ Libre Bruxelles, Lab Biol Marine, Ave FD Roosevelt 50 CP 160-15, B-1050 Brussels, Belgium.</t>
  </si>
  <si>
    <t>Danis, Bruno/0000-0002-9037-7623; augustine, starrlight/0000-0001-7917-9629</t>
  </si>
  <si>
    <t>Fonds pour la formation a la Recherche dans l'Industrie et l'Agriculture (FRIA); Bourse fondation de la mer; Natural Environment Research Council; Belgian Science Policy Office (BELSPO) [BR/132/A1/vERSO]; Refugia and Ecosystem Tolerance in the Southern Ocean project (RECTO) - Belgian Science Policy Office (BELSPO) [BR/154/A1/RECTO]; NERC [bas0100035] Funding Source: UKRI</t>
  </si>
  <si>
    <t>Fonds pour la formation a la Recherche dans l'Industrie et l'Agriculture (FRIA)(Fonds de la Recherche Scientifique - FNRS); Bourse fondation de la mer; Natural Environment Research Council(UK Research &amp; Innovation (UKRI)Natural Environment Research Council (NERC)); Belgian Science Policy Office (BELSPO)(Belgian Federal Science Policy Office); Refugia and Ecosystem Tolerance in the Southern Ocean project (RECTO) - Belgian Science Policy Office (BELSPO); NERC(UK Research &amp; Innovation (UKRI)Natural Environment Research Council (NERC))</t>
  </si>
  <si>
    <t>This work was supported by a Fonds pour la formation a la Recherche dans l'Industrie et l'Agriculture (FRIA) and Bourse fondation de la mer grants to C. Guillaumot. SMOR was supported by Natural Environment Research Council core funding to the British Antarctic Survey.; This is contribution no. 40 to the vERSO project (www.versoproject.be), funded by the Belgian Science Policy Office (BELSPO, contract n degrees BR/132/A1/vERSO). Research was also financed by the Refugia and Ecosystem Tolerance in the Southern Ocean project (RECTO; BR/154/A1/RECTO) funded by the Belgian Science Policy Office (BELSPO), this study being contribution number 14.</t>
  </si>
  <si>
    <t>10.1016/j.ecolmodel.2020.109088</t>
  </si>
  <si>
    <t>LY3SK</t>
  </si>
  <si>
    <t>WOS:000540447700005</t>
  </si>
  <si>
    <t>Zhang, X; Xiao, HY; Chou, YC; Cai, BG; Lone, MA; Shen, CC; Jiang, XY</t>
  </si>
  <si>
    <t>Zhang, Xin; Xiao, Haiyan; Chou, Yu-Chen; Cai, Binggui; Lone, Mahjoor Ahmad; Shen, Chuan-Chou; Jiang, Xiuyang</t>
  </si>
  <si>
    <t>A detailed East Asian monsoon history of Greenland Interstadial 21 in southeastern China</t>
  </si>
  <si>
    <t>Stalagmite; Xianyun Cave; Chinese Interstadial 21; Precursor event; Southern Hemisphere climates</t>
  </si>
  <si>
    <t>MILLENNIAL-SCALE CHANGES; SUMMER MONSOON; NORTH-ATLANTIC; OXYGEN ISOTOPES; INDIAN MONSOON; MIS 3; HOLOCENE VARIABILITY; DELTA-O-18 RECORDS; STABLE-ISOTOPES; YOUNGER DRYAS</t>
  </si>
  <si>
    <t>Greenland Interstadial-21 (GIS 21), with a centennial-scale precursor event and a rebound-type event, was one of the longest warm millennial-scale events recorded in Greenland ice cores during the last glacial period. Precise determination of its timing and duration can improve our understanding of regional/global climate correlations over Marine Isotope Stages (MIS) 5b/5a and 5a/4. Here, a precisely Th-230-dated decadally-resolved stalagmite delta O-18 record from Xianyun Cave, Fujian Province, southeastern China, is utilized to reconstruct the sub-millennial-scale changes in East Asian summer monsoon (EASM) from 87.6 to 76.3 kyr BP (before 1950 CE), covering Chinese Interstadial 21 (CIS 21) event. A comparison of spatially-separated Chinese speleothem records during GIS 21 shows a decrease in speleothem delta O-18 values from southeastern China to northwestern China. These delta O-18 spatial gradients could be attributed to the rainout effect and the amplification mechanism of the seasonal variations of precipitation delta O-18. Moreover, Xianyun delta O-18 record captures the precursor event centered at 85.3 +/- 0.3 kyr BP concurrent with the corresponding event in ice cores, revealing an atmospheric teleconnection between high and low latitudes. Unlike gradual cooling at the Greenland and Antarctic ice core records during mid-GIS 21, the Xianyun record reveals a relatively strong monsoon phase. We speculate that the cooling of the Southern Hemisphere (SH) may influence EASM activity through the intensification of cross-equatorial flow and weaken the impact of Northern Hemisphere (NH) high latitude climate, thus pointing to the role of SH climate on EASM on millennial-scale.</t>
  </si>
  <si>
    <t>[Zhang, Xin; Xiao, Haiyan; Cai, Binggui; Jiang, Xiuyang] Fujian Normal Univ, Coll Geog Sci, Key Lab Humid Subtrop Ecogeog Proc, Minist Educ, Fuzhou 350007, Peoples R China; [Xiao, Haiyan; Cai, Binggui; Jiang, Xiuyang] Fujian Normal Univ, Inst Geog, Fuzhou 350007, Peoples R China; [Chou, Yu-Chen; Lone, Mahjoor Ahmad; Shen, Chuan-Chou] Natl Taiwan Univ, Dept Geosci, High Precis Mass Spectrometry &amp; Environm Change L, Taipei 10617, Taiwan; [Lone, Mahjoor Ahmad; Shen, Chuan-Chou] Natl Taiwan Univ, Res Ctr Future Earth, Taipei 10617, Taiwan</t>
  </si>
  <si>
    <t>Fujian Normal University; Fujian Normal University; National Taiwan University; National Taiwan University</t>
  </si>
  <si>
    <t>Jiang, XY (corresponding author), Fujian Normal Univ, Coll Geog Sci, Key Lab Humid Subtrop Ecogeog Proc, Minist Educ, Fuzhou 350007, Peoples R China.;Shen, CC (corresponding author), Natl Taiwan Univ, Dept Geosci, High Precis Mass Spectrometry &amp; Environm Change L, Taipei 10617, Taiwan.</t>
  </si>
  <si>
    <t>river@ntu.edu.tw; xyjiang@fjnu.edu.cn</t>
  </si>
  <si>
    <t>CAI, Binggui/HGU-8147-2022; Shen, Chuan-Chou/H-9642-2013; Xiao, Haiyan/A-1450-2012; Shen, Chuan-Chou/JCE-1989-2023; lin, ke/GZM-8300-2022; Lone, Mahjoor/C-9637-2011</t>
  </si>
  <si>
    <t>Shen, Chuan-Chou/0000-0003-2833-2771; Shen, Chuan-Chou/0000-0003-2833-2771; Lone, Mahjoor/0000-0003-4436-5004; Jiang, Xiuyang/0000-0001-9617-0431</t>
  </si>
  <si>
    <t>National Natural Science Foundation of China [41672170]; National Key Research and Development Program of China [2017YFA0603401]; Program for New Century Excellent Talents in Fujian Province University; Program for Innovative Research Team of Fujian Normal University [IRTL1705]; Science Vanguard Research Program of the Ministry of Science and Technology [106-2628-M-002-013, 107-2119-M-002-051]; National Taiwan University [105R7625]; Higher Education Sprout Project of the Ministry of Education, Taiwan ROC [108L901001]</t>
  </si>
  <si>
    <t>National Natural Science Foundation of China(National Natural Science Foundation of China (NSFC)); National Key Research and Development Program of China; Program for New Century Excellent Talents in Fujian Province University(Program for New Century Excellent Talents in University (NCET)); Program for Innovative Research Team of Fujian Normal University; Science Vanguard Research Program of the Ministry of Science and Technology; National Taiwan University(National Taiwan University); Higher Education Sprout Project of the Ministry of Education, Taiwan ROC</t>
  </si>
  <si>
    <t>This study was jointly supported by grants of the National Natural Science Foundation of China (41672170), the National Key Research and Development Program of China (2017YFA0603401), the Program for New Century Excellent Talents in Fujian Province University, and the Program for Innovative Research Team of Fujian Normal University (IRTL1705). This study was partially supported by grants from the Science Vanguard Research Program of the Ministry of Science and Technology (106-2628-M-002-013; 107-2119-M-002-051), the National Taiwan University (105R7625), the Higher Education Sprout Project of the Ministry of Education, Taiwan ROC (108L901001).</t>
  </si>
  <si>
    <t>10.1016/j.palaeo.2020.109752</t>
  </si>
  <si>
    <t>LV0NG</t>
  </si>
  <si>
    <t>WOS:000538140400005</t>
  </si>
  <si>
    <t>Baldry, K; Strutton, PG; Hill, NA; Boyd, PW</t>
  </si>
  <si>
    <t>Baldry, Kimberlee; Strutton, Peter G.; Hill, Nicole A.; Boyd, Philip W.</t>
  </si>
  <si>
    <t>Subsurface Chlorophyll-a Maxima in the Southern Ocean</t>
  </si>
  <si>
    <t>Southern Ocean; phytoplankton; chlorophyll-a; chlorophyll fluorescence; subsurface chlorophyll maxima</t>
  </si>
  <si>
    <t>NATURAL IRON-FERTILIZATION; MARGINAL ICE-ZONE; PHYTOPLANKTON COMMUNITY STRUCTURE; ANTARCTIC CIRCUMPOLAR CURRENT; EASTERN INDIAN SECTOR; POLAR FRONTAL ZONES; DISSOLVED IRON; WEDDELL SEA; PRIMARY PRODUCTIVITY; AUSTRALIAN SECTOR</t>
  </si>
  <si>
    <t>Our review of the literature has revealed Southern Ocean subsurface chlorophyll -a maxima (SCMs) to be an annually recurrent feature throughout the basin. Most of these SCMs are different to the typical SCMs observed in the tropics, which are maintained by the nutrient-light co-limitation of phytoplankton growth. Rather, we have found that SCMs are formed by other processes including diatom aggregation, sea-ice retreat, eddies, subduction events and photo-acclimation. At a local scale, these SCMs can facilitate increased downward carbon export, primary production and food availability for higher trophic levels. A large proportion of Southern Ocean SCMs appear to be sustained by aggregates of large diatoms that form under severe iron limitation in the seasonal mixed layer. The ability of large diatoms to regulate their buoyancy must play a role in the development of these SCMs as they appear to increase buoyancy at the SCM and thus avoid further sinking with the decline of the spring bloom or naturally iron fertilized blooms. These SCMs remain largely unobserved by satellites and it seems that ship-based sampling may not be able to fully capture their biomass. In the context of the Marine Ecosystem Assessment of the Southern Ocean it is important to consider that this phenomenon is missing in our current understanding of Southern Ocean ecology and future climate scenarios. The broader implications of SCMs for Southern Ocean ecology will only be revealed through basin-wide observations. This can only be achieved through an integrated observation system that is able to harness the detailed information encapsulated in ship-based sampling, with the increased observational capacity of fluorometers on autonomous platforms such as those in the biogeochemical Argo (BGC-Argo) and the Marine Mammals Exploring the Ocean Pole to pole (MEOP) programs. The main challenge toward achieving this is the uncertainties associated with translating fluorescence to chlorophyll -a concentrations. Until this translation is resolved, the reporting of subsurface fluorescence maxima (SFMs) in place of SCMs could still yield valuable insights with careful interpretation.</t>
  </si>
  <si>
    <t>[Baldry, Kimberlee; Strutton, Peter G.; Hill, Nicole A.; Boyd, Philip W.] Univ Tasmania, Inst Marine &amp; Antarctic Studies, Coll Sci &amp; Engn, Hobart, Tas, Australia; [Strutton, Peter G.] Univ Tasmania, Australian Res Council Ctr Excellence Climate Ext, Hobart, Tas, Australia</t>
  </si>
  <si>
    <t>University of Tasmania; University of Tasmania</t>
  </si>
  <si>
    <t>Baldry, K (corresponding author), Univ Tasmania, Inst Marine &amp; Antarctic Studies, Coll Sci &amp; Engn, Hobart, Tas, Australia.</t>
  </si>
  <si>
    <t>kimberlee.baldry@utas.edu.au</t>
  </si>
  <si>
    <t>Boyd, Philip W/J-7624-2014; Strutton, Peter/C-4466-2011</t>
  </si>
  <si>
    <t>Baldry, Kimberlee/0000-0003-3286-8624; Strutton, Peter/0000-0002-2395-9471</t>
  </si>
  <si>
    <t>Australian Research Council's Special Research Initiative for Antarctic Gateway Partnership [SR140300001]</t>
  </si>
  <si>
    <t>Australian Research Council's Special Research Initiative for Antarctic Gateway Partnership(Australian Research Council)</t>
  </si>
  <si>
    <t>This research was supported under Australian Research Council's Special Research Initiative for Antarctic Gateway Partnership (Project ID: SR140300001).</t>
  </si>
  <si>
    <t>AUG 14</t>
  </si>
  <si>
    <t>10.3389/fmars.2020.00671</t>
  </si>
  <si>
    <t>NB7OX</t>
  </si>
  <si>
    <t>WOS:000560705000001</t>
  </si>
  <si>
    <t>Mahlalela, PT; Blamey, RC; Hart, NCG; Reason, CJC</t>
  </si>
  <si>
    <t>Mahlalela, P. T.; Blamey, R. C.; Hart, N. C. G.; Reason, C. J. C.</t>
  </si>
  <si>
    <t>Drought in the Eastern Cape region of South Africa and trends in rainfall characteristics</t>
  </si>
  <si>
    <t>Drought; floods; Rainfall variability; Trends; South Africa</t>
  </si>
  <si>
    <t>TROPICAL-TEMPERATE TROUGHS; SEA-SURFACE TEMPERATURE; SST DIPOLE EVENTS; INDIAN-OCEAN; SUMMER RAINFALL; WINTER RAINFALL; GLOBAL PRECIPITATION; NUMERICAL-MODEL; AGULHAS CURRENT; SYNOPTIC TYPE</t>
  </si>
  <si>
    <t>Much of the Eastern Cape province in South Africa has been experiencing a severe drought since 2015. This drought has had major socio-economic effects particularly on the large impoverished rural population as well as on some urban areas where supplied water services have broken down in several cases. The region is influenced by both midlatitude and tropical systems leading to a complex regional meteorology that hitherto has not been much studied compared to other parts of South Africa. Here, the ongoing drought is examined in the context of long-term trends and the interannual rainfall variability of the region. Although the region has experienced drought in all seasons since 2015, focus here is placed on the spring (September-November) which shows the most consistent and robust signal. On average, this season contributes between about 25-35% of the annual rainfall total. Based on CHIRPS data, it is found that this season shows a significant decreasing trend in both rainfall totals as well as the number of rainfall days (but not heavy rainfall days) for spring over most of the province since 1981. On interannual time scales, the results indicate that dry (wet) springs over the Eastern Cape are associated with a cyclonic (anticyclonic) anomaly southeast of South Africa as part of a shift in the zonal wavenumber 3 pattern in the midlatitudes. Over the landmass, a stronger (weaker) Botswana High is also apparent with increased (decreased) subsidence over and near the Eastern Cape which is less (more) favourable for cloud band development and hence reduced (enhanced) rainfall during dry (wet) springs. Analysis of mid-century (2040-2060) CMIP5 rainfall projections suggests that there may be a flattening of the annual cycle over the Eastern Cape with the winter becoming wetter and the summer drier. For the spring season of interest here, the multi-model projections also indicate drying but less pronounced than that projected for the summer.</t>
  </si>
  <si>
    <t>[Mahlalela, P. T.; Blamey, R. C.; Reason, C. J. C.] Univ Cape Town, Dept Oceanog, Rondebosch, South Africa; [Hart, N. C. G.] Univ Oxford, OUCE, Oxford, England</t>
  </si>
  <si>
    <t>University of Cape Town; University of Oxford</t>
  </si>
  <si>
    <t>Reason, CJC (corresponding author), Univ Cape Town, Dept Oceanog, Rondebosch, South Africa.</t>
  </si>
  <si>
    <t>chris.reason@uct.ac.za</t>
  </si>
  <si>
    <t>Reason, Christopher/0000-0002-3224-5243; Mahlalela, Precious/0000-0002-8683-5847; Blamey, Ross/0000-0001-7941-326X; Hart, Neil/0000-0002-6902-8699</t>
  </si>
  <si>
    <t>South African National Antarctic Programme of the NRF; NERC [NE/M020223/1] Funding Source: UKRI</t>
  </si>
  <si>
    <t>South African National Antarctic Programme of the NRF; NERC(UK Research &amp; Innovation (UKRI)Natural Environment Research Council (NERC))</t>
  </si>
  <si>
    <t>The first author gratefully acknowledges the South African National Antarctic Programme of the NRF for partially funding her PhD research. The authors thank the South African Weather Service (SAWS) for providing rainfall data and Pierre Kloppers (CSAG, UCT) for assistance with data quality control. NCEP and OISST data were obtained from the NOAA/ESRL Physical Sciences Division, Boulder Colorado website at https://www.esrl.noaa.gov/psd/.Daily CHIRPS data have been downloaded from the Climate Hazards Group data website (https://www.chc.ucsb.edu/data/chirps).The Nino 3.4 index, SAM index and SIOD were downloaded from the KNMI Climate Explorer (https://climexp.knmi.nl).We also acknowledge the World Climate Research Programme's Working Group on Coupled Modelling responsible for CMIP5 model data, which was provided by the Program for Climate Model Diagnosis and Intercomparison (PCMDI; https://pcmdi.llnl.gov/).</t>
  </si>
  <si>
    <t>10.1007/s00382-020-05413-0</t>
  </si>
  <si>
    <t>NS0WQ</t>
  </si>
  <si>
    <t>WOS:000560087800003</t>
  </si>
  <si>
    <t>Frade, PR; Glasl, B; Matthews, SA; Mellin, C; Serrao, EA; Wolfe, K; Mumby, PJ; Webster, NS; Bourne, DG</t>
  </si>
  <si>
    <t>Frade, Pedro R.; Glasl, Bettina; Matthews, Samuel A.; Mellin, Camille; Serrao, Ester A.; Wolfe, Kennedy; Mumby, Peter J.; Webster, Nicole S.; Bourne, David G.</t>
  </si>
  <si>
    <t>Spatial patterns of microbial communities across surface waters of the Great Barrier Reef</t>
  </si>
  <si>
    <t>PHASE-SHIFTS; CORAL-REEFS; BACTERIOPLANKTON; PROCHLOROCOCCUS; LAGOON; PHYTOPLANKTON; BIOGEOGRAPHY; RESILIENCE; ENRICHMENT; NUTRIENTS</t>
  </si>
  <si>
    <t>Microorganisms are fundamental drivers of biogeochemical cycling, though their contribution to coral reef ecosystem functioning is poorly understood. Here, we infer predictors of bacterioplankton community dynamics across surface-waters of the Great Barrier Reef (GBR) through a meta-analysis, combining microbial with environmental data from the eReefs platform. Nutrient dynamics and temperature explained 41.4% of inter-seasonal and cross-shelf variation in bacterial assemblages. Bacterial families OCS155, Cryomorphaceae, Flavobacteriaceae, Synechococcaceae and Rhodobacteraceae dominated inshore reefs and their relative abundances positively correlated with nutrient loads. In contrast, Prochlorococcaceae negatively correlated with nutrients and became increasingly dominant towards outershelf reefs. Cyanobacteria in Prochlorococcaceae and Synechococcaceae families occupy complementary cross-shelf biogeochemical niches; their abundance ratios representing a potential indicator of GBR nutrient levels. One Flavobacteriaceae-affiliated taxa was putatively identified as diagnostic for ecosystem degradation. Establishing microbial observatories along GBR environmental gradients will facilitate robust assessments of microbial contributions to reef health and inform tipping-points in reef condition.</t>
  </si>
  <si>
    <t>[Frade, Pedro R.; Serrao, Ester A.] Univ Algarve, Ctr Marine Sci, Faro, Portugal; [Frade, Pedro R.; Glasl, Bettina; Bourne, David G.] James Cook Univ, Coll Sci &amp; Engn, Townsville, Qld, Australia; [Glasl, Bettina; Matthews, Samuel A.; Webster, Nicole S.; Bourne, David G.] Australian Inst Marine Sci, Townsville, Qld, Australia; [Matthews, Samuel A.] James Cook Univ, ARC Ctr Excellence Coral Reef Studies, Townsville, Qld, Australia; [Mellin, Camille] Univ Tasmania, Inst Marine &amp; Antarctic Studies, Hobart, Tas, Australia; [Mellin, Camille] Univ Adelaide, Environm Inst, Adelaide, SA, Australia; [Mellin, Camille] Univ Adelaide, Sch Biol Sci, Adelaide, SA, Australia; [Wolfe, Kennedy; Mumby, Peter J.] Univ Queensland, Sch Biol Sci, Marine Spatial Ecol Lab, St Lucia, Qld, Australia; [Wolfe, Kennedy; Mumby, Peter J.] Univ Queensland, ARC Ctr Excellence Coral Reef Studies, St Lucia, Qld, Australia; [Webster, Nicole S.] Univ Queensland, Australian Ctr Ecogen, Brisbane, Qld, Australia</t>
  </si>
  <si>
    <t>Universidade do Algarve; James Cook University; Australian Institute of Marine Science; James Cook University; University of Tasmania; University of Adelaide; University of Adelaide; University of Queensland; University of Queensland; University of Queensland</t>
  </si>
  <si>
    <t>Frade, PR (corresponding author), Univ Algarve, Ctr Marine Sci, Faro, Portugal.;Frade, PR (corresponding author), James Cook Univ, Coll Sci &amp; Engn, Townsville, Qld, Australia.</t>
  </si>
  <si>
    <t>pedro.frade@nhm-wien.ac.at</t>
  </si>
  <si>
    <t>Serrao, Ester A/C-6686-2012; Mumby, Peter/F-9914-2010; Bourne, David G/B-5073-2008; Webster, Nicole/G-4980-2011</t>
  </si>
  <si>
    <t>Serrao, Ester A/0000-0003-1316-658X; Wolfe, Kennedy/0000-0002-9502-6769; Webster, Nicole/0000-0002-4753-5278; Rodrigues Frade, Pedro/0000-0002-4010-255X; Mellin, Camille/0000-0002-7369-2349</t>
  </si>
  <si>
    <t>Australian Government's National Environmental Science Program (NESP) Tropical Water Quality Hub; Portuguese Science and Technology Foundation (FCT) [SFRH/BDP/110285/2015, SFRH/BSAB/150485/2019, UID/Multi/04326/2019]</t>
  </si>
  <si>
    <t>Australian Government's National Environmental Science Program (NESP) Tropical Water Quality Hub(Australian Government); Portuguese Science and Technology Foundation (FCT)(Fundacao para a Ciencia e a Tecnologia (FCT))</t>
  </si>
  <si>
    <t>We are grateful to Angus Thompson, Eric Lawrey and Barbara Robson from the Australian Institute of Marine Science for scientific advice on environmental variation across the GBR and the use of eReefs data; Florent Angly and the Australian Centre for Ecogenomics for access to sequencing data. This study was supported by funding from the Australian Government's National Environmental Science Program (NESP) Tropical Water Quality Hub. P.R.F. and E.A.S. were supported by the Portuguese Science and Technology Foundation (FCT) through fellowships SFRH/BDP/110285/2015, SFRH/BSAB/150485/2019 and UID/Multi/04326/2019 to Centre of Marine Sciences.</t>
  </si>
  <si>
    <t>10.1038/s42003-020-01166-y</t>
  </si>
  <si>
    <t>QI3YQ</t>
  </si>
  <si>
    <t>WOS:000618916900005</t>
  </si>
  <si>
    <t>Tan, YM; Dalby, O; Kendrick, GA; Statton, J; Sinclair, EA; Fraser, MW; Macreadie, PI; Gillies, CL; Coleman, RA; Waycott, M; van Dijk, KJ; Vergés, A; Ross, JD; Campbell, ML; Matheson, FE; Jackson, EL; Irving, AD; Govers, LL; Connolly, R; McLeod, IM; Rasheed, MA; Kirkman, H; Flindt, MR; Lange, T; Miller, AD; Sherman, CDH</t>
  </si>
  <si>
    <t>Tan, Yi Mei; Dalby, Oliver; Kendrick, Gary A.; Statton, John; Sinclair, Elizabeth A.; Fraser, Matthew W.; Macreadie, Peter, I; Gillies, Chris L.; Coleman, Rhys A.; Waycott, Michelle; van Dijk, Kor-jent; Verges, Adriana; Ross, Jeff D.; Campbell, Marnie L.; Matheson, Fleur E.; Jackson, Emma L.; Irving, Andrew D.; Govers, Laura L.; Connolly, Rod M.; McLeod, Ian M.; Rasheed, Michael A.; Kirkman, Hugh; Flindt, Mogens R.; Lange, Troels; Miller, Adam D.; Sherman, Craig D. H.</t>
  </si>
  <si>
    <t>Seagrass Restoration Is Possible: Insights and Lessons From Australia and New Zealand</t>
  </si>
  <si>
    <t>seagrass ecosystems; coastal; climate change; marine plants; restoration</t>
  </si>
  <si>
    <t>ZOSTERA-MARINA EELGRASS; ASSISTED GENE FLOW; POSIDONIA-AUSTRALIS; CLIMATE-CHANGE; ECOSYSTEM SERVICES; CONSERVING BIODIVERSITY; PHYSIOLOGICAL-RESPONSES; MANAGEMENT STRATEGIES; INTERTIDAL SEAGRASSES; VEGETATIVE FRAGMENTS</t>
  </si>
  <si>
    <t>Seagrasses are important marine ecosystems situated throughout the world's coastlines. They are facing declines around the world due to global and local threats such as rising ocean temperatures, coastal development and pollution from sewage outfalls and agriculture. Efforts have been made to reduce seagrass loss through reducing local and regional stressors, and through active restoration. Seagrass restoration is a rapidly maturing discipline, but improved restoration practices are needed to enhance the success of future programs. Major gaps in knowledge remain, however, prior research efforts have provided valuable insights into factors influencing the outcomes of restoration and there are now several examples of successful large-scale restoration programs. A variety of tools and techniques have recently been developed that will improve the efficiency, cost effectiveness, and scalability of restoration programs. This review describes several restoration successes in Australia and New Zealand, with a focus on emerging techniques for restoration, key considerations for future programs, and highlights the benefits of increased collaboration, Traditional Owner (First Nation) and stakeholder engagement. Combined, these lessons and emerging approaches show that seagrass restoration is possible, and efforts should be directed at upscaling seagrass restoration into the future. This is critical for the future conservation of this important ecosystem and the ecological and coastal communities they support.</t>
  </si>
  <si>
    <t>[Tan, Yi Mei; Dalby, Oliver; Miller, Adam D.; Sherman, Craig D. H.] Deakin Univ, Ctr Integrat Ecol, Sch Life &amp; Environm Sci, Geelong, Vic, Australia; [Kendrick, Gary A.; Statton, John; Sinclair, Elizabeth A.; Fraser, Matthew W.] Univ Western Australia, Sch Biol Sci, Crawley, WA, Australia; [Kendrick, Gary A.; Statton, John; Sinclair, Elizabeth A.; Fraser, Matthew W.] Univ Western Australia, Oceans Inst, Crawley, WA, Australia; [Sinclair, Elizabeth A.] Dept Biodivers Conservat &amp; Attract, Kings Pk Sci, Perth, WA, Australia; [Macreadie, Peter, I] Deakin Univ, Ctr Integrat Ecol, Sch Life &amp; Environm Sci, Burwood, Vic, Australia; [Gillies, Chris L.] Nature Conservancy, Carlton, Vic, Australia; [Gillies, Chris L.; McLeod, Ian M.; Rasheed, Michael A.] James Cook Univ, Ctr Trop Water &amp; Aquat Ecosyst Res TropWater, Douglas, Qld, Australia; [Coleman, Rhys A.] Melbourne Water Corp, Appl Res, Docklands, Vic, Australia; [Waycott, Michelle; van Dijk, Kor-jent] Univ Adelaide, Sch Biol Sci, Adelaide, SA, Australia; [Waycott, Michelle; van Dijk, Kor-jent] State Herbarium South Australia, Dept Environm &amp; Water, Adelaide, SA, Australia; [Verges, Adriana] Univ New South Wales, Evolut &amp; Ecol Res Ctr, Ctr Marine Sci &amp; Innovat, Sch Biol Earth &amp; Environm Sci, Sydney, NSW, Australia; [Verges, Adriana] Sydney Inst Marine Sci, Mosman, NSW, Australia; [Ross, Jeff D.] Univ Tasmania, Inst Marine &amp; Antarctic Studies, Hobart, Tas, Australia; [Campbell, Marnie L.] Univ Waikato, Environm Res Inst, Hamilton, New Zealand; [Campbell, Marnie L.] Murdoch Univ, Coll Sci Hlth Engn &amp; Educ, Murdoch, WA, Australia; [Matheson, Fleur E.] Natl Inst Water &amp; Atmospher Res, Hamilton, New Zealand; [Jackson, Emma L.; Irving, Andrew D.] Cent Queensland Univ, Coastal Marine Ecosyst Res Ctr, Gladstone, Qld, Australia; [Govers, Laura L.] Univ Groningen, Groningen Inst Evolutionary Life Sci, Conservat Ecol Grp, Groningen, Netherlands; [Govers, Laura L.] Royal Netherlands Inst Sea Res NIOZ, Dept Coastal Syst, Texel, Netherlands; [Connolly, Rod M.] Griffith Univ, Sch Environm &amp; Sci, Australian Rivers Inst Coasts &amp; Estuaries, Gold Coast, Qld, Australia; [Kirkman, Hugh] Western Port Seagrass Partnership, Mt Waverley, Vic, Australia; [Flindt, Mogens R.; Lange, Troels] Univ Southern Denmark, Dept Biol, Odense, Denmark; [Miller, Adam D.; Sherman, Craig D. H.] Deakin Univ, Deakin Genom Ctr, Geelong, Vic, Australia</t>
  </si>
  <si>
    <t>Deakin University; University of Western Australia; University of Western Australia; Deakin University; Nature Conservancy; James Cook University; University of Adelaide; University of New South Wales Sydney; Sydney Institute of Marine Science; University of Tasmania; University of Waikato; Murdoch University; National Institute of Water &amp; Atmospheric Research (NIWA) - New Zealand; Central Queensland University; University of Groningen; Utrecht University; Royal Netherlands Institute for Sea Research (NIOZ); Griffith University; Griffith University - Gold Coast Campus; University of Southern Denmark; Deakin University</t>
  </si>
  <si>
    <t>Sherman, CDH (corresponding author), Deakin Univ, Ctr Integrat Ecol, Sch Life &amp; Environm Sci, Geelong, Vic, Australia.;Sherman, CDH (corresponding author), Deakin Univ, Deakin Genom Ctr, Geelong, Vic, Australia.</t>
  </si>
  <si>
    <t>craig.sherman@deakin.edu.au</t>
  </si>
  <si>
    <t>Waycott, Michelle/AAR-8809-2021; Waycott, Michelle/JTU-3077-2023; Sinclair, Elizabeth A/B-1179-2011; Campbell, Mariel L/HTR-9392-2023; Rasheed, Michael Alan/ABA-7716-2020; Govers, Laura L/B-8838-2011; McLeod, Ian/J-9062-2014; Sherman, Craig/A-2484-2010; Connolly, Rod/C-4094-2008; Verges, Adriana/B-8288-2013</t>
  </si>
  <si>
    <t>Waycott, Michelle/0000-0002-0822-0564; Campbell, Mariel L/0000-0003-0536-5044; Rasheed, Michael Alan/0000-0002-8316-7644; Fraser, Matthew/0000-0003-2309-8074; McLeod, Ian/0000-0001-5375-4402; Kendrick, Gary/0000-0002-0276-6064; Tan, Yi Mei/0000-0001-9282-7918; Campbell, Marnie/0000-0002-8716-0036; Sherman, Craig/0000-0003-2099-0462; Flindt, Mogens R./0000-0003-0227-3304; Matheson, Fleur/0000-0002-8472-0704; Sinclair, Elizabeth/0000-0002-5789-8945; Statton, John/0000-0002-1956-9382; Connolly, Rod/0000-0001-6223-1291; Verges, Adriana/0000-0002-3507-1234</t>
  </si>
  <si>
    <t>Australian Government's National Environmental Science Program (NESP) Marine Biodiversity Hub; Australian Research Council [DP180100668]; Nature Conservancy; Marine Biodiversity Hub from the Australian Government's National Environmental Science Program (NESP) Marine Biodiversity Hub</t>
  </si>
  <si>
    <t>Australian Government's National Environmental Science Program (NESP) Marine Biodiversity Hub(Australian Government); Australian Research Council(Australian Research Council); Nature Conservancy; Marine Biodiversity Hub from the Australian Government's National Environmental Science Program (NESP) Marine Biodiversity Hub</t>
  </si>
  <si>
    <t>This manuscript was the result of two workshops, one conducted at Deakin University and a second at Department of Environment and Energy, Canberra, that was sponsored by the Australian Government's National Environmental Science Program (NESP) Marine Biodiversity Hub. ES was supported by an Australian Research Council grant to GK (DP180100668). This work was supported by The Nature Conservancy and the Marine Biodiversity Hub, a collaborative partnership supported through funding from the Australian Government's National Environmental Science Program (NESP) Marine Biodiversity Hub.</t>
  </si>
  <si>
    <t>10.3389/fmars.2020.00617</t>
  </si>
  <si>
    <t>NB7NT</t>
  </si>
  <si>
    <t>WOS:000560702000001</t>
  </si>
  <si>
    <t>Freer, JJ; Tarling, GA; Collins, MA; Partridge, JC; Genner, MJ</t>
  </si>
  <si>
    <t>Freer, Jennifer J.; Tarling, Geraint A.; Collins, Martin A.; Partridge, Julian C.; Genner, Martin J.</t>
  </si>
  <si>
    <t>Estimating circumpolar distributions of lanternfish using 2D and 3D ecological niche models</t>
  </si>
  <si>
    <t>3D modelling; Ecological niche model; Species distribution model; Biogeography; Lanternfish; Myctophidae; Mesopelagic; Southern Ocean</t>
  </si>
  <si>
    <t>SPECIES DISTRIBUTION MODELS; SAMPLE-SIZE; MESOPELAGIC FISH; MYCTOPHID FISH; SOUTH SHETLAND; NULL-MODEL; PERFORMANCE; KERGUELEN; WATERS; DIET</t>
  </si>
  <si>
    <t>Ecological niche models (ENMs) can be a practical approach for investigating distributions and habitat characteristics of pelagic species. In principle, to reflect the ecological niche of a species well, ENMs should incorporate environmental predictors that consider its full vertical habitat, yet examples of such models are rare. Here we present the first application of '3D' ENMs to 10 Southern Ocean lanternfish species. This 3D approach incorporates depth-specific environmental predictor data to identify the distribution of suitable habitat across multiple depth levels. Results were compared to those from the more common '2D' approach, which uses only environmental data from the sea surface. Measures of model discriminatory ability and overfitting indicated that 2D models often outperform 3D methods, even when accounting for reduced available sample size in the 3D models. Nevertheless, models for species with a known affinity for deeper habitat benefitted from the 3D approach, and our results suggest that species can track their ecological niche in latitude and depth leading to equatorward or poleward range extensions beyond that expected from incorporating only surface data. However, since 3D models require comprehensive depth-specific data, both data availability and the need for depth-specific model outputs must be considered when choosing the appropriate modelling approach. We advocate increased effort to include depth-resolved environmental parameters within marine ENMs. This will require collection of mesopelagic species occurrence data using appropriate temporal and depth-stratified methods, and inclusion of accurate depth information when occurrence records are submitted to global biodiversity databases.</t>
  </si>
  <si>
    <t>[Freer, Jennifer J.; Genner, Martin J.] Univ Bristol, Sch Biol Sci, 24 Tyndall Ave, Bristol BS8 1TQ, Avon, England; [Freer, Jennifer J.; Tarling, Geraint A.; Collins, Martin A.] NERC, British Antarctic Survey, Madingley Rd, Cambridge, England; [Partridge, Julian C.] Univ Western Australia, Oceans Inst, 35 Stirling Highway, Perth, WA 6009, Australia</t>
  </si>
  <si>
    <t>University of Bristol; UK Research &amp; Innovation (UKRI); Natural Environment Research Council (NERC); NERC British Antarctic Survey; University of Western Australia</t>
  </si>
  <si>
    <t>Freer, JJ (corresponding author), Univ Bristol, Sch Biol Sci, 24 Tyndall Ave, Bristol BS8 1TQ, Avon, England.;Freer, JJ (corresponding author), NERC, British Antarctic Survey, Madingley Rd, Cambridge, England.</t>
  </si>
  <si>
    <t>jenfree@bas.ac.uk</t>
  </si>
  <si>
    <t>, Martin/ABE-6728-2020; Partridge, Julian/F-2097-2014</t>
  </si>
  <si>
    <t>, Martin/0000-0001-7132-8650; Partridge, Julian/0000-0003-3788-2900; Freer, Jennifer/0000-0002-3947-9261</t>
  </si>
  <si>
    <t>Natural Environment Research Council [NE/L002434/1]; NERC [bas0100035] Funding Source: UKRI</t>
  </si>
  <si>
    <t>This work was supported by a Natural Environment Research Council studentship to J.J.F. [NE/L002434/1]. We acknowledge G. Duffy and S. Chown for providing their reproducible code which helped to match occurrence data to the correct vertical environmental layer. We extend our appreciation to all those who have contributed to and maintained the data used within GBIF, and to the anonymous reviewers for their insightful comments which greatly improved this manuscript.</t>
  </si>
  <si>
    <t>AUG 13</t>
  </si>
  <si>
    <t>10.3354/meps13384</t>
  </si>
  <si>
    <t>QL6YW</t>
  </si>
  <si>
    <t>WOS:000621231500013</t>
  </si>
  <si>
    <t>Ermilov, SG</t>
  </si>
  <si>
    <t>Ermilov, Sergey G.</t>
  </si>
  <si>
    <t>Contribution to the knowledge of the oribatid mite genus Eutegaeus (Acari, Oribatida, Eutegaeidae)</t>
  </si>
  <si>
    <t>eutegaeid mites; morphology; new species; systematics; ontogeny; juvenile instars; Neotropical region</t>
  </si>
  <si>
    <t>The genus Eutegaeus (Oribatida, Eutegaeidae) comprises 13 species, which are distributed in the Australian, Neotropical and Antarctic regions; of these, two new species are described from litter in the relictual Valdivian forest of Chile. Eutegaeus parapapuaensis sp. nov. (description based on the adult and tritonymph) differs from Eutegaeus papuensis Aoki, 1964 by the absence of translamella, intabothridial tubercles. notogastral setae h(3) and epimeral setae 3a. Eutegaeus paralagrecai sp. nov. (description based on the adult and proto-, deuto- and tritonymph) differs from Eutegaeus lagrecai Arcidiacono, 1993 by the presence of lanceolate bothridial setae and long notogastral setae p(1), and the absence of striate ornamentation on the notogaster. A revised generic diagnosis and an identification key to known species of Eutegaeus are presented. Nymphs of Eutegaeus and related genera in Eutegaeoidea are compared.</t>
  </si>
  <si>
    <t>[Ermilov, Sergey G.] Tyumen State Univ, Inst Environm &amp; Agr Biol X BIO, Tyumen, Russia</t>
  </si>
  <si>
    <t>Tyumen State University</t>
  </si>
  <si>
    <t>Ermilov, SG (corresponding author), Tyumen State Univ, Inst Environm &amp; Agr Biol X BIO, Tyumen, Russia.</t>
  </si>
  <si>
    <t>ermilovacari@yandex.ru</t>
  </si>
  <si>
    <t>10.11646/zootaxa.4830.2.6</t>
  </si>
  <si>
    <t>NU8TT</t>
  </si>
  <si>
    <t>WOS:000573911000006</t>
  </si>
  <si>
    <t>Klobas, JE; Weisenstein, DK; Salawitch, RJ; Wilmouth, DM</t>
  </si>
  <si>
    <t>Klobas, J. Eric; Weisenstein, Debra K.; Salawitch, Ross J.; Wilmouth, David M.</t>
  </si>
  <si>
    <t>Reformulating the bromine alpha factor and equivalent effective stratospheric chlorine (EESC): evolution of ozone destruction rates of bromine and chlorine in future climate scenarios</t>
  </si>
  <si>
    <t>ANTARCTIC OZONE; 2-DIMENSIONAL MODEL; RETURN DATES; DEPLETION; FORMULATION; CHEMISTRY; RECOVERY; LAYER</t>
  </si>
  <si>
    <t>Future trajectories of the stratospheric trace gas background will alter the rates of bromine- and chlorine-mediated catalytic ozone destruction via changes in the partitioning of inorganic halogen reservoirs and the underlying temperature structure of the stratosphere. The current formulation of the bromine alpha factor, the ozone-destroying power of stratospheric bromine atoms relative to stratospheric chlorine atoms, is invariant with the climate state. Here, we refactor the bromine alpha factor, introducing normalization to a benchmark chemistry-climate state, and formulate Equivalent Effective Stratospheric Benchmark-normalized Chlorine (EESBnC) to reflect changes in the rates of both bromine- and chlorine-mediated ozone loss catalysis with time. We show that the ozone-processing power of the extrapolar stratosphere is significantly perturbed by future climate assumptions. Furthermore, we show that our EESBnC-based estimate of the extrapolar ozone recovery date is in closer agreement with extrapolar ozone recovery dates predicted using more sophisticated 3-D chemistry-climate models than predictions made using equivalent effective stratospheric chlorine (EESC).</t>
  </si>
  <si>
    <t>[Klobas, J. Eric; Weisenstein, Debra K.; Wilmouth, David M.] Harvard Univ, Harvard John A Paulson Sch Engn &amp; Appl Sci, Cambridge, MA 02138 USA; [Salawitch, Ross J.] Univ Maryland, Dept Chem &amp; Biochem, Dept Atmospher &amp; Ocean Sci, College Pk, MD 20742 USA; [Salawitch, Ross J.] Univ Maryland, Earth Syst Sci Interdisciplinary Ctr, College Pk, MD 20742 USA</t>
  </si>
  <si>
    <t>Harvard University; University System of Maryland; University of Maryland College Park; University System of Maryland; University of Maryland College Park</t>
  </si>
  <si>
    <t>Klobas, JE (corresponding author), Harvard Univ, Harvard John A Paulson Sch Engn &amp; Appl Sci, Cambridge, MA 02138 USA.</t>
  </si>
  <si>
    <t>klobas@huarp.harvard.edu</t>
  </si>
  <si>
    <t>Salawitch, Ross/B-4605-2009</t>
  </si>
  <si>
    <t>Klobas, J./0000-0002-7732-4287</t>
  </si>
  <si>
    <t>National Science Foundation, Division of Atmospheric and Geospace Sciences [1764171]; National Aeronautics and Space Administration - Atmospheric Composition and Modeling Program (ACMAP) [80NSSC19K0983]; Div Atmospheric &amp; Geospace Sciences; Directorate For Geosciences [1764171] Funding Source: National Science Foundation</t>
  </si>
  <si>
    <t>National Science Foundation, Division of Atmospheric and Geospace Sciences(National Science Foundation (NSF)); National Aeronautics and Space Administration - Atmospheric Composition and Modeling Program (ACMAP); Div Atmospheric &amp; Geospace Sciences; Directorate For Geosciences(National Science Foundation (NSF)NSF - Directorate for Geosciences (GEO))</t>
  </si>
  <si>
    <t>This research has been supported by the National Science Foundation, Division of Atmospheric and Geospace Sciences (grant no. 1764171) and the National Aeronautics and Space Administration - Atmospheric Composition and Modeling Program (ACMAP) (grant no. 80NSSC19K0983).</t>
  </si>
  <si>
    <t>10.5194/acp-20-9459-2020</t>
  </si>
  <si>
    <t>ND8MB</t>
  </si>
  <si>
    <t>WOS:000562155800001</t>
  </si>
  <si>
    <t>Pinheiro, AP; Saraiva, AAF; Santana, W; Sayao, JM; Figueiredo, RG; Rodrigues, T; Weinschütz, LC; Ponciano, LCMD; Kellner, AWA</t>
  </si>
  <si>
    <t>Pinheiro, Allysson P.; Feitosa Saraiva, Antonio Alamo; Santana, William; Sayao, Juliana Manso; Figueiredo, Rodrigo Giesta; Rodrigues, Taissa; Weinschutz, Luiz Carlos; Martins de Oliveira Ponciano, Luiza Corral; Armin Kellner, Alexander Wilhelm</t>
  </si>
  <si>
    <t>New Antarctic clawed lobster species (Crustacea: Decapoda: Nephropidae) from the Upper Cretaceous of James Ross Island</t>
  </si>
  <si>
    <t>Astacidea; Hoploparia; Metanephrops; Nephropoidea; Marambio Group</t>
  </si>
  <si>
    <t>PALEOENVIRONMENTAL CHANGES; SEYMOUR ISLAND; FOSSIL RECORD; HOPLOPARIA; STRATIGRAPHY; EVOLUTION; BASIN; PALEOCENE; DIVERSITY; PATTERNS</t>
  </si>
  <si>
    <t>A new species of nephropid lobster, Hoploparia echinata sp. nov., from the James Ross Island in the Antarctic Peninsula is here described and illustrated. The material was collected in the Santa Marta Formation (Santonian-Campanian), the basal unit of the Marambio Group, Larsen Basin, located in the western portion of the Antarctic Peninsula. Hoploparia echinata sp. nov. can easily be differentiated from its congeners by the presence of distinct short spines on dorsal and ventral margins on the third maxillipeds, merus of the chelipeds and pereopods; these are the characters not described in other Hoploparia species so far.</t>
  </si>
  <si>
    <t>[Pinheiro, Allysson P.; Santana, William] Univ Reg Cariri, Lab Crustaceos Semiarido, Crato, CE, Brazil; [Pinheiro, Allysson P.; Feitosa Saraiva, Antonio Alamo; Santana, William] Univ Sagrado Coracao, Lab Systemat Zool, Proreitoria Pesquisa Posgrad, Rua Irma Arminda 10-50, BR-17011160 Bauru, SP, Brazil; [Feitosa Saraiva, Antonio Alamo] Univ Reg Cariri, Lab Paleontol, Crato, CE, Brazil; [Sayao, Juliana Manso] Univ Fed Rio de Janeiro, Museu Nacl, Lab Paleobiol &amp; Paleogeog Antartica, Rio De Janeiro, RJ, Brazil; [Figueiredo, Rodrigo Giesta] Univ Fed Espirito Santo, Dept Biol, Alegre, ES, Brazil; [Rodrigues, Taissa] Univ Fed Espirito Santo, Ctr Ciencias Humanas &amp; Nat, Dept Ciencias Biol, Lab Paleontol, Vitoria, ES, Brazil; [Weinschutz, Luiz Carlos] Univ Contestado, Ctr Paleontol, Mafra, SC, Brazil; [Martins de Oliveira Ponciano, Luiza Corral] Univ Fed Estado Rio de Janeiro, Dept Ciencias Nat, Lab Tafon &amp; Paleoecol Aplicadas, Rio De Janeiro, Brazil; [Armin Kellner, Alexander Wilhelm] Univ Fed Rio de Janeiro, Lab Systemat &amp; Taphon Fossil Vertebrates, Dept Geol &amp; Paleontol, Museu Nacl, Rio De Janeiro, RJ, Brazil</t>
  </si>
  <si>
    <t>Universidade Regional do Cariri; Universidade do Sagrado Coracao; Universidade Regional do Cariri; Universidade Federal do Rio de Janeiro; Universidade Federal do Espirito Santo; Universidade Federal do Espirito Santo; Universidade do Contestado; Universidade Federal do Estado do Rio de Janeiro; Universidade Federal do Rio de Janeiro</t>
  </si>
  <si>
    <t>Santana, W (corresponding author), Univ Sagrado Coracao, Lab Systemat Zool, Proreitoria Pesquisa Posgrad, Rua Irma Arminda 10-50, BR-17011160 Bauru, SP, Brazil.</t>
  </si>
  <si>
    <t>willsantana@gmail.com</t>
  </si>
  <si>
    <t>Pinheiro, Allysson/AAH-1785-2020; Kellner, Alexander/ABE-9591-2020; Rodrigues, Taissa/H-1220-2012; Saraiva, António/HPD-3031-2023; Saraiva, Antonio/K-6211-2015; Santana, William/A-4611-2008</t>
  </si>
  <si>
    <t>Pinheiro, Allysson/0000-0003-1565-6371; Kellner, Alexander/0000-0001-7174-9447; Rodrigues, Taissa/0000-0001-7918-1358; Saraiva, Antonio/0000-0003-0127-8912; Santana, William/0000-0003-3086-4419; Sayao, juliana/0000-0002-3619-0323</t>
  </si>
  <si>
    <t>PROANTAR (CNPq) [407670/2013-442677/2018-9]; Conselho Nacional de Desenvolvimento Cientifico e Tecnologico (CNPq) [420687/2016-5-313461/2018-0, 312360/2018-5, 311715/2017-6]; Fundacao Carlos Chagas Filho de Amparo a Pesquisa do Estado do Rio de Janeiro (FAPERJ) [E-26/202.905/2018]; Coordenacao de Aperfeicoamento de Pessoal de Nivel Superior, Brasil [001, 88887.169169/2018-00, 775705/2012]</t>
  </si>
  <si>
    <t>PROANTAR (CNPq)(Conselho Nacional de Desenvolvimento Cientifico e Tecnologico (CNPQ)); Conselho Nacional de Desenvolvimento Cientifico e Tecnologico (CNPq)(Conselho Nacional de Desenvolvimento Cientifico e Tecnologico (CNPQ)); Fundacao Carlos Chagas Filho de Amparo a Pesquisa do Estado do Rio de Janeiro (FAPERJ)(Fundacao Carlos Chagas Filho de Amparo a Pesquisa do Estado do Rio De Janeiro (FAPERJ)); Coordenacao de Aperfeicoamento de Pessoal de Nivel Superior, Brasil(Coordenacao de Aperfeicoamento de Pessoal de Nivel Superior (CAPES))</t>
  </si>
  <si>
    <t>This study was supported by PROANTAR (CNPq no. 407670/2013-442677/2018-9 to AWAK), Conselho Nacional de Desenvolvimento Cientifico e Tecnologico (CNPq no. 420687/2016-5-313461/2018-0 to AWAK; no. 312360/2018-5 to TR; no. 311715/2017-6 to JMS), Fundacao Carlos Chagas Filho de Amparo a Pesquisa do Estado do Rio de Janeiro (FAPERJ no. E-26/202.905/2018 to AWAK) and Coordenacao de Aperfeicoamento de Pessoal de Nivel Superior, Brasil, finance code 001 (fellowship no. 88887.169169/2018-00 to WS and grant Proequipamentos no. 775705/2012 to APP).</t>
  </si>
  <si>
    <t>10.33265/polar.v39.3727</t>
  </si>
  <si>
    <t>NA6WT</t>
  </si>
  <si>
    <t>WOS:000559959700001</t>
  </si>
  <si>
    <t>Kerkar, AU; Tripathy, SC; Minu, P; Baranval, N; Sabu, P; Patra, S; Mishra, RK; Sarkar, A</t>
  </si>
  <si>
    <t>Kerkar, Anvita U.; Tripathy, S. C.; Minu, P.; Baranval, N.; Sabu, P.; Patra, S.; Mishra, R. K.; Sarkar, A.</t>
  </si>
  <si>
    <t>Variability in primary productivity and bio-optical properties in the Indian sector of the Southern Ocean during an austral summer</t>
  </si>
  <si>
    <t>Light absorption; Package effect; Photosynthetic parameters; Phytoplankton productivity; Southern ocean</t>
  </si>
  <si>
    <t>COMMUNITY SIZE STRUCTURE; SPECTRAL ABSORPTION-COEFFICIENTS; SUBSURFACE CHLOROPHYLL MAXIMUM; ANTARCTIC POLAR FRONT; NITROGEN UPTAKE RATES; WESTERN ARCTIC-OCEAN; LIGHT-ABSORPTION; PHYTOPLANKTON PHOTOSYNTHESIS; ACTIVE FLUORESCENCE; SUSPENDED PARTICLES</t>
  </si>
  <si>
    <t>The Southern Ocean (SO), in spite of its major contribution to global primary productivity (PP), remains underexplored in this aspect. Light being the most limiting parameter affecting primary production, it is crucial to study the ambient light field to understand PP and associated processes. The current study makes a dual effort to present PP estimates as well as understand the bio-optical variability in the Indian sector of the Southern Ocean (ISSO). Results suggest that PP was highest at Sub-Tropical Front (STF) and lowest at Polar Front-2 (PF2). Most PP profiles were characterized by subsurface maxima, indicating probable photoinhibition or micronutrient limitation at surface layer. Strong correlation between measured and satellite-based integrated PP (R-2 = 0.94,RMSE = 77.48,p &lt; 0.01) indicated the efficacy of global models in their original formulation in bio-optically complex SO waters. The maximum photochemical efficiency of phytoplankton (F-v/F-m) measured by fast repetition rate fluorometry varied from 0.1-0.4, implying reduced phytoplankton photosynthetic efficiency in ISSO. The ratio between remote sensing reflectance (R-rs)-derived phytoplankton absorption (a(ph)) at blue-red band (B/R ratio) indicated dominance of smaller phytoplankton in surface and larger phytoplankton at subsurface. Higher Chl-a specific phytoplankton absorption (aph*) than phytoplankton absorption (a(ph)) suggested an adaptation of dominant phytoplankton species to low light, yet a better light harvest efficiency. However, low contribution ofa(ph)suggested a strong influence of non-phytoplankton materials to the total absorption budget. We therefore infer that, the surrounding physical environment in terms of nutrients and bio-optical variability modulated phytoplankton size class and thereby productivity more critically in the surface than in the deeper layers of ISSO.</t>
  </si>
  <si>
    <t>[Kerkar, Anvita U.; Tripathy, S. C.; Sabu, P.; Mishra, R. K.; Sarkar, A.] Minist Earth Sci, Natl Ctr Polar &amp; Ocean Res NCPOR, Vasco Da Gama 403804, Goa, India; [Minu, P.] Cent Inst Fisheries Technol, ICAR, Kochi 682029, Kerala, India; [Baranval, N.] ISRO, Natl Remote Sensing Ctr, Hyderabad 500037, India; [Patra, S.] Minist Earth Sci, Natl Ctr Coastal Res, NIOT Campus, Chennai 600100, Tamil Nadu, India; [Kerkar, Anvita U.] Goa Univ, Sch Earth Ocean &amp; Atmospher Sci, Taleigao Plateau 403206, Goa, India; [Sarkar, A.] Kuwait Inst Sci Res Ctr, Environm &amp; Life Sci Res Ctr, Al Jaheth St, Shuwaikh 13109, Kuwait</t>
  </si>
  <si>
    <t>Ministry of Earth Sciences (MoES) - India; National Centre for Polar and Ocean Research (NCPOR); Indian Council of Agricultural Research (ICAR); ICAR - Central Institute of Fisheries Technology; Department of Space (DoS), Government of India; Indian Space Research Organisation (ISRO); National Remote Sensing Centre (NRSC); Ministry of Earth Sciences (MoES) - India; National Centre for Coastal Research (NCCR); Goa University</t>
  </si>
  <si>
    <t>Tripathy, SC (corresponding author), Minist Earth Sci, Natl Ctr Polar &amp; Ocean Res NCPOR, Vasco Da Gama 403804, Goa, India.</t>
  </si>
  <si>
    <t>sarat@ncpor.res.in</t>
  </si>
  <si>
    <t>Kerkar, Anvita/HLG-7680-2023; Minu, P/AAD-9448-2019</t>
  </si>
  <si>
    <t>Baranval, Nikhil Kumar/0000-0001-6793-173X; Tripathy, Dr. Sarat Chandra/0000-0002-2437-8660</t>
  </si>
  <si>
    <t>Ministry of Earth Sciences, Government of India; Department of Science and Technology, Government of India</t>
  </si>
  <si>
    <t>Ministry of Earth Sciences, Government of India(Ministry of Earth Science (MoES), Government of India); Department of Science and Technology, Government of India(Department of Science &amp; Technology (India))</t>
  </si>
  <si>
    <t>The authors thank Ministry of Earth Sciences, Government of India for financial support. Our thanks are also due to the Director, National Centre for Polar and Ocean Research (NCPOR) for constant encouragement. We thank the captain, officers and all the crew members of ORV-Sagar Nidhi for their invaluable help during the expedition. We are grateful to Dr. David Hughes for his valuable suggestions about interpretation of the FRRf data, Dr. Jill Schwarz and the anonymous reviewer for their insightful suggestions that led to an overall improvement of the manuscript. Ms. Anvita Ulhas Kerkar is grateful to the Department of Science and Technology, Government of India for DST-INSPIRE doctoral research fellowship and Goa University, Goa for research administrative facilities. This is NCPOR Contribution Number J-43/2020-21.</t>
  </si>
  <si>
    <t>10.1007/s00300-020-02722-2</t>
  </si>
  <si>
    <t>WOS:000559513300001</t>
  </si>
  <si>
    <t>Han, GQ; Ma, ZM; Slangen, ABA</t>
  </si>
  <si>
    <t>Han, Guoqi; Ma, Zhimin; Slangen, Aimee B. A.</t>
  </si>
  <si>
    <t>Scenarios of Twenty-First Century Mean Sea Level Rise at Tide-Gauge Stations Across Canada</t>
  </si>
  <si>
    <t>ATMOSPHERE-OCEAN</t>
  </si>
  <si>
    <t>sea level rise; scenarios; local sea level projections; vertical land motion; global positioning systems data</t>
  </si>
  <si>
    <t>MASS-BALANCE; CLIMATE; UNCERTAINTY; PROJECTIONS; 20TH-CENTURY; ANTARCTICA; GENERATION; GREENLAND; SURFACE</t>
  </si>
  <si>
    <t>Existing scientific literature and international assessments, such as those by the Intergovernmental Panel on Climate Change, provide a wide range of projections for global mean sea level rise (SLR) in the twenty-first century. At the local scale, the ranges or uncertainties of projections are even larger. There is a pressing need to compile plausible local SLR scenarios to aid coastal communities with adaptation. Here we develop three local SLR scenarios for Canadian tide-gauge stations for the twenty-first century (Low, Intermediate, and High). Our Low Scenario is based on projections under the Representative Concentration Pathway 4.5 (RCP4.5) scaled down to the present global SLR rate. Our Intermediate Scenario is based on projections under the Representative Concentration Pathway 8.5 (RCP8.5), and our High Scenario is based on the RCP8.5 projections with an adjusted contribution from the Antarctic ice sheet. For all three scenarios, we use vertical land motion (VLM) from global positioning systems (GPS) data corrected for the present-day melt of glaciers and ice sheets instead of the commonly used VLM from a glacial isostatic adjustment (GIA) model. The GPS data include not only GIA but also other processes affecting VLM. For each scenario, larger SLR is projected along the southeastern Atlantic coast, the Pacific coast, and the Beaufort Sea coast than along other Canadian coasts in the twenty-first century. Under the Low, Intermediate, and High Scenarios, the median relative sea level along the southeastern Atlantic coast may rise by as much as 0.35, 0.82, and 0.96 m, respectively, over 2010-2100. The proposed scenarios allow coastal engineers and managers to consider multiple future conditions and develop multiple response options, as well as choose the most suitable option according to the risk tolerance of infrastructure.</t>
  </si>
  <si>
    <t>[Han, Guoqi] Fisheries &amp; Oceans Canada, Canada Northwest Atlantic Fisheries Ctr, Sidney, BC, Canada; [Han, Guoqi; Ma, Zhimin] Fisheries &amp; Oceans Canada, Northwest Atlantic Fisheries Ctr, St John, NF, Canada; [Slangen, Aimee B. A.] Univ Utrecht, Royal Netherlands Inst Sea Res NIOZ, Dept Estuarine &amp; Delta Syst, Yerseke, Netherlands</t>
  </si>
  <si>
    <t>Fisheries &amp; Oceans Canada; Fisheries &amp; Oceans Canada; Utrecht University; Royal Netherlands Institute for Sea Research (NIOZ)</t>
  </si>
  <si>
    <t>Han, GQ (corresponding author), Fisheries &amp; Oceans Canada, Canada Northwest Atlantic Fisheries Ctr, Sidney, BC, Canada.;Han, GQ (corresponding author), Fisheries &amp; Oceans Canada, Northwest Atlantic Fisheries Ctr, St John, NF, Canada.</t>
  </si>
  <si>
    <t>Guoqi.Han@dfo-mpo.gc.ca</t>
  </si>
  <si>
    <t>Slangen, Aimee B. A./H-5839-2015; Han, Guoqi/T-7365-2019</t>
  </si>
  <si>
    <t>ACCASP of Fisheries and Oceans Canada</t>
  </si>
  <si>
    <t>The work is part of a project funded by the ACCASP of Fisheries and Oceans Canada.</t>
  </si>
  <si>
    <t>0705-5900</t>
  </si>
  <si>
    <t>1480-9214</t>
  </si>
  <si>
    <t>ATMOS OCEAN</t>
  </si>
  <si>
    <t>Atmos.-Ocean</t>
  </si>
  <si>
    <t>AUG 7</t>
  </si>
  <si>
    <t>10.1080/07055900.2020.1792404</t>
  </si>
  <si>
    <t>OL8ZI</t>
  </si>
  <si>
    <t>WOS:000558954100001</t>
  </si>
  <si>
    <t>Paine, ER; Schmid, M; Revill, AT; Hurd, CL</t>
  </si>
  <si>
    <t>Paine, Ellie R.; Schmid, Matthias; Revill, Andrew T.; Hurd, Catriona L.</t>
  </si>
  <si>
    <t>Light regulates inorganic nitrogen uptake and storage, but not nitrate assimilation, by the red macroalgaHemineura frondosa(Rhodophyta)</t>
  </si>
  <si>
    <t>EUROPEAN JOURNAL OF PHYCOLOGY</t>
  </si>
  <si>
    <t>Ammonium; Hemineura frondosa; irradiance; nitrate; nitrate reductase; nitrogen uptake; Rhodophyta</t>
  </si>
  <si>
    <t>GRACILARIA-PACIFICA RHODOPHYTA; ULVA-FENESTRATA CHLOROPHYTA; REDUCTASE-ACTIVITY; PHOTOSYNTHETIC PIGMENTS; AMMONIUM UPTAKE; IN-VITRO; BIOCHEMICAL-COMPOSITION; INTERTIDAL SEAWEEDS; CHAETOMORPHA-LINUM; LAMINARIA-DIGITATA</t>
  </si>
  <si>
    <t>Macroalgal growth in temperate coastal ecosystems is primarily regulated by light and inorganic nitrogen availability. The effect of light (photon irradiance) on NO(3)(-)and NH(4)(+)uptake, and NO(3)(-)assimilation, were studied in the red macroalga,Hemineura frondosa, which does not operate a carbon concentrating mechanism (non-CCM). Non-CCM macroalgae grow in low and high light environments but become increasingly dominant with depth, suggesting a mechanism for 'preserving energy' under low light levels.H. frondosawas acclimated to limiting (30 mu mol photons m(-)(2)s(-)(1)) and saturating (150 mu mol photons m(-)(2)s(-1)) irradiances for 8 days. Then, NO(3)(-)and NH(4)(+)uptake rates were measured under limiting and saturating irradiances at six concentrations ranging from 2-64 mu M. NO(3)(-)uptake did not follow saturating uptake kinetics at both irradiances suggesting multiple uptake mechanisms. NH(4)(+)uptake saturated at concentrations &lt;32 mu M under limiting but not under saturating irradiance. Saturating irradiance resulted in greater maximum uptake rates of both NO(3)(-)and NH4+. There was no evidence that irradiance regulated NO(3)(-)reduction by nitrate reductase. Also illustrated is the importance of measuring nitrate reductase activity on fresh material, as freezing in liquid nitrogen and storage at -80 degrees C for 7 days caused a 65% decline in activity. Photosynthetic pigments, soluble tissue nitrogen and % total tissue nitrogen were all higher in limiting irradiance. In this first study of the nitrogen physiology of a non-CCM seaweed, we show that light regulates NO(3)(-)and NH(4)(+)uptake but not NO(3)(-)assimilation.</t>
  </si>
  <si>
    <t>[Paine, Ellie R.; Schmid, Matthias; Hurd, Catriona L.] Univ Tasmania, Inst Marine &amp; Antarctic Studies, Hobart, Tas 7001, Australia; [Revill, Andrew T.] CSIRO Oceans &amp; Atmosphere, Hobart, Tas 7001, Australia</t>
  </si>
  <si>
    <t>University of Tasmania; Commonwealth Scientific &amp; Industrial Research Organisation (CSIRO)</t>
  </si>
  <si>
    <t>Paine, ER (corresponding author), Univ Tasmania, Inst Marine &amp; Antarctic Studies, Hobart, Tas 7001, Australia.</t>
  </si>
  <si>
    <t>ellie.paine@utas.edu.au</t>
  </si>
  <si>
    <t>Revill, Andrew T/B-8733-2011; Hurd, Catriona/J-2411-2013</t>
  </si>
  <si>
    <t>Paine, Ellie/0000-0003-2816-9521; Hurd, Catriona/0000-0001-9965-4917</t>
  </si>
  <si>
    <t>Deutsche Forschungsgemeinschaft (DFG) [SCHM 3335/1-1]</t>
  </si>
  <si>
    <t>Deutsche Forschungsgemeinschaft (DFG)(German Research Foundation (DFG))</t>
  </si>
  <si>
    <t>Matthias Schmid was funded through the Deutsche Forschungsgemeinschaft (DFG, grant ID: SCHM 3335/1-1).</t>
  </si>
  <si>
    <t>0967-0262</t>
  </si>
  <si>
    <t>1469-4433</t>
  </si>
  <si>
    <t>EUR J PHYCOL</t>
  </si>
  <si>
    <t>Eur. J. Phycol.</t>
  </si>
  <si>
    <t>APR 3</t>
  </si>
  <si>
    <t>10.1080/09670262.2020.1786858</t>
  </si>
  <si>
    <t>SB4OT</t>
  </si>
  <si>
    <t>WOS:000557957000001</t>
  </si>
  <si>
    <t>What's the catch? Profiling the benefits and costs associated with marine protected areas and displaced fishing in the Scotia Sea</t>
  </si>
  <si>
    <t>ECOSYSTEM-BASED MANAGEMENT; KRILL FISHERY; RESERVES; DYNAMICS; MODEL; IMPLEMENTATION; CONSEQUENCES; PARAMETERS; NETWORKS; BEHAVIOR</t>
  </si>
  <si>
    <t>Both costs and benefits must be considered when implementing marine protected areas (MPAs), particularly those associated with fishing effort displaced by potential closures. The Southern Ocean offers a case study in understanding such tradeoffs, where MPAs are actively being discussed to achieve a range of protection and sustainable use objectives. Here, we evaluated the possible impacts of two MPA scenarios on the Antarctic krill (Euphausia superba) fishery and krill-dependent predators in the Scotia Sea, explicitly addressing the displacement of fishing from closed areas. For both scenarios, we employed a minimally realistic, spatially explicit ecosystem model and considered three alternative redistributions of displaced fishing. We projected both MPAs to provide positive outcomes for many krill-dependent predators, especially when closed areas included at least 50-75% of their foraging distributions. Further, differences between the scenarios suggest ways to improve seal and penguin protection in the Scotia Sea. MPA scenarios also projected increases in total fishery yields, but alongside risks of fishing in areas where relatively low krill densities could cause the fishery to suspend operations. The three alternatives for redistributing displaced fishing had little effect on benefits to predators, but did matter for the fishery, with greater differences in overall catch and risk of fishing in areas of low krill density when displaced fishing was redistributed evenly among the open areas. Collectively, results suggest a well-designed MPA in the Scotia Sea may protect krill-dependent predators, even with displaced fishing, and preclude further spatial management of the krill fishery outside the MPA. More broadly, outcomes denote the importance of delineating fishing and predator habitat, spatial scales, and the critical trade-offs inherent in MPA development.</t>
  </si>
  <si>
    <t>[Klein, Emily S.; Watters, George M.] Natl Marine Fisheries Serv, Antarctic Ecosyst Res Div, Southwest Fisheries Sci Ctr, NOAA, La Jolla, CA 92038 USA; [Klein, Emily S.] Farallon Inst, Petaluma, CA 94952 USA; [Klein, Emily S.] Boston Univ, Frederick S Pardee Ctr Study Longer Range Future, Boston, MA 02215 USA</t>
  </si>
  <si>
    <t>Klein, ES (corresponding author), Natl Marine Fisheries Serv, Antarctic Ecosyst Res Div, Southwest Fisheries Sci Ctr, NOAA, La Jolla, CA 92038 USA.;Klein, ES (corresponding author), Farallon Inst, Petaluma, CA 94952 USA.;Klein, ES (corresponding author), Boston Univ, Frederick S Pardee Ctr Study Longer Range Future, Boston, MA 02215 USA.</t>
  </si>
  <si>
    <t>emily.klein04@gmail.com</t>
  </si>
  <si>
    <t>Pew Charitable Trusts [30313]</t>
  </si>
  <si>
    <t>EK was supported by funding from the Pew Charitable Trusts, contract ID #30313. This funder had no role in study design, data collection and analysis, or preparation of the manuscript. Publication under peer review was a requirement of this funding source, although the funder did not take part in deciding where this manuscript would be submitted.</t>
  </si>
  <si>
    <t>AUG 12</t>
  </si>
  <si>
    <t>e0237425</t>
  </si>
  <si>
    <t>10.1371/journal.pone.0237425</t>
  </si>
  <si>
    <t>ND3HD</t>
  </si>
  <si>
    <t>WOS:000561793900019</t>
  </si>
  <si>
    <t>Perkins, NR; Hosack, GR; Foster, SD; Monk, J; Barrett, NS</t>
  </si>
  <si>
    <t>Perkins, Nicholas R.; Hosack, Geoffrey R.; Foster, Scott D.; Monk, Jacquomo; Barrett, Neville S.</t>
  </si>
  <si>
    <t>Monitoring the resilience of a no-take marine reserve to a range extending species using benthic imagery</t>
  </si>
  <si>
    <t>SPATIAL AUTOCORRELATION; PROTECTED AREAS; CLIMATE-CHANGE; REEF</t>
  </si>
  <si>
    <t>Global climate change is driving the redistribution of marine species and thereby potentially restructuring endemic communities. Understanding how localised conservation measures such as protection from additional human pressures can confer resilience to ecosystems is therefore an important area of research. Here, we examine the resilience of a no-take marine reserve (NTR) to the establishment of urchin barrens habitat. The barrens habitat is created through overgrazing of kelp by an invading urchin species that is expanding its range within a hotspot of rapid climate change. In our study region, a multi-year monitoring program provides a unique time-series of benthic imagery collected by an Autonomous Underwater Vehicle (AUV) within an NTR and nearby reference areas. We use a Bayesian hierarchical spatio-temporal modelling approach to estimate whether the NTR is associated with reduced formation of urchin barrens, and thereby enhances local resilience. Our approach controls for the important environmental covariates of depth and habitat complexity (quantified as rugosity derived from multibeam sonar mapping), as well as spatial and temporal dependence. We find evidence for the NTR conferring resilience with a strong reserve effect that suggests improved resistance to the establishment of barrens. However, we find a concerning and consistent trajectory of increasing barrens cover in both the reference areas and the NTR, with the odds of barrens increasing by approximately 32% per year. Thus, whereas the reserve is demonstrating resilience to the initial establishment of barrens, there is currently no evidence of recovery once barrens are established. We also find that depth and rugosity covariates derived from multibeam mapping provide useful predictors for barrens occurrence. These results have important management implications as they demonstrate: (i) the importance of monitoring programs to inform adaptive management; (ii) that NTRs provide a potential local conservation management tool under climate change impacts, and (iii) that technologies such as AUVs and multibeam mapping can be harnessed to inform regional decision-making. Continuation of the current monitoring program is required to assess whether the NTR can provide long term protection from a phase shift that replaces kelp with urchin barrens.</t>
  </si>
  <si>
    <t>[Perkins, Nicholas R.; Monk, Jacquomo; Barrett, Neville S.] Inst Marine &amp; Antarctic Studies, Hobart, Tas, Australia; [Hosack, Geoffrey R.; Foster, Scott D.] CSIRO, Data 61, Hobart, Tas, Australia</t>
  </si>
  <si>
    <t>Perkins, NR (corresponding author), Inst Marine &amp; Antarctic Studies, Hobart, Tas, Australia.</t>
  </si>
  <si>
    <t>nicholas.perkins@utas.edu.au</t>
  </si>
  <si>
    <t>Hosack, Geoffrey/E-8566-2010; Foster, Scott/E-9311-2010; Barrett, Neville/J-7593-2014</t>
  </si>
  <si>
    <t>Hosack, Geoffrey/0000-0002-6462-6817; Foster, Scott/0000-0002-6719-8002; Perkins, Nicholas/0000-0002-1328-2321; Barrett, Neville/0000-0002-6167-1356</t>
  </si>
  <si>
    <t>Marine Biodiversity Hub through the Australian Government's National Environmental Science Program (NESP); University of Tasmania; CSIRO; Geoscience Australia; Australian Institute of Marine Science; Museum Victoria; Charles Darwin University; University of Western Australia; Integrated Marine Observing System; NSW Office of Environment and Heritage; NSW Department of Primary Industries</t>
  </si>
  <si>
    <t>Marine Biodiversity Hub through the Australian Government's National Environmental Science Program (NESP); University of Tasmania; CSIRO(Commonwealth Scientific &amp; Industrial Research Organisation (CSIRO)); Geoscience Australia; Australian Institute of Marine Science; Museum Victoria; Charles Darwin University; University of Western Australia; Integrated Marine Observing System; NSW Office of Environment and Heritage; NSW Department of Primary Industries</t>
  </si>
  <si>
    <t>This work was supported by the Marine Biodiversity Hub through funding from the Australian Government's National Environmental Science Program (NESP). The NESP Marine Biodiversity Hub partners include the University of Tasmania; CSIRO, Geoscience Australia, Australian Institute of Marine Science, Museum Victoria, Charles Darwin University, The University of Western Australia, Integrated Marine Observing System, NSW Office of Environment and Heritage, and NSW Department of Primary Industries. The funders had no role in study design, data collection and analysis, decision to publish, or preparation of the manuscript.</t>
  </si>
  <si>
    <t>e0237257</t>
  </si>
  <si>
    <t>10.1371/journal.pone.0237257</t>
  </si>
  <si>
    <t>Green Published, Green Submitted, Green Accepted, gold</t>
  </si>
  <si>
    <t>WOS:000561793900063</t>
  </si>
  <si>
    <t>Wang, Y; Huang, G; Hu, KM</t>
  </si>
  <si>
    <t>Wang, Ya; Huang, Gang; Hu, Kaiming</t>
  </si>
  <si>
    <t>Internal variability in multidecadal trends of surface air temperature over antarctica in austral winter in model simulations</t>
  </si>
  <si>
    <t>Internal variability; Antarctica; SAM; CESM; Dynamic adjustment</t>
  </si>
  <si>
    <t>PATTERNS; IMPACTS; NORTH; OCEAN</t>
  </si>
  <si>
    <t>The surface air temperature (SAT) exhibits pronounced warming over West Antarctica in recent decades, especially in austral spring and winter. Using a 30-member ensemble of simulations by Community Earth System Model (CESM), two reanalysis datasets, and observed station data, this study investigates the relative contributions of internally generated low-frequency climate variability and externally forced climate change to the austral winter SAT trend in Antarctica. Although these simulations share the same external forcing, the SAT trends during 1979-2005 show large diversity among the individual members in the CESM ensemble simulations, suggesting that internally generated variability contributes a considerable part to the multidecadal SAT change in Antarctica. Quantitatively, the total forced contribution to the SAT (1979-2005) change is about 0.53 k/27 yr, and the internal variability can be strong enough to double or cancel the externally forced warming trend. A method called dynamical adjustment is utilized to further divide the forced response. We find both the forced thermodynamically-induced and the forced dynamically-induced SAT trends are positive over all the regions in Antarctica, with the regional mean values of 0.20 k /27 yr and 0.33 k/27 yr, respectively. The diversity of SAT trends among the simulations is closely linked to a Southern hemisphere Annular Mode (SAM)-like atmospheric circulation multidecadal change in the Southern Hemisphere. When there exists a positive-negative seesaw of pressure trend between Antarctica and the mid-latitudes, the SAT trend is positive over most of Antarctica but negative over the Antarctic Peninsula, and vice versa. The SAM-like atmospheric circulation multidecadal change mainly arises from atmospheric internal variability rather than remote tropical Sea Surface Temperature (SST).</t>
  </si>
  <si>
    <t>[Wang, Ya; Huang, Gang; Hu, Kaiming] Chinese Acad Sci, State Key Lab Numer Modeling Atmospher Sci &amp; Geop, LASG IAP CAS, POB 9804, Beijing 100029, Peoples R China; [Wang, Ya; Huang, Gang; Hu, Kaiming] Chinese Acad Sci, Ctr Monsoon Syst Res, LASG IAP CAS, Inst Atmospher Phys, POB 9804, Beijing 100029, Peoples R China; [Huang, Gang] Qingdao Natl Lab Marine Sci &amp; Technol, Lab Reg Oceanog &amp; Numer Modeling, Qingdao 266237, Peoples R China; [Wang, Ya; Huang, Gang] Univ Chinese Acad Sci, Beijing 100049, Peoples R China</t>
  </si>
  <si>
    <t>Chinese Academy of Sciences; Chinese Academy of Sciences; Institute of Atmospheric Physics, CAS; Laoshan Laboratory; Chinese Academy of Sciences; University of Chinese Academy of Sciences, CAS</t>
  </si>
  <si>
    <t>Huang, G; Hu, KM (corresponding author), Chinese Acad Sci, State Key Lab Numer Modeling Atmospher Sci &amp; Geop, LASG IAP CAS, POB 9804, Beijing 100029, Peoples R China.;Huang, G; Hu, KM (corresponding author), Chinese Acad Sci, Ctr Monsoon Syst Res, LASG IAP CAS, Inst Atmospher Phys, POB 9804, Beijing 100029, Peoples R China.;Huang, G (corresponding author), Qingdao Natl Lab Marine Sci &amp; Technol, Lab Reg Oceanog &amp; Numer Modeling, Qingdao 266237, Peoples R China.;Huang, G (corresponding author), Univ Chinese Acad Sci, Beijing 100049, Peoples R China.</t>
  </si>
  <si>
    <t>hg@mail.iap.ac.cn; hkm@mail.iap.ac.cn</t>
  </si>
  <si>
    <t>hu, kai/HSG-5888-2023; huang, gang/D-6427-2012</t>
  </si>
  <si>
    <t>huang, gang/0000-0002-8692-7856; wang, ya/0000-0003-1527-5413</t>
  </si>
  <si>
    <t>National Key R&amp;D Program of China [2018YFA0605904, 2019YFA0606703]; Strategic Priority Research Program of Chinese Academy of Sciences [XDA20060502]; National Natural Science Foundation of China [41425086, 41831175, 41661144016, 41706026, 41506003, 41731173]; Key Deployment Project of Centre for Ocean MegaResearch of Science, Chinese Academy of Sciences [COMS2019Q03]</t>
  </si>
  <si>
    <t>National Key R&amp;D Program of China; Strategic Priority Research Program of Chinese Academy of Sciences(Chinese Academy of Sciences); National Natural Science Foundation of China(National Natural Science Foundation of China (NSFC)); Key Deployment Project of Centre for Ocean MegaResearch of Science, Chinese Academy of Sciences</t>
  </si>
  <si>
    <t>The authors would like to thank Xichen Li and Renguang Wu for many useful discussions. We also thank Letian Gu for reviewing a draft of this manuscript and Ruyu Gan for sharing the CESM1 dataset. The study is jointly supported by the National Key R&amp;D Program of China (2018YFA0605904 and 2019YFA0606703), the Strategic Priority Research Program of Chinese Academy of Sciences (XDA20060502), the National Natural Science Foundation of China (41425086, 41831175, 41661144016, 41706026, 41506003, and 41731173), and Key Deployment Project of Centre for Ocean MegaResearch of Science, Chinese Academy of Sciences (COMS2019Q03).</t>
  </si>
  <si>
    <t>10.1007/s00382-020-05412-1</t>
  </si>
  <si>
    <t>WOS:000559366500001</t>
  </si>
  <si>
    <t>Lauriano, G; Pirotta, E; Joyce, T; Pitman, RL; Borrell, A; Panigada, S</t>
  </si>
  <si>
    <t>Lauriano, Giancarlo; Pirotta, Enrico; Joyce, Trevor; Pitman, Robert L.; Borrell, Asuncion; Panigada, Simone</t>
  </si>
  <si>
    <t>Movements, diving behaviour and diet of type-C killer whales (Orcinus orca) in the Ross Sea, Antarctica</t>
  </si>
  <si>
    <t>Antarctica; diet; Orcinus orca; Ross Sea; satellite tagging; stable isotopes; Terra Nova Bay; type-C killer whale</t>
  </si>
  <si>
    <t>BOTTLE-NOSED DOLPHINS; ISOTOPE TURNOVER RATES; TROPHIC INTERACTIONS; OCCURRENCE PATTERNS; FORAGING BEHAVIOR; WEDDELL SEALS; MCMURDO SOUND; FOOD-WEB; TOOTHFISH; FISH</t>
  </si>
  <si>
    <t>The fish-eating, type-C ecotype, killer whale is a top predator in the Ross Sea, Antarctica. Increasing knowledge of this animal's foraging habitats, diet and movement patterns is listed amongst the research priorities adopted under the framework of the Commission for the Conservation of Antarctic Marine Living Resources (CCAMLR). To contribute to this goal, satellite transmitters were deployed on 10 type-C killer whales and skin biopsies were obtained from seven individuals in Terra Nova Bay (Ross Sea) during austral summer (January-February) 2015. Hierarchical switching state-space models (hSSSM) were applied to Argos satellite tracking data to describe the movements of tagged whales, which were then paired with available diving data. Stable isotopes analyses were performed on the biopsy samples to describe the diet. A total of 8,803 Argos locations were available to fit the hSSSM. All whales engaged in potential foraging activity in localized areas along the Ross Sea coastline, followed by uninterrupted travel (i.e. migration) outside Antarctic waters, with no evidence of foraging activity. The pattern of deeper dives matched the occurrence of encamped behaviour indicated by the hSSSM results. The stable isotopes analysis indicated that Antarctic toothfish comprised the largest component (35%) of the prey biomass, raising concerns since this species is targeted by commercial fishery in the Ross Sea Region. These results provide new insights into the ecology of type-C killer whales in the Ross Sea Region, underlining a potential threat from commercial fishing in the area. Considering the recent establishment of the Ross Sea Region Marine Protected Area, these findings will contribute to the required Research and Monitoring Programme of the Marine Protected Area and provide new empirical evidence to inform conservation measures in the existing Terra Nova Bay Antarctic Special Protected Area.</t>
  </si>
  <si>
    <t>[Lauriano, Giancarlo] Inst Environm Protect &amp; Res, Rome, Italy; [Pirotta, Enrico; Panigada, Simone] Tethys Res Inst, Milan, Italy; [Pirotta, Enrico] Washington State Univ, Dept Math &amp; Stat, Vancouver, WA USA; [Pirotta, Enrico] Univ Coll Cork, Sch Biol Earth &amp; Environm Sci, Cork, Ireland; [Joyce, Trevor] Natl Marine Fisheries Serv, Marine Mammal &amp; Turtle Div, Southwest Fisheries Sci Ctr, La Jolla, CA 92038 USA; [Pitman, Robert L.] Natl Marine Fisheries Serv, Antarctic Ecosyst Res Div, Southwest Fisheries Sci Ctr, La Jolla, CA 92038 USA; [Pitman, Robert L.] Oregon State Univ, Marine Mammal Inst, Newport, OR USA; [Borrell, Asuncion] Univ Barcelona, Fac Biol, Inst Biodivers Res, Barcelona, Spain; [Borrell, Asuncion] Univ Barcelona, Fac Biol, Dept Evolutionary Biol Ecol &amp; Environm Sci, Barcelona, Spain</t>
  </si>
  <si>
    <t>Italian Institute for Environmental Protection &amp; Research (ISPRA); Washington State University; University College Cork; National Oceanic Atmospheric Admin (NOAA) - USA; National Oceanic Atmospheric Admin (NOAA) - USA; Oregon State University; University of Barcelona; University of Barcelona</t>
  </si>
  <si>
    <t>Lauriano, G (corresponding author), Inst Environm Protect &amp; Res, Rome, Italy.</t>
  </si>
  <si>
    <t>giancarlo.lauriano@isprambiente.it</t>
  </si>
  <si>
    <t>Lauriano, Giancarlo/ABG-8461-2021; Borrell, Asunción/B-8257-2009</t>
  </si>
  <si>
    <t>Borrell, Asunción/0000-0002-6714-0724; lauriano, giancarlo/0000-0003-3465-6078; Pirotta, Enrico/0000-0003-3541-3676; Pitman, Robert/0000-0002-8713-1219</t>
  </si>
  <si>
    <t>Italian Antarctic Research Programme (PNRA) [2013/AZ1.08]</t>
  </si>
  <si>
    <t>Italian Antarctic Research Programme (PNRA)</t>
  </si>
  <si>
    <t>Italian Antarctic Research Programme (PNRA), Grant/Award Number: G. Lauriano (2013/AZ1.08)</t>
  </si>
  <si>
    <t>10.1002/aqc.3371</t>
  </si>
  <si>
    <t>PB0OH</t>
  </si>
  <si>
    <t>WOS:000558586000001</t>
  </si>
  <si>
    <t>Wege, M; Salas, L; LaRue, M</t>
  </si>
  <si>
    <t>Wege, Mia; Salas, Leo; LaRue, Michelle</t>
  </si>
  <si>
    <t>Citizen science and habitat modelling facilitates conservation planning for crabeater seals in the Weddell Sea</t>
  </si>
  <si>
    <t>DIVERSITY AND DISTRIBUTIONS</t>
  </si>
  <si>
    <t>Antarctic krill; boosted regression tree; citizen science; ensemble modelling; machine learning; Maxent; random forests; support vector machines</t>
  </si>
  <si>
    <t>PACK-ICE SEALS; QUEEN-MAUD-LAND; HYDRURGA-LEPTONYX; EUPHAUSIA-SUPERBA; MARINE PREDATORS; LOBODON-CARCINOPHAGUS; ENVIRONMENTAL-CHANGE; DIVING BEHAVIOR; PRYDZ BAY; R PACKAGE</t>
  </si>
  <si>
    <t>Aim Creating a network of marine protected areas in the Southern Ocean requires extensive knowledge on species' abundances, distributions and population trends especially in the Weddell Sea where year-round pack ice makes most of the Weddell Sea inaccessible. We combine satellite images and citizen science to model habitat suitability for crabeater seals (Lobodon carcinophaga) throughout the Weddell Sea. Location Weddell Sea, Antarctica. Methods High-resolution satellite images covering 18,219 km(2)of the Weddell Sea during crabeater seal breeding season (October-November) were hosted on the crowd-sourcing platform Tomnod (DigitalGlobe). Citizen scientists marked maps where seals were present/absent and these votes were compared with the votes of an experienced observer. Correction factors were used to correct votes to either a continuous probability of seal presence, or a binary seal presence/absence value. We modelled probability of seal presence using ensemble models of Random Forests (RF), Boosted Regression Trees (BRT) and Support Vector Machines (SVM), and used fitted Maxent models to model seal presence/absence data. Results Model predictive power was low (RF:R-2 = 0.076 +/- 0.002: BRT:R-2 = 0.086 +/- 0.0008; SVM:R-2 = 0.082 +/- 0.003) to average (Maxent: AUC = 0.71 +/- 0.004). Distance to the ice edge and bathymetry were the most important variables that influenced crabeater seal distribution. Main conclusions Crabeater seals were more likely to be present over abyssal water, which coincides with typical adult Antarctic krill habitat - crabeater seal preferred prey. Where ice concentrations were more variable, that is more accessible, crabeater seals were also more likely to occur. Results agreed with the known ecology of crabeaters seals and the abundance, distribution and ecology of Antarctic krill. We were able to survey the largest area ever surveyed in the Weddell Sea and provide a model to assist furthering policy around the proposed protected area.</t>
  </si>
  <si>
    <t>[Wege, Mia; LaRue, Michelle] Univ Canterbury, Coll Sci, Sch Earth &amp; Environm, Gateway Antarctica,Dept Geog, Private Bag 4800, Christchurch, New Zealand; [Salas, Leo] Point Blue Conservat Sci, Petaluma, CA USA</t>
  </si>
  <si>
    <t>Wege, M (corresponding author), Univ Canterbury, Coll Sci, Sch Earth &amp; Environm, Gateway Antarctica,Dept Geog, Private Bag 4800, Christchurch, New Zealand.</t>
  </si>
  <si>
    <t>mia.wege@gmail.com</t>
  </si>
  <si>
    <t>Wege, Mia/B-1103-2016</t>
  </si>
  <si>
    <t>Wege, Mia/0000-0002-9022-3069</t>
  </si>
  <si>
    <t>1366-9516</t>
  </si>
  <si>
    <t>1472-4642</t>
  </si>
  <si>
    <t>DIVERS DISTRIB</t>
  </si>
  <si>
    <t>Divers. Distrib.</t>
  </si>
  <si>
    <t>10.1111/ddi.13120</t>
  </si>
  <si>
    <t>NK6MK</t>
  </si>
  <si>
    <t>WOS:000558541800001</t>
  </si>
  <si>
    <t>Castellani, G; Schaafsma, FL; Arndt, S; Lange, BA; Peeken, I; Ehrlich, J; David, C; Ricker, R; Krumpen, T; Hendricks, S; Schwegmann, S; Massicotte, P; Flores, H</t>
  </si>
  <si>
    <t>Castellani, Giulia; Schaafsma, Fokje L.; Arndt, Stefanie; Lange, Benjamin A.; Peeken, Ilka; Ehrlich, Julia; David, Carmen; Ricker, Robert; Krumpen, Thomas; Hendricks, Stefan; Schwegmann, Sandra; Massicotte, Philippe; Flores, Hauke</t>
  </si>
  <si>
    <t>Large-Scale Variability of Physical and Biological Sea-Ice Properties in Polar Oceans</t>
  </si>
  <si>
    <t>sea ice; Arctic; Antarctic; under-ice light; spatial variability; ice algae; ice thickness</t>
  </si>
  <si>
    <t>ANTARCTIC PACK ICE; ALGAE-PRODUCED CARBON; CENTRAL ARCTIC-OCEAN; FOOD-WEB; HORIZONTAL PATCHINESS; LIGHT TRANSMISSION; TROPHIC RELATIONSHIPS; FATTY-ACID; SNOW DEPTH; BIOMASS</t>
  </si>
  <si>
    <t>In this study, we present unique data collected with a Surface and Under-Ice Trawl (SUIT) during five campaigns between 2012 and 2017, covering the spring to summer and autumn transition in the Arctic Ocean, and the seasons of winter and summer in the Southern Ocean. The SUIT was equipped with a sensor array from which we retrieved: sea-ice thickness, the light field at the underside of sea ice, chlorophyll a concentration in the ice (in-ice chl a), and the salinity, temperature, and chl a concentration of the under-ice water. With an average trawl distance of about 2 km, and a global transect length of more than 117 km in both polar regions, the present work represents the first multi-seasonal habitat characterization based on kilometer-scale profiles. The present data highlight regional and seasonal patterns in sea-ice properties in the Polar Ocean. Light transmittance through Arctic sea ice reached almost 100% in summer, when the ice was thinner and melt ponds spread over the ice surface. However, the daily integrated amount of light under sea ice was maximum in spring. Compared to the Arctic, Antarctic sea-ice was thinner, snow depth was thicker, and sea-ice properties were more uniform between seasons. Light transmittance was low in winter with maximum transmittance of 73%. Despite thicker snow depth, the overall under-ice light was considerably higher during Antarctic summer than during Arctic summer. Spatial autocorrelation analysis shows that Arctic sea ice was characterized by larger floes compared to the Antarctic. In both Polar regions, the patch size of the transmittance followed the spatial variability of sea-ice thickness. In-ice chl a in the Arctic Ocean remained below 0.39mg chl am(-2), whereas it exceeded 7mg chl am(-2) during Antarctic winter, when water chl a concentrations remained below 1.5mg chl am(-2), thus highlighting its potential as an important carbon source for overwintering organisms. The data analyzed in this study can improve large-scale physical and ecosystem models, habitat mapping studies and time series analyzed in the context of climate change effects and marine management.</t>
  </si>
  <si>
    <t>[Castellani, Giulia; Arndt, Stefanie; Lange, Benjamin A.; Peeken, Ilka; Ehrlich, Julia; David, Carmen; Ricker, Robert; Krumpen, Thomas; Hendricks, Stefan; Flores, Hauke] Helmholtz Zentrum Polar &amp; Meeresforsch, Alfred Wegener Inst, Bremerhaven, Germany; [Schaafsma, Fokje L.] Wageningen Marine Res, Den Helder, Netherlands; [Lange, Benjamin A.] Norwegian Polar Res Inst, Fram Ctr, Tromso, Norway; [Ehrlich, Julia; Flores, Hauke] Univ Hamburg, Ctr Nat Hist CeNak, Hamburg, Germany; [David, Carmen] Dalhousie Univ, Dept Biol, Halifax, NS, Canada; [Schwegmann, Sandra] Bundesamt Seeschifffahrt &amp; Hydrog, Rostock, Germany; [Massicotte, Philippe] Univ Laval, Takuvik Joint Int Lab UMI 3376 Univ Laval Canada, Quebec City, PQ, Canada</t>
  </si>
  <si>
    <t>Helmholtz Association; Alfred Wegener Institute, Helmholtz Centre for Polar &amp; Marine Research; Wageningen University &amp; Research; Norwegian Polar Institute; University of Hamburg; Dalhousie University; Laval University</t>
  </si>
  <si>
    <t>Castellani, G (corresponding author), Helmholtz Zentrum Polar &amp; Meeresforsch, Alfred Wegener Inst, Bremerhaven, Germany.</t>
  </si>
  <si>
    <t>giulia.castellani@awi.de</t>
  </si>
  <si>
    <t>Flores, Hauke/ABD-1888-2020; Hendricks, Stefan/D-5168-2011; Ricker, Robert/Z-4214-2019; Castellani, Giulia/AAS-9298-2021; Arndt, Stefanie/AAA-6178-2021; Krumpen, Thomas/D-5163-2011</t>
  </si>
  <si>
    <t>Flores, Hauke/0000-0003-1617-5449; Hendricks, Stefan/0000-0002-1412-3146; Ricker, Robert/0000-0001-6928-7757; Castellani, Giulia/0000-0001-6151-015X; Arndt, Stefanie/0000-0001-9782-3844; Krumpen, Thomas/0000-0001-6234-8756; Ehrlich, Julia/0000-0002-1192-1361; Peeken, Ilka/0000-0003-1531-1664; David, Carmen L/0000-0002-4241-1284; Schaafsma, Fokje/0000-0002-8945-2868; Schwegmann, Sandra/0000-0002-3102-7279</t>
  </si>
  <si>
    <t>Helmholtz Association through the Young Investigators Group Iceflux [VH-NG-800]; Helmholtz Association through the Research Program PACES II; European Space Agency Climate Change Initiative Sea Ice project [SK-ESA-2012-12]; Netherlands Ministry of Agriculture, Nature and Food Quality (LNV) under its Statutory Research Task Nature Environment [WOT-04-009-047.04]; Netherlands Polar Programme (NPP) [ALW 866.13.009]; German Research Council (DFG) [SPP1158, AR1236/1]; Alfred-Wegener-Institut Helmholtz-Zentrum fur Polar- und Meeresforschung; UK Natural Environment Research Council (NERC) [03V01465]; German Federal Ministry of Education and Research (BMBF) [03V01465]; national scholarship Promotionsstipendium nach dem Hamburger Nachwuchsfordergesetz (HmbNFG) - University of Hamburg; national scholarship Gleichstellungsfond 2017 - University of Hamburg [4-GLF-2017]; NERC [NE/R012725/1] Funding Source: UKRI</t>
  </si>
  <si>
    <t>Helmholtz Association through the Young Investigators Group Iceflux; Helmholtz Association through the Research Program PACES II; European Space Agency Climate Change Initiative Sea Ice project; Netherlands Ministry of Agriculture, Nature and Food Quality (LNV) under its Statutory Research Task Nature Environment; Netherlands Polar Programme (NPP); German Research Council (DFG)(German Research Foundation (DFG)); Alfred-Wegener-Institut Helmholtz-Zentrum fur Polar- und Meeresforschung; UK Natural Environment Research Council (NERC)(UK Research &amp; Innovation (UKRI)Natural Environment Research Council (NERC)); German Federal Ministry of Education and Research (BMBF)(Federal Ministry of Education &amp; Research (BMBF)); national scholarship Promotionsstipendium nach dem Hamburger Nachwuchsfordergesetz (HmbNFG) - University of Hamburg; national scholarship Gleichstellungsfond 2017 - University of Hamburg; NERC(UK Research &amp; Innovation (UKRI)Natural Environment Research Council (NERC))</t>
  </si>
  <si>
    <t>This study was primarily funded by the Helmholtz Association through the Young Investigators Group Iceflux (VH-NG-800) and the Research Program PACES II. RR was financed by the European Space Agency Climate Change Initiative Sea Ice project SK-ESA-2012-12. Antarctic research by Wageningen Marine Research is commissioned by the Netherlands Ministry of Agriculture, Nature and Food Quality (LNV) under its Statutory Research Task Nature &amp; Environment WOT-04-009-047.04. The Netherlands Polar Programme (NPP), managed by the Netherlands Organisation for Scientific Research (NWO) funded this research under project nr. ALW 866.13.009. SA was financed by the German Research Council (DFG) in the framework of the priority programme Antarctic Research with comparative investigations in Arctic ice areas by grant to SPP1158, AR1236/1, and the Alfred-Wegener-Institut Helmholtz-Zentrum fur Polar- und Meeresforschung. Part of this work resulted from the EcoLight project (grant number 03V01465), part of the Changing Arctic Ocean programme, jointly funded by the UK Natural Environment Research Council (NERC) and the German Federal Ministry of Education and Research (BMBF). JE was funded by the national scholarships Promotionsstipendium nach dem Hamburger Nachwuchsfordergesetz (HmbNFG) and Gleichstellungsfond 2017 (4-GLF-2017), both granted by the University of Hamburg.</t>
  </si>
  <si>
    <t>10.3389/fmars.2020.00536</t>
  </si>
  <si>
    <t>NA4PG</t>
  </si>
  <si>
    <t>WOS:000559799600001</t>
  </si>
  <si>
    <t>Ray, AE; Zhang, E; Terauds, A; Ji, MK; Kong, WD; Ferrari, BC</t>
  </si>
  <si>
    <t>Ray, Angelique E.; Zhang, Eden; Terauds, Aleks; Ji, Mukan; Kong, Weidong; Ferrari, Belinda C.</t>
  </si>
  <si>
    <t>Soil Microbiomes With the Genetic Capacity for Atmospheric Chemosynthesis Are Widespread Across the Poles and Are Associated With Moisture, Carbon, and Nitrogen Limitation</t>
  </si>
  <si>
    <t>carbon fixation; atmospheric chemosynthesis; trace gases; photosynthesis; environmental drivers; quantitative PCR</t>
  </si>
  <si>
    <t>WINDMILL ISLANDS; DESERT ROCKS; DIVERSITY; BACTERIAL; ECOLOGY; POLAR; MICROORGANISMS; H-2; CYANOBACTERIA; SEQUENCES</t>
  </si>
  <si>
    <t>Soil microbiomes within oligotrophic cold deserts are extraordinarily diverse. Increasingly, oligotrophic sites with low levels of phototrophic primary producers are reported, leading researchers to question their carbon and energy sources. A novel microbial carbon fixation process termed atmospheric chemosynthesis recently filled this gap as it was shown to be supporting primary production at two Eastern Antarctic deserts. Atmospheric chemosynthesis uses energy liberated from the oxidation of atmospheric hydrogen to drive the Calvin-Benson-Bassham (CBB) cycle through a new chemotrophic form of ribulose-1,5-bisphosphate carboxylase/oxygenase (RuBisCO), designated IE. Here, we propose that the genetic determinants of this process; RuBisCO type IE (rbcL1E) and high affinity group 1h-[NiFe]-hydrogenase (hhyL) are widespread across cold desert soils and that this process is linked to dry and nutrient-poor environments. We used quantitative PCR (qPCR) to quantify these genes in 122 soil microbiomes across the three poles; spanning the Tibetan Plateau, 10 Antarctic and three high Arctic sites. Both genes were ubiquitous, being present at variable abundances in all 122 soils examined (rbcL1E, 6.25 x 10(3)-1.66 x 10(9)copies/g soil;hhyL, 6.84 x 10(3)-5.07 x 10(8)copies/g soil). For the Antarctic and Arctic sites, random forest and correlation analysis against 26 measured soil physicochemical parameters revealed thatrbcL1EandhhyLgenes were associated with lower soil moisture, carbon and nitrogen content. While further studies are required to quantify the rates of trace gas carbon fixation and the organisms involved, we highlight the global potential of desert soil microbiomes to be supported by this new minimalistic mode of carbon fixation, particularly throughout dry oligotrophic environments, which encompass more than 35% of the Earth's surface.</t>
  </si>
  <si>
    <t>[Ray, Angelique E.; Zhang, Eden; Ferrari, Belinda C.] Univ New South Wales, Sch Biotechnol &amp; Biomol Sci, Sydney, NSW, Australia; [Terauds, Aleks] Dept Environm Antarctic Conservat &amp; Management, Australian Antarctic Div, Kingston, Tas, Australia; [Ji, Mukan; Kong, Weidong] Chinese Acad Sci, Inst Tibetan Plateau Res, Key Lab Alpine Ecol &amp; Biodivers, Beijing, Peoples R China</t>
  </si>
  <si>
    <t>University of New South Wales Sydney; Australian Antarctic Division; Chinese Academy of Sciences; Institute of Tibetan Plateau Research, CAS</t>
  </si>
  <si>
    <t>Ferrari, BC (corresponding author), Univ New South Wales, Sch Biotechnol &amp; Biomol Sci, Sydney, NSW, Australia.</t>
  </si>
  <si>
    <t>Ji, Mukan/GXV-2104-2022; Ferrari, Belinda/AAI-3022-2020; Kong, Weidong/H-7432-2012</t>
  </si>
  <si>
    <t>Ferrari, Belinda/0000-0001-5043-3726; Kong, Weidong/0000-0001-9682-1484; Ray, Angelique/0000-0003-0051-1938</t>
  </si>
  <si>
    <t>Australian Government Research Training Program (RTP) Scholarship; Australian Research Council Future Fellowship [FT170100341]; Australian Antarctic Program [5097]; Australian Antarctic Science project [4406]; Australian Research Council [FT170100341] Funding Source: Australian Research Council</t>
  </si>
  <si>
    <t>Australian Government Research Training Program (RTP) Scholarship(Australian GovernmentDepartment of Industry, Innovation and Science); Australian Research Council Future Fellowship(Australian Research Council); Australian Antarctic Program; Australian Antarctic Science project; Australian Research Council(Australian Research Council)</t>
  </si>
  <si>
    <t>This work was supported by the Australian Government Research Training Program (RTP) Scholarship (awarded to AR and EZ), the Australian Research Council Future Fellowship (FT170100341; awarded to BF), the Australian Antarctic Program Project 5097, and the Australian Antarctic Science project grant (4406; awarded to BF).</t>
  </si>
  <si>
    <t>10.3389/fmicb.2020.01936</t>
  </si>
  <si>
    <t>NI4SS</t>
  </si>
  <si>
    <t>WOS:000565344200001</t>
  </si>
  <si>
    <t>Wells, DA; Cant, MA; Hoffman, JI; Nichols, HJ</t>
  </si>
  <si>
    <t>Wells, David A.; Cant, Michael A.; Hoffman, Joseph, I; Nichols, Hazel J.</t>
  </si>
  <si>
    <t>Inbreeding depresses altruism in a cooperative society</t>
  </si>
  <si>
    <t>altruism; inbreeding; cooperation; mating systems; evolution; sociality; alloparenting</t>
  </si>
  <si>
    <t>BANDED MONGOOSE; PARENTAL CARE; LONG-TERM; EVOLUTION; AVOIDANCE; BEHAVIOR; HETEROZYGOSITY; COMPETITION; PREFERENCE; TRAITS</t>
  </si>
  <si>
    <t>In some animal species, individuals regularly breed with relatives, including siblings and parents. Given the high fitness costs of inbreeding, evolutionary biologists have found it challenging to understand the persistence of these inbred societies in nature. One appealing but untested explanation is that early life care may create a benign environment that offsets inbreeding depression, allowing inbred societies to evolve. We test this possibility using 21 years of data from a wild cooperatively breeding mammal, the banded mongoose, a species where almost one in ten young result from close inbreeding. We show that care provided by parents and alloparents mitigates inbreeding depression for early survival. However, as adults, inbred individuals provide less care, reducing the amount of help available to the next generation. Our results suggest that inbred cooperative societies are rare in nature partly because the protective care that enables elevated levels of inbreeding can be reduced by inbreeding depression.</t>
  </si>
  <si>
    <t>[Wells, David A.; Hoffman, Joseph, I; Nichols, Hazel J.] Univ Bielefeld, Dept Anim Behav, Postfach 100131, D-33501 Bielefeld, Germany; [Wells, David A.] Liverpool John Moores Univ, Sch Nat Sci &amp; Psychol, Liverpool L3 3AF, Merseyside, England; [Cant, Michael A.] Univ Exeter, Coll Life &amp; Environm Sci, Penryn TR10 9FE, England; [Hoffman, Joseph, I] British Antarctic Survey, High Cross,Madingley Rd, Cambridge CB3 0ET, England; [Nichols, Hazel J.] Swansea Univ, Dept Biosci, Swansea SA2 8PP, W Glam, Wales</t>
  </si>
  <si>
    <t>University of Bielefeld; Liverpool John Moores University; University of Exeter; UK Research &amp; Innovation (UKRI); Natural Environment Research Council (NERC); NERC British Antarctic Survey; Swansea University</t>
  </si>
  <si>
    <t>Hoffman, JI; Nichols, HJ (corresponding author), Univ Bielefeld, Dept Anim Behav, Postfach 100131, D-33501 Bielefeld, Germany.;Hoffman, JI (corresponding author), British Antarctic Survey, High Cross,Madingley Rd, Cambridge CB3 0ET, England.;Nichols, HJ (corresponding author), Swansea Univ, Dept Biosci, Swansea SA2 8PP, W Glam, Wales.</t>
  </si>
  <si>
    <t>joseph.hoffman@uni-bie-lefeld.de; h.j.nichols@swansea.ac.uk</t>
  </si>
  <si>
    <t>Wells, David/AFO-3604-2022; Wells, David/ABD-7694-2021; Cant, Michael/B-1982-2009; Hoffman, Joseph/K-7725-2012</t>
  </si>
  <si>
    <t>Wells, David/0000-0002-4531-5968; Wells, David/0000-0002-4531-5968; Cant, Michael/0000-0002-1530-3077; Hoffman, Joseph/0000-0001-5895-8949</t>
  </si>
  <si>
    <t>Deutsche Forschungsgemeinschaft (DFG) standard grant [HO 5122/5-1]; Natural Environment Research Council (NERC) Standard Grant [NE/J010278/1]; Liverpool John Moores University; Leverhulme International Fellowship [IAF-2018-006]; Alexander von Humboldt Foundation; NERC [NE/J010278/1, bas010011, NE/S009914/1] Funding Source: UKRI</t>
  </si>
  <si>
    <t>Deutsche Forschungsgemeinschaft (DFG) standard grant(German Research Foundation (DFG)); Natural Environment Research Council (NERC) Standard Grant(UK Research &amp; Innovation (UKRI)Natural Environment Research Council (NERC)); Liverpool John Moores University; Leverhulme International Fellowship(Leverhulme Trust); Alexander von Humboldt Foundation(Alexander von Humboldt Foundation); NERC(UK Research &amp; Innovation (UKRI)Natural Environment Research Council (NERC))</t>
  </si>
  <si>
    <t>This work was supported by a Deutsche Forschungsgemeinschaft (DFG) standard grant (HO 5122/5-1), a Natural Environment Research Council (NERC) Standard Grant (NE/J010278/1), a dual PhD studentship from Liverpool John Moores University, a Leverhulme International Fellowship (IAF-2018-006) and a Humboldt Research Fellowship for Experienced Researchers awarded by the Alexander von Humboldt Foundation.</t>
  </si>
  <si>
    <t>10.1111/ele.13578</t>
  </si>
  <si>
    <t>NS1RB</t>
  </si>
  <si>
    <t>WOS:000563931100001</t>
  </si>
  <si>
    <t>McCoy, IL; McCoy, DT; Wood, R; Regayre, L; Watson-Parris, D; Grosvenor, DP; Mulcahy, AP; Hu, YX; Bender, FAM; Field, PR; Carslaw, KS; Gordon, H</t>
  </si>
  <si>
    <t>McCoy, Isabel L.; McCoy, Daniel T.; Wood, Robert; Regayre, Leighton; Watson-Parris, Duncan; Grosvenor, Daniel P.; Mulcahy, Ane P.; Hu, Yongxiang; Bender, Frida A. -M.; Field, Paul R.; Carslaw, Kenneth S.; Gordon, Hamish</t>
  </si>
  <si>
    <t>The hemispheric contrast in cloud microphysical properties constrains aerosol forcing</t>
  </si>
  <si>
    <t>cloud droplet number concentration; radiative forcing; aerosol-cloud; interactions; Southern Ocean; remote sensing</t>
  </si>
  <si>
    <t>BOUNDARY-LAYER AEROSOL; KING SEJONG STATION; ANTARCTIC PENINSULA; PARTICLE FORMATION; CONDENSATION NUCLEI; MID-PACIFIC; SEA SPRAY; MARINE; CLIMATE; WATER</t>
  </si>
  <si>
    <t>The change in planetary albedo due to aerosol-cloud interactions during the industrial era is the leading source of uncertainty in inferring Earth's climate sensitivity to increased greenhouse gases from the historical record. The variable that controls aerosol-cloud interactions in warm clouds is droplet number concentration. Global climate models demonstrate that the present-day hemispheric contrast in cloud droplet number concentration between the pristine Southern Hemisphere and the polluted Northern Hemisphere oceans can be used as a proxy for anthropogenically driven change in cloud droplet number concentration. Remotely sensed estimates constrain this change in droplet number concentration to be between 8 cm(-3) and 24 cm(-3). By extension, the radiative forcing since 1850 from aerosol-cloud interactions is constrained to be -1.2 W.m(-2) to -0.6 W.m(-2). The robustness of this constraint depends upon the assumption that pristine Southern Ocean droplet number concentration is a suitable proxy for preindustrial concentrations. Droplet number concentrations calculated from satellite data over the Southern Ocean are high in austral summer. Near Antarctica, they reach values typical of Northern Hemisphere polluted outflows. These concentrations are found to agree with several in situ datasets. In contrast, climate models show systematic underpredictions of cloud droplet number concentration across the Southern Ocean. Near Antarctica, where precipitation sinks of aerosol are small, the underestimation by climate models is particularly large. This motivates the need for detailed process studies of aerosol production and aerosol-cloud interactions in pristine environments. The hemispheric difference in satellite estimated cloud droplet number concentration implies preindustrial aerosol concentrations were higher than estimated by most models.</t>
  </si>
  <si>
    <t>[McCoy, Isabel L.; Wood, Robert] Univ Washington, Atmospher Sci Dept, Seattle, WA 98105 USA; [McCoy, Daniel T.; Regayre, Leighton; Grosvenor, Daniel P.; Field, Paul R.; Carslaw, Kenneth S.; Gordon, Hamish] Univ Leeds, Sch Earth &amp; Environm, Inst Climate &amp; Atmospher Sci, Leeds LS2 9JT, W Yorkshire, England; [Watson-Parris, Duncan] Univ Oxford, Dept Phys, Oxford OX1 3PU, England; [Grosvenor, Daniel P.] Univ Leeds, Natl Ctr Atmospher Sci, Leeds LS2 9JT, W Yorkshire, England; [Mulcahy, Ane P.; Field, Paul R.] Met Off, Exeter EX1 3PB, Devon, England; [Hu, Yongxiang] NASA, Atmospher Composit Branch, Langley Res Ctr, Hampton, VA 23681 USA; [Bender, Frida A. -M.] Stockholm Univ, Dept Meteorol, SE-10691 Stockholm, Sweden; [Bender, Frida A. -M.] Stockholm Univ, Bolin Ctr Climate Res, SE-10691 Stockholm, Sweden; [Gordon, Hamish] Carnegie Mellon Univ, Coll Engn, Pittsburgh, PA 15213 USA; [McCoy, Daniel T.] Univ Wyoming, Dept Atmospher Sci, Laramie, WY 82071 USA</t>
  </si>
  <si>
    <t>University of Washington; University of Washington Seattle; University of Leeds; University of Oxford; UK Research &amp; Innovation (UKRI); Natural Environment Research Council (NERC); NERC National Centre for Atmospheric Science; University of Leeds; Met Office - UK; National Aeronautics &amp; Space Administration (NASA); NASA Langley Research Center; Stockholm University; Stockholm University; Carnegie Mellon University; University of Wyoming</t>
  </si>
  <si>
    <t>McCoy, IL (corresponding author), Univ Washington, Atmospher Sci Dept, Seattle, WA 98105 USA.</t>
  </si>
  <si>
    <t>imccoy@uw.edu</t>
  </si>
  <si>
    <t>Watson-Parris, Duncan/HGF-0016-2022; Bender, Frida A-M./D-6228-2012; Carslaw, Ken S/C-8514-2009; Field, Paul R/B-1692-2009; Wood, Robert/A-2989-2008; Hu, Yongxiang/K-4426-2012; Atmospheric Particle Studies, Center for/AAR-6731-2020</t>
  </si>
  <si>
    <t>Watson-Parris, Duncan/0000-0002-5312-4950; Bender, Frida A-M./0000-0003-4867-4007; Carslaw, Ken S/0000-0002-6800-154X; Wood, Robert/0000-0002-1401-3828; Gordon, Hamish/0000-0002-1822-3224; Grosvenor, Daniel/0000-0002-4919-7751; Mulcahy, Jane/0000-0002-0870-7380; Hu, Yongxiang/0000-0001-8526-108X; Regayre, Leighton/0000-0003-2699-929X; McCoy, Daniel/0000-0003-1148-6475</t>
  </si>
  <si>
    <t>NSF; National Aeronautics and Space Administration (NASA) [80NSSC19K1274]; NSF as part of the Southern Ocean Clouds, Radiation, Aerosol Transport Experimental Study (SOCRATES) project [AGS-1660609]; Process-Based Climate Simulation: Advances in High-Resolution Modelling and European Climate Risk Assessment (PRIMAVERA) project - European Union's Horizon 2020 program [641727]; Vetenskapsradet Grant [2018-04274]; Natural Environment Research Council (NERC) under Aerosol Model Robustness and Sensitivity Study for Improved Climate and Air Quality Prediction (AEROS); Natural Environment Research Council (NERC) under Aerosol-Cloud Interactions -A Directed Programme to Reduce Uncertainty in Forcing (ACID-PRUF); Natural Environment Research Council (NERC) under GASSP; Natural Environment Research Council (NERC) under Aerosol-Cloud Uncertainty Reduction (A-CURE) projects [NE/G006172/1, NE/I020059/1, NE/J024252/1, NE/P013406/1]; European Union Aerosols, Clouds, and Trace Gases Research InfraStructure (ACTRIS-2) project [262254]; UK-China Research &amp; Innovation Partnership Fund through the Met Office Climate Science for Service Partnership China as part of the Newton Fund; NERC under A-CURE and Cloud-AerosolRadiation Interactions and Forcing for Year 2017 (CLARIFY) [NE/P013406/1, NE/L013746/1]; Amazon Web Services (AWS) through an AWS Machine Learning Research Award; NERC-funded North Atlantic Climate System Integrated Study (ACSIS) program via the National Centre for Atmospheric Science (NCAS); Met Office Hadley Centre Climate Programme - Department for Business, Energy and Industrial Strategy (BEIS); Department for Environment, Food, and Rural Affairs (DEFRA) [GA01101]; Royal Society Wolfson Merit Award; NERC CLARIFY [NE/L013479/1]; Vinnova [2018-04274] Funding Source: Vinnova; NERC [NE/L013479/1, NE/L01355X/1, NE/N018001/1, NE/G006172/1, NE/J024252/1, NE/P013406/1, NE/I020059/1] Funding Source: UKRI; Swedish Research Council [2018-04274] Funding Source: Swedish Research Council</t>
  </si>
  <si>
    <t>NSF(National Science Foundation (NSF)); National Aeronautics and Space Administration (NASA)(National Aeronautics &amp; Space Administration (NASA)); NSF as part of the Southern Ocean Clouds, Radiation, Aerosol Transport Experimental Study (SOCRATES) project; Process-Based Climate Simulation: Advances in High-Resolution Modelling and European Climate Risk Assessment (PRIMAVERA) project - European Union's Horizon 2020 program; Vetenskapsradet Grant(Swedish Research Council); Natural Environment Research Council (NERC) under Aerosol Model Robustness and Sensitivity Study for Improved Climate and Air Quality Prediction (AEROS)(UK Research &amp; Innovation (UKRI)Natural Environment Research Council (NERC)); Natural Environment Research Council (NERC) under Aerosol-Cloud Interactions -A Directed Programme to Reduce Uncertainty in Forcing (ACID-PRUF)(UK Research &amp; Innovation (UKRI)Natural Environment Research Council (NERC)); Natural Environment Research Council (NERC) under GASSP(UK Research &amp; Innovation (UKRI)Natural Environment Research Council (NERC)); Natural Environment Research Council (NERC) under Aerosol-Cloud Uncertainty Reduction (A-CURE) projects(UK Research &amp; Innovation (UKRI)Natural Environment Research Council (NERC)); European Union Aerosols, Clouds, and Trace Gases Research InfraStructure (ACTRIS-2) project; UK-China Research &amp; Innovation Partnership Fund through the Met Office Climate Science for Service Partnership China as part of the Newton Fund; NERC under A-CURE and Cloud-AerosolRadiation Interactions and Forcing for Year 2017 (CLARIFY); Amazon Web Services (AWS) through an AWS Machine Learning Research Award; NERC-funded North Atlantic Climate System Integrated Study (ACSIS) program via the National Centre for Atmospheric Science (NCAS); Met Office Hadley Centre Climate Programme - Department for Business, Energy and Industrial Strategy (BEIS); Department for Environment, Food, and Rural Affairs (DEFRA)(Department for Environment, Food &amp; Rural Affairs (DEFRA)); Royal Society Wolfson Merit Award(Royal Society); NERC CLARIFY; Vinnova; NERC(UK Research &amp; Innovation (UKRI)Natural Environment Research Council (NERC)); Swedish Research Council(Swedish Research Council)</t>
  </si>
  <si>
    <t>We thank Toshihiko Takemura for help in interpreting data from the SPRINTARS model. ORCAS Campaign data provided by NCAR/EOL under the sponsorship of NSF (https://data.eol.ucar.edu/).We also acknowledge support through the National Aeronautics and Space Administration (NASA) (Grant 80NSSC19K1274) for the development of the MODIS Nd product. I.L.M. and R.W. acknowledge support from NSF as part of the Southern Ocean Clouds, Radiation, Aerosol Transport Experimental Study (SOCRATES) project (Grant AGS-1660609). D.T.M. and P.R.F. acknowledge support from the Process-Based Climate Simulation: Advances in High-Resolution Modelling and European Climate Risk Assessment (PRIMAVERA) project funded by the European Union's Horizon 2020 program under Grant Agreement 641727. F.A.-M.B. was partly funded by Vetenskapsradet Grant 2018-04274. L.R. and K.S.C. acknowledge funding from the Natural Environment Research Council (NERC) under Aerosol Model Robustness and Sensitivity Study for Improved Climate and Air Quality Prediction (AEROS), Aerosol-Cloud Interactions -A Directed Programme to Reduce Uncertainty in Forcing (ACID-PRUF), GASSP, and Aerosol-Cloud Uncertainty Reduction (A-CURE) projects (Grants NE/G006172/1, NE/I020059/1, NE/J024252/1, and NE/P013406/1) and the European Union Aerosols, Clouds, and Trace Gases Research InfraStructure (ACTRIS-2) project under Grant 262254. This work and its contributors (L.R. and K.S.C.) were supported by the UK-China Research &amp; Innovation Partnership Fund through the Met Office Climate Science for Service Partnership China as part of the Newton Fund. D.W.-P. acknowledges funding from NERC under A-CURE and Cloud-AerosolRadiation Interactions and Forcing for Year 2017 (CLARIFY) (Grants NE/P013406/1 and NE/L013746/1). D.W.-P. also gratefully acknowledges the support of Amazon Web Services (AWS) through an AWS Machine Learning Research Award. D.P.G. and K.S.C. were supported by the NERC-funded North Atlantic Climate System Integrated Study (ACSIS) program via the National Centre for Atmospheric Science (NCAS). J.P.M. was supported by the Met Office Hadley Centre Climate Programme funded by the Department for Business, Energy and Industrial Strategy (BEIS) and the Department for Environment, Food, and Rural Affairs (DEFRA) (Grant GA01101). K.S.C. is currently a Royal Society Wolfson Merit Award holder. H.G. acknowledges support by NERC CLARIFY (Grant NE/L013479/1).</t>
  </si>
  <si>
    <t>AUG 11</t>
  </si>
  <si>
    <t>10.1073/pnas.1922502117</t>
  </si>
  <si>
    <t>ND3FJ</t>
  </si>
  <si>
    <t>WOS:000561789200021</t>
  </si>
  <si>
    <t>Podglajen, A; Hertzog, A; Plougonven, R; Legras, B</t>
  </si>
  <si>
    <t>Podglajen, Aurelien; Hertzog, Albert; Plougonven, Riwal; Legras, Bernard</t>
  </si>
  <si>
    <t>Lagrangian gravity wave spectra in the lower stratosphere of current (re)analyses</t>
  </si>
  <si>
    <t>MESOSCALE TEMPERATURE-FLUCTUATIONS; TROPICAL TROPOPAUSE LAYER; ERA-INTERIM; IMPACT; REANALYSIS; RESOLUTION; ASSIMILATION; DEHYDRATION; SIMULATIONS; TRANSPORT</t>
  </si>
  <si>
    <t>Due to their increasing spatial resolution, numerical weather prediction (NWP) models and the associated analyses resolve a growing fraction of the gravity wave (GW) spectrum. However, it is unclear how well this resolved part of the spectrum truly compares to the actual atmospheric variability. In particular, the Lagrangian variability, relevant, for example, to atmospheric dispersion and to microphysical modeling in the upper troposphere-lower stratosphere (UTLS), has not yet been documented in recent products. To address this shortcoming, this paper presents an assessment of the GW spectrum as a function of the intrinsic (air parcel following) frequency in recent (re)analyses (ERA-Interim, ERAS, the ECMWF operational analysis and MERRA-2). Long-duration, quasi-Lagrangian balloon observations in the equatorial and Antarctic lower stratosphere are used as a reference for the atmospheric spectrum and are compared to synthetic balloon observations along trajectories calculated using the wind and temperature fields of the reanalyses. Overall, the reanalyses represent realistic features of the spectrum, notably the spectral gap between planetary and gravity waves and a peak in horizontal kinetic energy associated with inertial waves near the Coriolis frequency f in the polar region. In the tropics, they represent the slope of the spectrum at low frequency. However, the variability is generally underestimated even in the low-frequency portion of the spectrum. In particular, the near-inertial peak, although present in the reanalyses, has a reduced magnitude compared to balloon observations. We compare the observed and modeled variabilities of temperature, zonal momentum flux and vertical wind speed, which are related to low-, mid- and high-frequency waves, respectively. The probability density function (PDF) distributions have similar shapes but show increasing disagreement with increasing intrinsic frequency. Since at those altitudes they are mainly caused by gravity waves, we also compare the geographic distribution of vertical wind fluctuations in the different products, which emphasizes the increase of both GW variance and intermittency with horizontal resolution. Finally, we quantify the fraction of resolved variability and its dependency on model resolution for the different variables. In all (re)analysis products, a significant part of the variability is still missing, especially at high frequencies, and should hence be parameterized. Among the two polar balloon datasets used, one was broadcast on the Global Telecommunication System for assimilation in NWP models, while the other consists of independent observations (unassimilated in the reanalyses). Comparing the Lagrangian spectra between the two campaigns shows that the (re)analyses are largely influenced by balloon data assimilation, which especially enhances the variance at low GW frequency.</t>
  </si>
  <si>
    <t>[Podglajen, Aurelien; Hertzog, Albert; Plougonven, Riwal; Legras, Bernard] Sorbonne Univ, Lab Meteorol Dynam LMD IPSL, Ecole Polytech,CNRS, Inst Polytech Paris,Ecole Normale Super,PSL Res U, Paris, France; [Podglajen, Aurelien] Forschungszentrum Julich IEK 7 Stratosphere, Julich, Germany</t>
  </si>
  <si>
    <t>Sorbonne Universite; Centre National de la Recherche Scientifique (CNRS); Universite PSL; Ecole Normale Superieure (ENS); Ecole des Ponts ParisTech; Helmholtz Association; Research Center Julich</t>
  </si>
  <si>
    <t>Podglajen, A (corresponding author), Sorbonne Univ, Lab Meteorol Dynam LMD IPSL, Ecole Polytech,CNRS, Inst Polytech Paris,Ecole Normale Super,PSL Res U, Paris, France.</t>
  </si>
  <si>
    <t>aurelien.podglajen@lmd.polytechnique.fr</t>
  </si>
  <si>
    <t>Legras, Bernard/AAE-1352-2019; Legras, Bernard/HNI-8473-2023</t>
  </si>
  <si>
    <t>Podglajen, Aurelien/0000-0001-9768-3511; Plougonven, Riwal/0000-0003-3310-8280</t>
  </si>
  <si>
    <t>AUG 10</t>
  </si>
  <si>
    <t>10.5194/acp-20-9331-2020</t>
  </si>
  <si>
    <t>ND7NG</t>
  </si>
  <si>
    <t>WOS:000562089000001</t>
  </si>
  <si>
    <t>Adusumilli, S; Fricker, HA; Medley, B; Padman, L; Siegfried, MR</t>
  </si>
  <si>
    <t>Adusumilli, Susheel; Fricker, Helen Amanda; Medley, Brooke; Padman, Laurie; Siegfried, Matthew R.</t>
  </si>
  <si>
    <t>Interannual variations in meltwater input to the Southern Ocean from Antarctic ice shelves</t>
  </si>
  <si>
    <t>AMUNDSEN SEA EMBAYMENT; FILCHNER-RONNE ICE; BASAL MELT RATES; BOTTOM WATER FORMATION; GLACIAL MELTWATER; WEST ANTARCTICA; LEVEL RISE; ROSS; DRIVEN; VARIABILITY</t>
  </si>
  <si>
    <t>Ocean-driven basal melting of Antarctica's floating ice shelves accounts for about half of their mass loss in steady state, where gains in ice-shelf mass are balanced by losses. Ice-shelf thickness changes driven by varying basal melt rates modulate mass loss from the grounded ice sheet and its contribution to sea level, and the changing meltwater fluxes influence climate processes in the Southern Ocean. Existing continent-wide melt-rate datasets have no temporal variability, introducing uncertainties in sea level and climate projections. Here, we combine surface height data from satellite radar altimeters with satellite-derived ice velocities and a new model of firn-layer evolution to generate a high-resolution map of time-averaged (2010-2018) basal melt rates and time series (1994-2018) of meltwater fluxes for most ice shelves. Total basal meltwater flux in 1994 (1,090 +/- 150 Gt yr(-1)) was similar to the steady-state value (1,100 +/- 60 Gt yr(-1)), but increased to 1,570 +/- 140 Gt yr(-1)in 2009, followed by a decline to 1,160 +/- 150 Gt yr(-1)in 2018. For the four largest 'cold-water' ice shelves, we partition meltwater fluxes into deep and shallow sources to reveal distinct signatures of temporal variability, providing insights into climate forcing of basal melting and the impact of this melting on the Southern Ocean. Meltwater entering the Southern Ocean from Antarctic ice shelves varies substantially from year to year, with consequences for Southern Ocean circulation and climate, according to remote sensing estimates of ice-shelf basal melting rates.</t>
  </si>
  <si>
    <t>[Adusumilli, Susheel; Fricker, Helen Amanda] Univ Calif San Diego, Scripps Inst Oceanog, La Jolla, CA 92093 USA; [Medley, Brooke] NASA, Cryospher Sci Lab, Goddard Space Flight Ctr, Greenbelt, MD USA; [Padman, Laurie] Earth &amp; Space Res, Corvallis, OR USA; [Siegfried, Matthew R.] Colorado Sch Mines, Dept Geophys, Golden, CO 80401 USA</t>
  </si>
  <si>
    <t>University of California System; University of California San Diego; Scripps Institution of Oceanography; National Aeronautics &amp; Space Administration (NASA); NASA Goddard Space Flight Center; Colorado School of Mines</t>
  </si>
  <si>
    <t>Adusumilli, S (corresponding author), Univ Calif San Diego, Scripps Inst Oceanog, La Jolla, CA 92093 USA.</t>
  </si>
  <si>
    <t>suadusum@ucsd.edu</t>
  </si>
  <si>
    <t>Padman, Laurence/AAH-3808-2021</t>
  </si>
  <si>
    <t>Padman, Laurence/0000-0003-2010-642X</t>
  </si>
  <si>
    <t>NASA [NNX17AI03G, NNX17AG63G]; NSF [1744789]; NASA Earth and Space Science Fellowship; ICESat-2 Project Science Office; Directorate For Geosciences; Office of Polar Programs (OPP) [1744789] Funding Source: National Science Foundation</t>
  </si>
  <si>
    <t>NASA(National Aeronautics &amp; Space Administration (NASA)); NSF(National Science Foundation (NSF)); NASA Earth and Space Science Fellowship; ICESat-2 Project Science Office; Directorate For Geosciences; Office of Polar Programs (OPP)(National Science Foundation (NSF)NSF - Directorate for Geosciences (GEO))</t>
  </si>
  <si>
    <t>This study was funded by NASA grants NNX17AI03G and NNX17AG63G, and NSF grant 1744789. S.A. was also supported by the NASA Earth and Space Science Fellowship. B.M was supported by the ICESat-2 Project Science Office. We thank members of the Scripps Polar Center, S. Howard, and K. Nicholls for their important contributions to this manuscript.</t>
  </si>
  <si>
    <t>10.1038/s41561-020-0616-z</t>
  </si>
  <si>
    <t>WOS:000558200900002</t>
  </si>
  <si>
    <t>Hinojosa, IA; Zapata-Hernández, G; Fowles, AE; Gaymer, CF; Stuart-Smith, RD</t>
  </si>
  <si>
    <t>Hinojosa, Ivan A.; Zapata-Hernandez, German; Fowles, Amelia E.; Gaymer, Carlos F.; Stuart-Smith, Rick D.</t>
  </si>
  <si>
    <t>The awakening of invertebrates: The daily dynamics of fishes and mobile invertebrates at Rapa Nui's multiple use marine protected area</t>
  </si>
  <si>
    <t>biodiversity; community structure; coral reefs; marine protected areas; nocturnal fauna; predation risk</t>
  </si>
  <si>
    <t>SALAS Y GOMEZ; EASTER-ISLAND; CORAL-REEF; MARTHASTERIAS-GLACIALIS; SEASONAL-VARIATION; RHYTHMIC BEHAVIOR; NOCTURNAL FISHES; SEA-STAR; TOP-DOWN; DIEL</t>
  </si>
  <si>
    <t>On shallow reefs, day-night activity patterns between fishes and invertebrates are presumed to reflect trade-offs between feeding and predation; however, quantitative data on daily community dynamics are scarce. Moreover, night surveys may contribute important information for biodiversity inventories or baselines that normally are not considered. This study used standardized day-night visual surveys of fishes and mobile invertebrates on the same transect lines in Rapa Nui (Easter Island) and investigated how diel patterns vary between taxonomic and trophic groups. Distinct differences between taxonomic groups were observed, with fishes being more abundant during the day (&gt;twice), whilst invertebrate abundance and richness showed an opposite trend with higher numbers at night (&gt;three times). Analysis of trophic groups showed that herbivorous and planktivorous fishes were more abundant during the day. Carnivorous fishes did not show any trends. Top predators (Apex) were observed only at very low abundances. However, a replacement amongst carnivorous fish species between day and night was found, where labridae fishes were practically absent during nights. Most of the mobile invertebrates remained concealed during the day, probably due to the influence of predation risk (labrid fishes). The results emphasize the need for consideration of nocturnally active invertebrates in biodiversity inventories or baselines of reefs, which focus heavily only on diurnal surveys. Day-night reef surveys should be included in marine protected area planning and monitoring as this provides a better understanding of shallow benthic communities and helps inform proper management decisions. 1.2.3.4.5.6.</t>
  </si>
  <si>
    <t>[Hinojosa, Ivan A.] Univ Catolica Santisima Concepcion, Ctr Invest Biodiversidad &amp; Ambientes Sustentables, Dept Ecol, Fac Ciencias, Concepcion, Chile; [Hinojosa, Ivan A.; Zapata-Hernandez, German; Gaymer, Carlos F.] Univ Catolica Norte, Fac Ciencias Mar, Dept Biol Marina, Coquimbo, Chile; [Hinojosa, Ivan A.; Zapata-Hernandez, German; Gaymer, Carlos F.] Millennium Nucleus Ecol &amp; Sustainable Management, Dept Biol Marina, Coquimbo, Chile; [Zapata-Hernandez, German] Univ Catolica Norte, Programa Doctorado Biol &amp; Ecol Aplicada, Coquimbo, Chile; [Zapata-Hernandez, German; Fowles, Amelia E.; Stuart-Smith, Rick D.] Univ Tasmania, Inst Marine &amp; Antarctic Studies, Taroona, Tas, Australia; [Gaymer, Carlos F.] Ctr Estudios Avanzados Zonas Aridas, Coquimbo, Chile</t>
  </si>
  <si>
    <t>Universidad Catolica de la Santisima Concepcion; Universidad Catolica del Norte; Universidad Catolica del Norte; University of Tasmania</t>
  </si>
  <si>
    <t>Hinojosa, IA (corresponding author), Univ Catolica Santisima Concepcion, Dept Ecol, Fac Ciencias, Concepcion, Chile.;Hinojosa, IA (corresponding author), Univ Catolica Santisima Concepcion, Ctr Invest Biodiversidad &amp; Ambientes Sustentables, Concepcion, Chile.</t>
  </si>
  <si>
    <t>ihinojosa@ucsc.cl</t>
  </si>
  <si>
    <t>Stuart-Smith, Rick/I-5214-2019; Hinojosa, Ivan Andres/AAQ-7445-2020; Zapata-Hernández, Germán/AGZ-0874-2022; Hinojosa, Ivan/ABC-8915-2021</t>
  </si>
  <si>
    <t>Stuart-Smith, Rick/0000-0002-8874-0083; Hinojosa, Ivan Andres/0000-0002-9752-4374; Zapata-Hernández, Germán/0000-0003-3245-9118; Hinojosa, Ivan/0000-0002-9752-4374; Gaymer, Carlos F./0000-0003-4395-9505</t>
  </si>
  <si>
    <t>Chilean Millennium Initiative; Comision Nacional de Investigacion Cientifica y Tecnologica [PCHA/Doctorado Nacional/2015-21151249]; Fondo Nacional de Desarrollo Cientifico y Tecnologico [3170392]</t>
  </si>
  <si>
    <t>Chilean Millennium Initiative; Comision Nacional de Investigacion Cientifica y Tecnologica; Fondo Nacional de Desarrollo Cientifico y Tecnologico(Comision Nacional de Investigacion Cientifica y Tecnologica (CONICYT)CONICYT FONDECYT)</t>
  </si>
  <si>
    <t>Chilean Millennium Initiative, Grant/Award Number: ESMOI; Comision Nacional de Investigacion Cientifica y Tecnologica, Grant/Award Number: PCHA/Doctorado Nacional/2015-21151249; Fondo Nacional de Desarrollo Cientifico y Tecnologico, Grant/Award Number: 3170392</t>
  </si>
  <si>
    <t>10.1002/aqc.3423</t>
  </si>
  <si>
    <t>WOS:000557758900001</t>
  </si>
  <si>
    <t>Guarino, MV; Sime, LC; Schröeder, D; Malmierca-Vallet, I; Rosenblum, E; Ringer, M; Ridley, J; Feltham, D; Bitz, C; Steig, EJ; Wolff, E; Stroeve, J; Sellar, A</t>
  </si>
  <si>
    <t>Guarino, Maria-Vittoria; Sime, Louise C.; Schroeder, David; Malmierca-Vallet, Irene; Rosenblum, Erica; Ringer, Mark; Ridley, Jeff; Feltham, Danny; Bitz, Cecilia; Steig, Eric J.; Wolff, Eric; Stroeve, Julienne; Sellar, Alistair</t>
  </si>
  <si>
    <t>Sea-ice-free Arctic during the Last Interglacial supports fast future loss</t>
  </si>
  <si>
    <t>CLIMATE SENSITIVITY; COUPLED MODEL; OCEAN; SIMULATIONS; TEMPERATURES; VARIABILITY; EVOLUTION; RECORD</t>
  </si>
  <si>
    <t>The Last Interglacial (LIG), a warmer period 130,000-116,000 years before present, is a potential analogue for future climate change. Stronger LIG summertime insolation at high northern latitudes drove Arctic land summer temperatures 4-5 degrees C higher than in the pre-industrial era. Climate model simulations have previously failed to capture these elevated temperatures, possibly because they were unable to correctly capture LIG sea-ice changes. Here, we show that the latest version of the fully coupled UK Hadley Center climate model (HadGEM3) simulates a more accurate Arctic LIG climate, including elevated temperatures. Improved model physics, including a sophisticated sea-ice melt-pond scheme, result in a complete simulated loss of Arctic sea ice in summer during the LIG, which has yet to be simulated in past generations of models. This ice-free Arctic yields a compelling solution to the long-standing puzzle of what drove LIG Arctic warmth and supports a fast retreat of future Arctic summer sea ice. Arctic climate in the Last Interglacial (LIG)-a warm period 130,000-116,000 years ago-is poorly simulated by modern climate models. A model with improved sea-ice melt-pond physics reproduces LIG Arctic temperatures, suggests an ice-free Arctic during this period and predicts the same by 2035.</t>
  </si>
  <si>
    <t>[Guarino, Maria-Vittoria; Sime, Louise C.; Malmierca-Vallet, Irene] British Antarctic Survey, Cambridge, England; [Schroeder, David; Feltham, Danny] Univ Reading, Dept Meteorol, Reading, Berks, England; [Rosenblum, Erica; Stroeve, Julienne] Univ Manitoba, Ctr Earth Observat Sci, Winnipeg, MB, Canada; [Ringer, Mark; Ridley, Jeff; Sellar, Alistair] Met Off, Exeter, Devon, England; [Bitz, Cecilia; Steig, Eric J.] Univ Washington, Dept Atmospher Sci, Seattle, WA 98195 USA; [Steig, Eric J.] Univ Washington, Dept Earth &amp; Space Sci, Seattle, WA 98195 USA; [Wolff, Eric] Univ Cambridge, Dept Earth Sci, Cambridge, England</t>
  </si>
  <si>
    <t>UK Research &amp; Innovation (UKRI); Natural Environment Research Council (NERC); NERC British Antarctic Survey; University of Reading; University of Manitoba; Met Office - UK; University of Washington; University of Washington Seattle; University of Washington; University of Washington Seattle; University of Cambridge</t>
  </si>
  <si>
    <t>Guarino, MV; Sime, LC (corresponding author), British Antarctic Survey, Cambridge, England.</t>
  </si>
  <si>
    <t>marino@bas.ac.uk; lsim@bas.ac.uk</t>
  </si>
  <si>
    <t>Wolff, Eric W/D-7925-2014; Ringer, Mark A/E-7294-2013; Steig, Eric J/G-9088-2015; Bitz, Cecilia M/S-8423-2016; Stroeve, Julienne/ABE-7227-2020; Sime, Louise/AAX-7730-2021</t>
  </si>
  <si>
    <t>Wolff, Eric W/0000-0002-5914-8531; Sime, Louise/0000-0002-9093-7926; Malmierca Vallet, Irene/0000-0002-2871-9741; Guarino, Maria Vittoria/0000-0002-7531-4560; Feltham, Daniel/0000-0003-2289-014X; Schroeder, David/0000-0003-2351-4306; Bitz, Cecilia/0000-0002-9477-7499</t>
  </si>
  <si>
    <t>NERC [NE/P013279/1]; EU-TiPES; European Union's Horizon 2020 research and innovation programme [820970]; NERC-UKESM program; NERC PhD studentship; Royal Society Research Professorship; US National Science Foundation through NSFGEO-NERC award [1602435]; [NE/P009271/1]; Office of Polar Programs (OPP); Directorate For Geosciences [1602435] Funding Source: National Science Foundation; NERC [cpom30001, NE/N018001/1, NE/T009470/1, NE/P013279/1, NE/P009271/1, bas0100034] Funding Source: UKRI</t>
  </si>
  <si>
    <t>NERC(UK Research &amp; Innovation (UKRI)Natural Environment Research Council (NERC)); EU-TiPES; European Union's Horizon 2020 research and innovation programme(Horizon 2020); NERC-UKESM program; NERC PhD studentship(UK Research &amp; Innovation (UKRI)Natural Environment Research Council (NERC)); Royal Society Research Professorship(Royal Society); US National Science Foundation through NSFGEO-NERC award(National Science Foundation (NSF)); ; Office of Polar Programs (OPP); Directorate For Geosciences(National Science Foundation (NSF)NSF - Directorate for Geosciences (GEO)); NERC(UK Research &amp; Innovation (UKRI)Natural Environment Research Council (NERC))</t>
  </si>
  <si>
    <t>M.-V.G. acknowledges support from NERC research grant no. NE/P013279/1. L.C.S. acknowledges support through grant nos NE/P013279/1, NE/P009271/1 and EU-TiPES. The project has received funding from the European Union's Horizon 2020 research and innovation programme under grant agreement no. 820970. D.S. acknowledges support from the NERC-UKESM program. I.M.-V. acknowledges support from a NERC PhD studentship and EU-TiPES. E.W. is supported by a Royal Society Research Professorship. E.J.S. and C.B. acknowledge support by the US National Science Foundation through NSFGEO-NERC award no. 1602435. This work used the ARCHER UK National Supercomputing Service (http://www.archer.ac.uk) and the JASMIN data analysis platform (http://jasmin.ac.uk/). In addition, we thank S. Belt for helpful discussions on IP25 LIG sea-ice interpretations, B. Otto-Bliesner for providing the published CMIP5 LIG summer temperature observations and NCAS for supporting the LIG model simulations.</t>
  </si>
  <si>
    <t>10.1038/s41558-020-0865-2</t>
  </si>
  <si>
    <t>NW0BA</t>
  </si>
  <si>
    <t>WOS:000558132800002</t>
  </si>
  <si>
    <t>Fan, GJ; Han, ZB; Ma, WT; Chen, SL; Chai, F; Mazloff, MR; Pan, JM; Zhang, HS</t>
  </si>
  <si>
    <t>Fan, Gaojing; Han, Zhengbing; Ma, Wentao; Chen, Shuangling; Chai, Fei; Mazloff, Matthew R.; Pan, Jianming; Zhang, Haisheng</t>
  </si>
  <si>
    <t>Southern Ocean carbon export efficiency in relation to temperature and primary productivity</t>
  </si>
  <si>
    <t>PARTICULATE ORGANIC-CARBON; BIOLOGICAL PUMP; INVERSE RELATIONSHIP; PHYTOPLANKTON BLOOM; FECAL PELLETS; VARIABILITY; FLUX; SEA; TH-234; ZOOPLANKTON</t>
  </si>
  <si>
    <t>Satellite remote sensing and numerical models are widely used to estimate large-scale variations in ocean carbon export, but the relationship between export efficiency (e-ratio) of sinking organic carbon out of the surface ocean and its drivers remains poorly understood, especially in the Southern Ocean. Here, we assess the effects of temperature and primary productivity on e-ratio by combining particulate organic carbon export flux from in situ measurements during 1997-2013, environmental parameters from satellite products, and outputs from ocean biogeochemical models in the Southern Ocean. Results show that High Productivity Low E-ratio (HPLE) is a common phenomenon in the Subantarctic Zone and the Polar Frontal Zone, but not the Antarctic Zone. The e-ratio shows little dependence on temperature below 6 degrees C. Our results support the hypothesis that the HPLE phenomenon is due to the large contribution of non-sinking organic carbon. Both temperature and ballast minerals play less important roles in controlling e-ratio than ecosystem structure at low temperatures. These findings suggest that non-sinking organic carbon, ecosystem structure, and region-specific parameterizations of e-ratio are key factors to quantify the carbon export in the Southern Ocean.</t>
  </si>
  <si>
    <t>[Fan, Gaojing; Zhang, Haisheng] China Univ Geosci, Coll Marine Sci &amp; Technol, Wuhan 430074, Peoples R China; [Fan, Gaojing; Han, Zhengbing; Pan, Jianming; Zhang, Haisheng] Minist Nat Resources, Key Lab Marine Ecosyst Dynam, Inst Oceanog 2, Hangzhou 310012, Peoples R China; [Fan, Gaojing; Ma, Wentao; Chen, Shuangling; Chai, Fei] Minist Nat Resources, State Key Lab Satellite Ocean Environm Dynam, Inst Oceanog 2, Hangzhou 310012, Peoples R China; [Chai, Fei] Univ Maine, Sch Marine Sci, Orono, ME 04469 USA; [Mazloff, Matthew R.] Univ Calif San Diego, Scripps Inst Oceanog, La Jolla, CA 92093 USA</t>
  </si>
  <si>
    <t>China University of Geosciences; Ministry of Natural Resources of the People's Republic of China; Ministry of Natural Resources of the People's Republic of China; University of Maine System; University of Maine Orono; University of California System; University of California San Diego; Scripps Institution of Oceanography</t>
  </si>
  <si>
    <t>Han, ZB (corresponding author), Minist Nat Resources, Key Lab Marine Ecosyst Dynam, Inst Oceanog 2, Hangzhou 310012, Peoples R China.;Ma, WT (corresponding author), Minist Nat Resources, State Key Lab Satellite Ocean Environm Dynam, Inst Oceanog 2, Hangzhou 310012, Peoples R China.</t>
  </si>
  <si>
    <t>hzbing@sio.org.cn; wtma@sio.org.cn</t>
  </si>
  <si>
    <t>National Natural Science Foundation of China [41876123, 41576186]; Scientific Research Fund of the Second Institute of Oceanography; Ministry of Natural Resources of China [14283, JG1808]; response and feedback of the Southern Ocean to climate change (RFSOCC2020-2025)</t>
  </si>
  <si>
    <t>National Natural Science Foundation of China(National Natural Science Foundation of China (NSFC)); Scientific Research Fund of the Second Institute of Oceanography; Ministry of Natural Resources of China; response and feedback of the Southern Ocean to climate change (RFSOCC2020-2025)</t>
  </si>
  <si>
    <t>This work was supported by the National Natural Science Foundation of China (Grant No. 41876123, 41576186) and the Scientific Research Fund of the Second Institute of Oceanography, the Ministry of Natural Resources of China (Grant No. 14283, JG1808), the response and feedback of the Southern Ocean to climate change (RFSOCC2020-2025). We acknowledge Prof. Walker O. Smith for valuable comments and suggestions. We also thank Dr. Zuojun Yu for the language editing.</t>
  </si>
  <si>
    <t>10.1038/s41598-020-70417-z</t>
  </si>
  <si>
    <t>NC3OL</t>
  </si>
  <si>
    <t>WOS:000561124300030</t>
  </si>
  <si>
    <t>Vila, E; Hornero-Méndez, D; Lareo, C; Saravia, V</t>
  </si>
  <si>
    <t>Vila, Eugenia; Hornero-Mendez, Damaso; Lareo, Claudia; Saravia, Veronica</t>
  </si>
  <si>
    <t>Biotechnological production of zeaxanthin by an Antarctic Flavobacterium : Evaluation of culture conditions</t>
  </si>
  <si>
    <t>JOURNAL OF BIOTECHNOLOGY</t>
  </si>
  <si>
    <t>Carotenoids; Zeaxanthin; Flavobacterium experimental design; Bioreactor</t>
  </si>
  <si>
    <t>CAROTENOID PRODUCTION; OPTIMIZATION; IDENTIFICATION; GROWTH; LUTEIN</t>
  </si>
  <si>
    <t>Statistical experimental designs were used to formulate a culture medium for zeaxanthin production by an Antarctic Flavobacterium sp. P8 strain. Eleven nutritional factors were assayed in shaken flasks. The effect of temperature on zeaxanthin and carotenoid production was also studied. Peptone, yeast extract, and sodium chloride were the nutrients that caused the principal impact on the biomass growth. These components were further studied to enhance zeaxanthin and total carotenoid concentrations. Although a high production rate of zeaxanthin and carotenoids was achieved, the aerobic characteristics of the bacterial strain and the oxygen requirements for zeaxanthin biosynthesis incorporate a factor that requires additional consideration. Scaling up the process to a 5 L-bioreactor that increased dissolved oxygen availability resulted in a 4.5 -fold increase in the total carotenoid content and an almost 9 -fold increase in zeaxanthin, which represented 98% of the total car- otenoids produced. The results reveal that Flavobacterium sp. P8 is a promising strain for zeaxanthin production.</t>
  </si>
  <si>
    <t>[Vila, Eugenia; Lareo, Claudia; Saravia, Veronica] Univ Republica, Fac Ingn, Inst Ingn Quim, Dept Bioingn, Montevideo, Uruguay; [Hornero-Mendez, Damaso] CSIC, Dept Fitoquim Alimentos, Inst Grasa IG, Seville 41013, Spain</t>
  </si>
  <si>
    <t>Universidad de la Republica, Uruguay; Consejo Superior de Investigaciones Cientificas (CSIC); CSIC - Instituto de la Grasa (IG)</t>
  </si>
  <si>
    <t>Saravia, V (corresponding author), Univ Republica, Fac Ingn, Inst Ingn Quim, Dept Bioingn, Montevideo, Uruguay.</t>
  </si>
  <si>
    <t>vsaravia@fing.edu.uy</t>
  </si>
  <si>
    <t>Hornero-Mendez, Damaso/H-2507-2012</t>
  </si>
  <si>
    <t>Vila, Maria Eugenia/0000-0003-0135-4057; Saravia, Veronica/0000-0001-7555-5623; Lareo, Claudia/0000-0002-9882-810X</t>
  </si>
  <si>
    <t>Comision Academica de Posgrado (CAP); Comision Sectorial de Investigacion Cientifica (CSIC) [CSIC I+D 2014 219, CSIC INI 230]</t>
  </si>
  <si>
    <t>Comision Academica de Posgrado (CAP); Comision Sectorial de Investigacion Cientifica (CSIC)</t>
  </si>
  <si>
    <t>The authors would like to thank Comision Academica de Posgrado (CAP) for the postgraduate scholarship given to Eugenia Vila and the Instituto Antartico Uruguayo and Comision Sectorial de Investigacion Cientifica (CSIC) for their financial support (CSIC I+D 2014 219, CSIC INI 230).</t>
  </si>
  <si>
    <t>0168-1656</t>
  </si>
  <si>
    <t>1873-4863</t>
  </si>
  <si>
    <t>J BIOTECHNOL</t>
  </si>
  <si>
    <t>J. Biotechnol.</t>
  </si>
  <si>
    <t>10.1016/j.jbiotec.2020.05.014</t>
  </si>
  <si>
    <t>MB9WN</t>
  </si>
  <si>
    <t>WOS:000542948300006</t>
  </si>
  <si>
    <t>Hill, N; Woolley, SNC; Foster, S; Dunstan, PK; McKinlay, J; Ovaskainen, O; Johnson, C</t>
  </si>
  <si>
    <t>Hill, Nicole; Woolley, Skipton N. C.; Foster, Scott; Dunstan, Piers K.; McKinlay, John; Ovaskainen, Otso; Johnson, Craig</t>
  </si>
  <si>
    <t>Determining marine bioregions: A comparison of quantitative approaches</t>
  </si>
  <si>
    <t>biogeography; bioregionalization; community ecology; ecological statistics; ecoregionalization</t>
  </si>
  <si>
    <t>SPECIES DISTRIBUTION MODELS; GRADIENT FORESTS; COMMUNITY; BIODIVERSITY; MANAGEMENT; PATTERNS; CLASSIFICATION; IMPLEMENTATION; DIVERSITY; TREES</t>
  </si>
  <si>
    <t>Areas that contain ecologically distinct biological content, called bioregions, are a central component to spatial and ecosystem-based management. We review and describe a variety of commonly used and newly developed statistical approaches for quantitatively determining bioregions. Statistical approaches to bioregionalization can broadly be classified as two-stage approaches that either 'Group First, then Predict' or 'Predict First, then Group', or a newer class of one-stage approaches that simultaneously analyse biological data with reference to environmental data to generate bioregions. We demonstrate these approaches using a selection of methods applied to simulated data and real data on demersal fish. The methods are assessed against their ability to answer several common scientific or management questions. The true number of simulated bioregions was only identified by both of the one-stage methods and one two-stage method. When the number of bioregions was known, many of the methods, but not all, could adequately infer the species, environmental and spatial characteristics of bioregions. One-stage approaches, however, do so directly via a single model without the need for separate post-hoc analyses and additionally provide an appropriate characterization of uncertainty. One-stage approaches provide a comprehensive and consistent method for objectively identifying and characterizing bioregions using both biological and environmental data. Potential avenues of future development in one-stage methods include incorporating presence-only and multiple data types as well as considering functional aspects of bioregions.</t>
  </si>
  <si>
    <t>[Hill, Nicole; Johnson, Craig] Univ Tasmania, Inst Marine &amp; Antarctic Studies, Hobart, Tas, Australia; [Woolley, Skipton N. C.; Foster, Scott; Dunstan, Piers K.] Commonwealth Sci &amp; Ind Res Org CSIRO, Hobart, Tas, Australia; [McKinlay, John] Australian Antarctic Div, Kingston, Tas, Australia; [Ovaskainen, Otso] Univ Helsinki, Organismal &amp; Evolutionary Biol Res Programme, Helsinki, Finland</t>
  </si>
  <si>
    <t>University of Tasmania; Commonwealth Scientific &amp; Industrial Research Organisation (CSIRO); Australian Antarctic Division; University of Helsinki</t>
  </si>
  <si>
    <t>Hill, N (corresponding author), Univ Tasmania, Inst Marine &amp; Antarctic Studies, Hobart, Tas, Australia.</t>
  </si>
  <si>
    <t>nicole.hilll@utas.edu.au</t>
  </si>
  <si>
    <t>Ovaskainen, Otso/AGN-4838-2022; Ovaskainen, Otso/D-9119-2012; Hill, Nicole/AAI-7323-2021; Foster, Scott/E-9311-2010; Johnson, Craig/E-1788-2013; Dunstan, Piers/B-7309-2016</t>
  </si>
  <si>
    <t>Ovaskainen, Otso/0000-0001-9750-4421; Ovaskainen, Otso/0000-0001-9750-4421; Hill, Nicole/0000-0001-9329-6717; Foster, Scott/0000-0002-6719-8002; Woolley, Skipton/0000-0001-7022-0509; Johnson, Craig/0000-0002-9511-905X; McKinlay, John/0000-0003-4858-2604; Dunstan, Piers/0000-0002-2568-5945</t>
  </si>
  <si>
    <t>Australian Antarctic Science Grant [4124]; Academy of Finland [309581]; Strategic Research Council of the Academy of Finland [312650]; Academy of Finland (AKA) [309581] Funding Source: Academy of Finland (AKA)</t>
  </si>
  <si>
    <t>Australian Antarctic Science Grant; Academy of Finland(Research Council of Finland); Strategic Research Council of the Academy of Finland; Academy of Finland (AKA)</t>
  </si>
  <si>
    <t>Australian Antarctic Science Grant, Grant/Award Number: 4124; Academy of Finland, Grant/Award Number: 309581; Strategic Research Council of the Academy of Finland, Grant/Award Number: 312650</t>
  </si>
  <si>
    <t>10.1111/2041-210X.13447</t>
  </si>
  <si>
    <t>NU7OP</t>
  </si>
  <si>
    <t>WOS:000557272500001</t>
  </si>
  <si>
    <t>Panwar, P; Allen, MA; Williams, TJ; Hancock, AM; Brazendale, S; Bevington, J; Roux, S; Páez-Espino, D; Nayfach, S; Berg, M; Schulz, F; Chen, IMA; Huntemann, M; Shapiro, N; Kyrpides, NC; Woyke, T; Eloe-Fadrosh, EA; Cavicchioli, R</t>
  </si>
  <si>
    <t>Panwar, Pratibha; Allen, Michelle A.; Williams, Timothy J.; Hancock, Alyce M.; Brazendale, Sarah; Bevington, James; Roux, Simon; Paez-Espino, David; Nayfach, Stephen; Berg, Maureen; Schulz, Frederik; Chen, I-Min A.; Huntemann, Marcel; Shapiro, Nicole; Kyrpides, Nikos C.; Woyke, Tanja; Eloe-Fadrosh, Emiley A.; Cavicchioli, Ricardo</t>
  </si>
  <si>
    <t>Influence of the polar light cycle on seasonal dynamics of an Antarctic lake microbial community</t>
  </si>
  <si>
    <t>MICROBIOME</t>
  </si>
  <si>
    <t>Antarctic microbiology; Polar light cycle; Metagenome time series; Host-virus interactions; Meromictic lake; Microbial food web; Green sulfur bacteria; Phototroph</t>
  </si>
  <si>
    <t>COMPLETE GENOME SEQUENCE; GREEN SULFUR BACTERIUM; SUMMER BACTERIOPLANKTON; PHOSPHONATE UTILIZATION; CHLOROBIUM-TEPIDUM; ACE LAKE; GENE; DIVERSITY; ECOLOGY; DISPROPORTIONATION</t>
  </si>
  <si>
    <t>Background: Cold environments dominate the Earth's biosphere and microbial activity drives ecosystem processes thereby contributing greatly to global biogeochemical cycles. Polar environments differ to all other cold environments by experiencing 24-h sunlight in summer and no sunlight in winter. The Vestfold Hills in East Antarctica contains hundreds of lakes that have evolved from a marine origin only 3000-7000 years ago. Ace Lake is a meromictic (stratified) lake from this region that has been intensively studied since the 1970s. Here, a total of 120 metagenomes representing a seasonal cycle and four summers spanning a 10-year period were analyzed to determine the effects of the polar light cycle on microbial-driven nutrient cycles. Results: The lake system is characterized by complex sulfur and hydrogen cycling, especially in the anoxic layers, with multiple mechanisms for the breakdown of biopolymers present throughout the water column. The two most abundant taxa are phototrophs (green sulfur bacteria and cyanobacteria) that are highly influenced by the seasonal availability of sunlight. The extent of the Chlorobium biomass thriving at the interface in summer was captured in underwater video footage. The Chlorobium abundance dropped from up to 83% in summer to 6% in winter and 1% in spring, before rebounding to high levels. PredictedChlorobiumviruses and cyanophage were also abundant, but their levels did not negatively correlate with their hosts. Conclusion: Over-wintering expeditions in Antarctica are logistically challenging, meaning insight into winter processes has been inferred from limited data. Here, we found that in contrast to chemolithoautotrophic carbon fixation potential of Southern Ocean Thaumarchaeota, this marine-derived lake evolved a reliance on photosynthesis. While viruses associated with phototrophs also have high seasonal abundance, the negative impact of viral infection on host growth appeared to be limited. The microbial community as a whole appears to have developed a capacity to generate biomass and remineralize nutrients, sufficient to sustain itself between two rounds of sunlight-driven summer-activity. In addition, this unique metagenome dataset provides considerable opportunity for future interrogation of eukaryotes and their viruses, abundant uncharacterized taxa (i.e. dark matter), and for testing hypotheses about endemic species in polar aquatic ecosystems.</t>
  </si>
  <si>
    <t>[Panwar, Pratibha; Allen, Michelle A.; Williams, Timothy J.; Hancock, Alyce M.; Brazendale, Sarah; Bevington, James; Cavicchioli, Ricardo] UNSW Sydney, Sch Biotechnol &amp; Biomol Sci, Sydney, NSW 2052, Australia; [Roux, Simon; Paez-Espino, David; Nayfach, Stephen; Berg, Maureen; Schulz, Frederik; Chen, I-Min A.; Huntemann, Marcel; Shapiro, Nicole; Kyrpides, Nikos C.; Woyke, Tanja; Eloe-Fadrosh, Emiley A.] Joint Genome Inst, Dept Energy, Berkeley, CA USA; [Hancock, Alyce M.] Univ Tasmania, Inst Marine &amp; Antarctic Studies, 20 Castray Esplanade, Battery Point, Tas, Australia; [Brazendale, Sarah] 476 Lancaster Rd, Pegarah, Australia; [Paez-Espino, David] Mammoth BioSci, 279 East Grand Ave, San Francisco, CA USA</t>
  </si>
  <si>
    <t>University of New South Wales Sydney; United States Department of Energy (DOE); Joint Genome Institute - JGI; University of Tasmania</t>
  </si>
  <si>
    <t>Cavicchioli, R (corresponding author), UNSW Sydney, Sch Biotechnol &amp; Biomol Sci, Sydney, NSW 2052, Australia.</t>
  </si>
  <si>
    <t>r.cavicchioli@unsw.edu.au</t>
  </si>
  <si>
    <t>Bevington, James/JMQ-9208-2023; Eloe-Fadrosh, Emiley/AAP-8019-2021; Roux, Simon/ABE-6255-2020; Huntemann, Marcel/HCH-8928-2022; Panwar, Pratibha/JFJ-6910-2023; Schulz, Frederik/HOF-4050-2023; Kyrpides, Nikos C./A-6305-2014; Cavicchioli, Ricardo/D-4341-2013; Woyke, Tanja/S-7870-2018</t>
  </si>
  <si>
    <t>Roux, Simon/0000-0002-5831-5895; Huntemann, Marcel/0000-0002-1284-3748; Panwar, Pratibha/0000-0002-7437-7084; Kyrpides, Nikos C./0000-0002-6131-0462; Eloe-Fadrosh, Emiley/0000-0002-8162-1276; Williams, Timothy/0000-0002-2738-3019; Cavicchioli, Ricardo/0000-0001-8989-6402; Nayfach, Stephen/0000-0003-4625-4164; Allen, Michelle/0000-0002-8852-1454; Woyke, Tanja/0000-0002-9485-5637</t>
  </si>
  <si>
    <t>Australian Research Council [DP150100244]; Australian Antarctic Science Program [4031]; Office of Science of the US Department of Energy [DE-AC02-05CH11231]</t>
  </si>
  <si>
    <t>Australian Research Council(Australian Research Council); Australian Antarctic Science Program; Office of Science of the US Department of Energy(United States Department of Energy (DOE))</t>
  </si>
  <si>
    <t>This work was supported by the Australian Research Council (DP150100244) and the Australian Antarctic Science Program (project 4031). The work conducted by the US Department of Energy Joint Genome Institute, a DOE Office of Science User Facility, is supported by the Office of Science of the US Department of Energy under contract no. DE-AC02-05CH11231.</t>
  </si>
  <si>
    <t>2049-2618</t>
  </si>
  <si>
    <t>Microbiome</t>
  </si>
  <si>
    <t>AUG 9</t>
  </si>
  <si>
    <t>10.1186/s40168-020-00889-8</t>
  </si>
  <si>
    <t>NC0EM</t>
  </si>
  <si>
    <t>WOS:000560886100001</t>
  </si>
  <si>
    <t>Crane, L</t>
  </si>
  <si>
    <t>Crane, Leah</t>
  </si>
  <si>
    <t>Astronomy World's finest view of the stars is from an Antarctic hill</t>
  </si>
  <si>
    <t>NEW SCIENTIST</t>
  </si>
  <si>
    <t>News Item</t>
  </si>
  <si>
    <t>REED BUSINESS INFORMATION LTD</t>
  </si>
  <si>
    <t>SUTTON</t>
  </si>
  <si>
    <t>QUADRANT HOUSE THE QUADRANT, SUTTON SM2 5AS, SURREY, ENGLAND</t>
  </si>
  <si>
    <t>0262-4079</t>
  </si>
  <si>
    <t>NEW SCI</t>
  </si>
  <si>
    <t>New Sci.</t>
  </si>
  <si>
    <t>AUG 8</t>
  </si>
  <si>
    <t>NA5YI</t>
  </si>
  <si>
    <t>WOS:000559891300018</t>
  </si>
  <si>
    <t>Perera-Castro, AV; Waterman, MJ; Turnbull, JD; Ashcroft, MB; McKinley, E; Watling, JR; Bramley-Alves, J; Casanova-Katny, A; Zuniga, G; Flexas, J; Robinson, SA</t>
  </si>
  <si>
    <t>Perera-Castro, Alicia, V; Waterman, Melinda J.; Turnbull, Johanna D.; Ashcroft, Michael B.; McKinley, Ella; Watling, Jennifer R.; Bramley-Alves, Jessica; Casanova-Katny, Angelica; Zuniga, Gustavo; Flexas, Jaume; Robinson, Sharon A.</t>
  </si>
  <si>
    <t>It Is Hot in the Sun: Antarctic Mosses Have High Temperature Optima for Photosynthesis Despite Cold Climate</t>
  </si>
  <si>
    <t>Antarctica; bryophytes; carbon balance; electron transport rate; mesophyll conductance; net CO(2)assimilation; non-photochemical quenching; respiration</t>
  </si>
  <si>
    <t>EXCITATION-ENERGY DISSIPATION; MESOPHYLL CONDUCTANCE; CHLOROPHYLL FLUORESCENCE; PHOTOSYSTEM-II; ELECTRON-TRANSPORT; XANTHOPHYLL CYCLE; INTERNAL CONDUCTANCE; CARBON ASSIMILATION; NET PHOTOSYNTHESIS; GAS-EXCHANGE</t>
  </si>
  <si>
    <t>The terrestrial flora of Antarctica's frozen continent is restricted to sparse ice-free areas and dominated by lichens and bryophytes. These plants frequently battle sub-zero temperatures, extreme winds and reduced water availability; all influencing their ability to survive and grow. Antarctic mosses, however, can have canopy temperatures well above air temperature. At midday, canopy temperatures can exceed 15 degrees C, depending on moss turf water content. In this study, the optimum temperature of photosynthesis was determined for six Antarctic moss species:Bryum pseudotriquetrum,Ceratodon purpureus,Chorisodontium aciphyllum,Polytrichastrum alpinum,Sanionia uncinata, andSchistidium antarcticicollected from King George Island (maritime Antarctica) and/or the Windmill Islands, East Antarctica. Both chlorophyll fluorescence and gas exchange showed maximum values of electron transport rate occurred at canopy temperatures higher than 20 degrees C. The optimum temperature for both net assimilation of CO(2)and photoprotective heat dissipation of three East Antarctic species was 20-30 degrees C and at temperatures below 10 degrees C, mesophyll conductance did not significantly differ from 0. Maximum mitochondrial respiration rates occurred at temperatures higher than 35 degrees C and were lower by around 80% at 5 degrees C. Despite the extreme cold conditions that Antarctic mosses face over winter, the photosynthetic apparatus appears optimised to warm temperatures. Our estimation of the total carbon balance suggests that survival in this cold environment may rely on a capacity to maximize photosynthesis for brief periods during summer and minimize respiratory carbon losses in cold conditions.</t>
  </si>
  <si>
    <t>[Perera-Castro, Alicia, V; Flexas, Jaume] Univ Illes Balears, Dept Biol, INAGEA, Palma De Mallorca, Spain; [Perera-Castro, Alicia, V; Waterman, Melinda J.; Turnbull, Johanna D.; Ashcroft, Michael B.; Bramley-Alves, Jessica; Robinson, Sharon A.] Univ Wollongong, Sch Earth Atmosphere &amp; Life Sci, Ctr Sustain Ecosyst Solut, Wollongong, NSW, Australia; [McKinley, Ella; Watling, Jennifer R.] Univ Adelaide, Sch Biol Sci, Adelaide, SA, Australia; [Watling, Jennifer R.] Manchester Metropolitan Univ, Manchester, Lancs, England; [Casanova-Katny, Angelica] Univ Catolica Temuco, Fac Recursos Nat, Lab Ecofisiol Vegetal &amp; Cambio Climat &amp; Nucleo Es, Temuco, Chile; [Zuniga, Gustavo] Univ Santiago Chile, Fac Quim &amp; Biol, Santiago, Chile; [Robinson, Sharon A.] Univ Wollongong, Global Challenges Program, Wollongong, NSW, Australia</t>
  </si>
  <si>
    <t>Universitat de les Illes Balears; University of Wollongong; University of Adelaide; Manchester Metropolitan University; Universidad Catolica de Temuco; Universidad de Santiago de Chile; University of Wollongong</t>
  </si>
  <si>
    <t>Perera-Castro, AV (corresponding author), Univ Illes Balears, Dept Biol, INAGEA, Palma De Mallorca, Spain.;Perera-Castro, AV (corresponding author), Univ Wollongong, Sch Earth Atmosphere &amp; Life Sci, Ctr Sustain Ecosyst Solut, Wollongong, NSW, Australia.</t>
  </si>
  <si>
    <t>pererealicia11@gmail.com</t>
  </si>
  <si>
    <t>Perera Castro, Alicia V./C-4856-2019; Watling, Jennifer R/B-9485-2008; Flexas, Jaume/C-1898-2012; Robinson, Sharon/B-2683-2008; Casanova-Katny, Angelica/M-3994-2014</t>
  </si>
  <si>
    <t>Perera Castro, Alicia V./0000-0001-8451-6052; Robinson, Sharon/0000-0002-7130-9617; Casanova-Katny, Angelica/0000-0003-3860-1445; Watling, Jennifer/0000-0001-6305-9905; Waterman, Melinda/0000-0001-5907-4512; Turnbull, Johanna/0000-0002-4214-1675; Zuniga, Gustavo/0000-0002-8286-9468</t>
  </si>
  <si>
    <t>Spanish Ministry of Education, Culture and Sport (MECD) [FPU-02054]; Instituto Antartico Chileno (INACH) [RT-2716]; National Fund for Scientific and Technological Development (FONDECYT) [118745]; Australian Antarctic Science [4046]; ARC [DP110101714, DP180100113]; Global Challenges Project Grant ECOAntarctica (GC Project) [91]</t>
  </si>
  <si>
    <t>Spanish Ministry of Education, Culture and Sport (MECD)(Spanish Government); Instituto Antartico Chileno (INACH); National Fund for Scientific and Technological Development (FONDECYT)(Comision Nacional de Investigacion Cientifica y Tecnologica (CONICYT)CONICYT FONDECYT); Australian Antarctic Science; ARC(Australian Research Council); Global Challenges Project Grant ECOAntarctica (GC Project)</t>
  </si>
  <si>
    <t>The Spanish Ministry of Education, Culture and Sport (MECD) supported pre-doctoral fellowship (FPU-02054) awarded to APC. Research on King George Island was supported by the Instituto Antartico Chileno (INACH Grant RT-2716 to AC-K) and the National Fund for Scientific and Technological Development (FONDECYT grant 118745 to AC-K). Research at Casey was supported by Australian Antarctic Science Grant 4046 (SR). Research was funded by ARC DP110101714 (SR) and DP180100113 (SR) and a Global Challenges Project Grant ECOAntarctica (GC Project ID 91 to MW).</t>
  </si>
  <si>
    <t>10.3389/fpls.2020.01178</t>
  </si>
  <si>
    <t>NI4OU</t>
  </si>
  <si>
    <t>WOS:000565334000001</t>
  </si>
  <si>
    <t>Tang, XY; Guo, JX; Dou, YK; Zhang, YZ; Cheng, SY; Luo, K; Yu, LJ; Cui, XB; Li, L; Zhang, SK; Sun, B</t>
  </si>
  <si>
    <t>Tang, Xueyuan; Guo, Jingxue; Dou, Yinke; Zhang, Yuzhong; Cheng, Siyuan; Luo, Kun; Yu, Lejiang; Cui, Xiangbin; Li, Lin; Zhang, Shengkai; Sun, Bo</t>
  </si>
  <si>
    <t>Glaciological and Meteorological Conditions at the Chinese Taishan Station, East Antarctica</t>
  </si>
  <si>
    <t>Chinese Taishan Station; glaciological and meteorological conditions; internal layer; mass balance; age-depth profile</t>
  </si>
  <si>
    <t>ZHONGSHAN STATION; ICE THICKNESS; TRAVERSE ROUTE; DOME; SURFACE; SNOW; TRANSECT; VELOCITY; VICINITY; NITRATE</t>
  </si>
  <si>
    <t>The glacio-meteorological characteristics of Princess Elizabeth Land in East Antarctica are poorly known due to a lack of measurement. This is problematic given the importance of this area for understanding ice sheet dynamics and climate change. We present a comprehensive approach (including field surveys, reanalysis data, remote sensing, and ice flow models) to investigate the glaciological and meteorological conditions in the vicinity of the new Chinese Taishan Station (73.864 degrees S, 76.974 degrees E) in Princess Elizabeth Land. We collected the datasets of satellite-derived ice surface velocities, surface mass balance, and wind field; mapped the ice thickness and internal layers around the Taishan Station site; and constructed profiles of the surface snow temperature and snow density. Also, we used a transient 1-D thermodynamical model to simulate the age of ice and the basal temperature with surface meteorological data and subglacial topography as boundary conditions. These investigations showed that Taishan Station is subject to a relatively high wind velocity, low temperatures (about -36 degrees C), and simple ice flow. The well-behaved internal layer stratigraphy implies that the ice flow of Taishan Station has been relatively stable, possibly for a long time. The fact that the internal layers are conformal with bed topography-there is a relatively old basal age from ice modeling-and that the site lies over a bed depression filled with ice 1,900 m thick, suggests that Taishan Station may be a good location for obtaining undisturbed old ice at depth. The combination of glacio-meteorological parameters suggests that Taishan Station is a potential drill site for the Chinese Antarctic Research Expedition and an ideal logistical support location for proposed scientific field activities in the East Antarctic ice sheet (e.g., Dome A, Grove Mountains, and Princess Elizabeth Land).</t>
  </si>
  <si>
    <t>[Tang, Xueyuan; Guo, Jingxue; Zhang, Yuzhong; Cheng, Siyuan; Luo, Kun; Yu, Lejiang; Cui, Xiangbin; Li, Lin; Sun, Bo] Polar Res Inst China, Shanghai, Peoples R China; [Dou, Yinke; Zhang, Yuzhong] Taiyuan Univ Technol, Coll Elect &amp; Power Engn, Taiyuan, Peoples R China; [Cheng, Siyuan; Luo, Kun] Jilin Univ, Coll Geoexplorat Sci &amp; Technol, Changchun, Peoples R China; [Zhang, Shengkai] Wuhan Univ, Sch Geodesy &amp; Geomat, Chinese Antarctic Ctr Surveying &amp; Mapping, Wuhan, Peoples R China</t>
  </si>
  <si>
    <t>Polar Research Institute of China; Taiyuan University of Technology; Jilin University; Wuhan University</t>
  </si>
  <si>
    <t>Tang, XY (corresponding author), Polar Res Inst China, Shanghai, Peoples R China.</t>
  </si>
  <si>
    <t>tangxueyuan@pric.org.cn</t>
  </si>
  <si>
    <t>Luo, Kun/HNQ-1811-2023; sun, bo/JFA-9978-2023</t>
  </si>
  <si>
    <t>Luo, Kun/0000-0002-1879-9100; Yu, Lejiang/0000-0003-0535-1937</t>
  </si>
  <si>
    <t>National Natural Science Foundation of China [41876230, 41876227, 41941006, 41776199]; Chinese Polar Environmental Comprehensive Investigation and Assessment Programs [CHIANRE 2017-01-01]</t>
  </si>
  <si>
    <t>National Natural Science Foundation of China(National Natural Science Foundation of China (NSFC)); Chinese Polar Environmental Comprehensive Investigation and Assessment Programs</t>
  </si>
  <si>
    <t>This study was supported by the National Natural Science Foundation of China (Nos. 41876230, 41876227, 41941006, and 41776199) and the Chinese Polar Environmental Comprehensive Investigation and Assessment Programs (CHIANRE 2017-01-01).</t>
  </si>
  <si>
    <t>10.3389/feart.2020.00250</t>
  </si>
  <si>
    <t>NF5IE</t>
  </si>
  <si>
    <t>WOS:000563329200001</t>
  </si>
  <si>
    <t>Orme, LC; Crosta, X; Miettinen, A; Divine, DV; Husum, K; Isaksson, E; Wacker, L; Mohan, R; Ther, O; Ikehara, M</t>
  </si>
  <si>
    <t>Orme, Lisa Claire; Crosta, Xavier; Miettinen, Arto; Divine, Dmitry, V; Husum, Katrine; Isaksson, Elisabeth; Wacker, Lukas; Mohan, Rahul; Ther, Olivier; Ikehara, Minoru</t>
  </si>
  <si>
    <t>Sea surface temperature in the Indian sector of the Southern Ocean over the Late Glacial and Holocene</t>
  </si>
  <si>
    <t>MAJOR DIATOM TAXA; ANTARCTIC CLIMATE VARIABILITY; HEMISPHERE WESTERLY WINDS; ATMOSPHERIC CO2; ATLANTIC SECTOR; LAST DEGLACIATION; ANNULAR MODE; CONRAD RISE; ICE; SEDIMENTS</t>
  </si>
  <si>
    <t>Centennial- and millennial-scale variability of Southern Ocean temperature over the Holocene is poorly known, due to both short instrumental records and sparsely distributed high-resolution temperature reconstructions, with evidence for past temperature variations in the region coming mainly from ice core records. Here we present a high-resolution (similar to 60 year), diatom-based sea surface temperature (SST) reconstruction from the western Indian sector of the Southern Ocean that spans the interval 14.2 to 1.0 ka (calibrated kiloyears before present). During the late deglaciation, the new SST record shows cool temperatures at 14.2-12.9 ka and gradual warming between 12.9 and 11.6 ka in phase with atmospheric temperature evolution. This supports the evolution of the Southern Ocean SST during the deglaciation being linked with a complex combination of processes and drivers associated with reorganisations of atmospheric and oceanic circulation patterns. Specifically, we suggest that Southern Ocean surface warming coincided, within the dating uncertainties, with the reconstructed slowdown of the Atlantic Meridional Overturning Circulation (AMOC), rising atmospheric CO2 levels, changes in the southern westerly winds and enhanced upwelling. During the Holocene the record shows warm and stable temperatures from 11.6 to 8.7 ka followed by a slight cooling and greater variability from 8.7 to 1 ka, with a quasi-periodic variability of 200-260 years identified by spectral analysis. We suggest that the increased variability during the mid- to late Holocene reflects the establishment of centennial variability in SST connected with changes in the high-latitude atmospheric circulation and Southern Ocean convection.</t>
  </si>
  <si>
    <t>[Orme, Lisa Claire; Miettinen, Arto; Divine, Dmitry, V; Husum, Katrine; Isaksson, Elisabeth] Norwegian Polar Res Inst, N-9296 Tromso, Norway; [Orme, Lisa Claire] Maynooth Univ, Dept Geog, ICARUS, Maynooth, Kildare, Ireland; [Crosta, Xavier; Ther, Olivier] Univ Bordeaux, EPOC, UMR 5805, Bordeaux, France; [Miettinen, Arto] Univ Helsinki, Ecosyst &amp; Environm Res Programme, Helsinki, Finland; [Wacker, Lukas] Swiss Fed Inst Technol, Dept Phys, CH-8093 Zurich, Switzerland; [Mohan, Rahul] Minist Earth Sci, Natl Ctr Polar &amp; Ocean Res NCPOR, Vasco Da Gama 403804, Goa, India; [Ikehara, Minoru] Kochi Univ, Ctr Adv Marine Core Res, Nankoku, Kochi 7838502, Japan</t>
  </si>
  <si>
    <t>Norwegian Polar Institute; Maynooth University; Centre National de la Recherche Scientifique (CNRS); CNRS - National Institute for Earth Sciences &amp; Astronomy (INSU); Universite de Bordeaux; University of Helsinki; Swiss Federal Institutes of Technology Domain; ETH Zurich; Ministry of Earth Sciences (MoES) - India; National Centre for Polar and Ocean Research (NCPOR); Kochi University</t>
  </si>
  <si>
    <t>Orme, LC (corresponding author), Norwegian Polar Res Inst, N-9296 Tromso, Norway.;Orme, LC (corresponding author), Maynooth Univ, Dept Geog, ICARUS, Maynooth, Kildare, Ireland.</t>
  </si>
  <si>
    <t>lisa.orme@mu.ie</t>
  </si>
  <si>
    <t>Husum, Katrine/HGD-4711-2022; Miettinen, Arto/E-2458-2013</t>
  </si>
  <si>
    <t>Husum, Katrine/0000-0003-1380-5900; Orme, Lisa Claire/0000-0003-0210-9264; Miettinen, Arto/0000-0003-4537-2556; Ikehara, Minoru/0000-0002-2695-4713; Wacker, Lukas/0000-0002-8215-2678</t>
  </si>
  <si>
    <t>Research Council of Norway [248776/E10]; Ministry of Earth Science, Earth System Science Organization [MoES/Indo-Nor/PS-2/2015]; JSPS KAKENHI [23244102, 17H06318]; Grants-in-Aid for Scientific Research [17H06318, 23244102] Funding Source: KAKEN</t>
  </si>
  <si>
    <t>Research Council of Norway(Research Council of Norway); Ministry of Earth Science, Earth System Science Organization; 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</si>
  <si>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This research has been supported by the Research Council of Norway (grant no. 248776/E10), the Ministry of Earth Science, Earth System Science Organization (grant no. MoES/Indo-Nor/PS-2/2015), and the JSPS KAKENHI (grant nos. 23244102, 17H06318).</t>
  </si>
  <si>
    <t>10.5194/cp-16-1451-2020</t>
  </si>
  <si>
    <t>ND6PR</t>
  </si>
  <si>
    <t>WOS:000562026200001</t>
  </si>
  <si>
    <t>Reiss, CS; Hinke, JT; Watters, GM</t>
  </si>
  <si>
    <t>Reiss, Christian S.; Hinke, Jefferson T.; Watters, George M.</t>
  </si>
  <si>
    <t>Demographic and maturity patterns of Antarctic krill (Euphausia superba) in an overwintering hotspot</t>
  </si>
  <si>
    <t>Antarctic krill; Recruitment; Maturity; Climate change; ENSO</t>
  </si>
  <si>
    <t>SOUTHERN-OCEAN; SEA-ICE; LARVAL KRILL; LIPID-METABOLISM; SEASONAL CYCLE; CLIMATE-CHANGE; SIZE STRUCTURE; SCOTIA SEA; GROWTH; VARIABILITY</t>
  </si>
  <si>
    <t>Overwinter environmental conditions are a major driver of larval survival, recruitment, and reproductive pre-conditioning in Antarctic krill (Euphausia superba). Few winter studies exist from which to infer impacts of changing environmental conditions on the biology of krill. Here demographic and maturity patterns of krill during five winters are examined at an overwintering hotspot in the northern Antarctic Peninsula. Two different recruitment pulses were present over the 5 years of the study. A large recruitment event was evident in winter 2012, followed by cohort growth tracked through winter 2014. A recruitment event also occurred in 2015, despite lower abundance of larvae in 2013 and 2014. The recruitment pulse in 2015 was correlated with the intrusion of high salinity water, characteristic of the Weddell Sea, during a positive El Nino-Southern Oscillation phase, suggesting recruitment was driven by advection of recruits into the northern Antarctic Peninsula. Despite the inter-annual environmental variability, most female krill were in resting reproductive stages in all years. The lack of variability in female reproductive status during winter may impose a developmental constraint to earlier spawning than previously considered; the time necessary to advance from resting stages to reproductive maturity may limit the ability of krill to adapt to trends in the timing and magnitude of the spring bloom. The observed patterns of recruitment and variation in maturity stages highlight the complexity of krill population dynamics and should be considered when projecting population responses of Antarctic krill to climate-driven changes in the Southern Ocean.</t>
  </si>
  <si>
    <t>[Reiss, Christian S.; Hinke, Jefferson T.; Watters, George M.] NOAA Fisheries, Antarctic Ecosyst Res Div, Southwest Fisheries Sci Ctr, 8901 La Jolla Shores Dr, La Jolla, CA 92037 USA</t>
  </si>
  <si>
    <t>National Oceanic Atmospheric Admin (NOAA) - USA</t>
  </si>
  <si>
    <t>Reiss, CS (corresponding author), NOAA Fisheries, Antarctic Ecosyst Res Div, Southwest Fisheries Sci Ctr, 8901 La Jolla Shores Dr, La Jolla, CA 92037 USA.</t>
  </si>
  <si>
    <t>christian.reiss@noaa.gov</t>
  </si>
  <si>
    <t>, Jefferson/AAG-1702-2021; Watters, George/HPE-2184-2023</t>
  </si>
  <si>
    <t>, Jefferson/0000-0002-3600-1414; Watters, George/0000-0002-6989-1273</t>
  </si>
  <si>
    <t>U.S. National Science Foundation United States Antarctic Program</t>
  </si>
  <si>
    <t>We thank the Captain and Crew of the RVIB Nathaniel B. Palmer for the excellent seamanship allowing us to accomplish this research. A big thanks to the ASC Contractors that helped with all of our work. This work would not have been possible without our continued partnership with the U.S. National Science Foundation United States Antarctic Program. The entire zooplankton team over the five years of this study are thanked for their hard work. Special thanks to Kim Dietrich for leading the zooplankton team. Thanks also to Jennifer Walsh for reading and suggesting some clarifying edits.</t>
  </si>
  <si>
    <t>10.1007/s00300-020-02704-4</t>
  </si>
  <si>
    <t>NF7PO</t>
  </si>
  <si>
    <t>WOS:000557139900001</t>
  </si>
  <si>
    <t>Burri, L; Berge, K; Chumkam, S; Jintasataporn, O</t>
  </si>
  <si>
    <t>Burri, Lena; Berge, Kjetil; Chumkam, Srinoy; Jintasataporn, Orapint</t>
  </si>
  <si>
    <t>Effects of different feed inclusion levels of krill meal on growth and hepatopancreas morphology ofLitopenaeus vannamei</t>
  </si>
  <si>
    <t>growth enhancement; hepatopancreas; krill meal; Litopenaeus vannamei; low fishmeal</t>
  </si>
  <si>
    <t>WHITE SHRIMP; FISH-MEAL; DIETS; INGREDIENTS; OIL</t>
  </si>
  <si>
    <t>[Burri, Lena] Aker Biomarine Antarctic AS, Oksenoyveien 10, NO-13327 Lysaker, Norway; [Berge, Kjetil] Skretting AS, Stavanger, Norway; [Chumkam, Srinoy] Valaya Alongkorn Rajabhat Univ, Fac Agr Technol, Pathum Thani, Thailand; [Jintasataporn, Orapint] Kasetsart Univ, Dept Aquaculture, Fac Fisheries, Bangkok, Thailand</t>
  </si>
  <si>
    <t>Valaya Alongkorn Rajabhat University; Kasetsart University</t>
  </si>
  <si>
    <t>Burri, L (corresponding author), Aker Biomarine Antarctic AS, Oksenoyveien 10, NO-13327 Lysaker, Norway.</t>
  </si>
  <si>
    <t>10.1111/are.14809</t>
  </si>
  <si>
    <t>NY2JM</t>
  </si>
  <si>
    <t>WOS:000556354700001</t>
  </si>
  <si>
    <t>Williams, CJR; Guarino, MV; Capron, E; Malmierca-Vallet, I; Singarayer, JS; Sime, LC; Lunt, DJ; Valdes, PJ</t>
  </si>
  <si>
    <t>Williams, Charles J. R.; Guarino, Maria-Vittoria; Capron, Emilie; Malmierca-Vallet, Irene; Singarayer, Joy S.; Sime, Louise C.; Lunt, Daniel J.; Valdes, Paul J.</t>
  </si>
  <si>
    <t>CMIP6/PMIP4 simulations of the mid-Holocene and Last Interglacial using HadGEM3: comparison to the pre-industrial era, previous model versions and proxy data</t>
  </si>
  <si>
    <t>GLACIAL MAXIMUM; PMIP4 CONTRIBUTION; EXPERIMENTAL-DESIGN; SCIENTIFIC OBJECTIVES; ARABIAN PENINSULA; DATA SET; CLIMATE; TEMPERATURE; MONSOON; SENSITIVITY</t>
  </si>
  <si>
    <t>Palaeoclimate model simulations are an important tool to improve our understanding of the mechanisms of climate change. These simulations also provide tests of the ability of models to simulate climates very different to today. Here we present the results from two brand-new simulations using the latest version of the UK's physical climate model, HadGEM3-GC3.1; they are the mid-Holocene (similar to 6 ka) and Last Interglacial (similar to 127 ka) simulations, both conducted under the auspices of CMIP6/PMIP4. This is the first time this version of the UK model has been used to conduct palaeo-climate simulations. These periods are of particular interest to PMIP4 because they represent the two most recent warm periods in Earth history, where atmospheric concentration of greenhouse gases and continental configuration are similar to the pre-industrial period but where there were significant changes to the Earth's orbital configuration, resulting in a very different seasonal cycle of radiative forcing. Results for these simulations are assessed firstly against the same model's pre-industrial control simulation (a simulation comparison, to describe and understand the differences between the pre-industrial - PI - and the two palaeo simulations) and secondly against previous versions of the same model relative to newly available proxy data (a model-data comparison, to compare all available simulations from the same model with proxy data to assess any improvements due to model advances). The introduction of this newly available proxy data adds further novelty to this study. Globally, for metrics such as 1.5 m temperature and surface rainfall, whilst both the recent palaeoclimate simulations are mostly capturing the expected sign and, in some places, magnitude of change relative to the pre-industrial, this is geographically and seasonally dependent. Compared to newly available proxy data (including sea surface temperature - SST - and rainfall) and also incorporating data from previous versions of the model shows that the relative accuracy of the simulations appears to vary according to metric, proxy reconstruction used for comparison and geographical location. In some instances, such as mean rainfall in the mid-Holocene, there is a clear and linear improvement, relative to proxy data, from the oldest to the newest generation of the model. When zooming into northern Africa, a region known to be problematic for models in terms of rainfall enhancement, the behaviour of the West African monsoon in both recent palaeoclimate simulations is consistent with current understanding, suggesting a wetter monsoon during the mid-Holocene and (more so) the Last Interglacial, relative to the pre-industrial era. However, regarding the well-documented Saharan greening during the mid-Holocene, results here suggest that the most recent version of the UK's physical model is still unable to reproduce the increases suggested by proxy data, consistent with all other previous models to date.</t>
  </si>
  <si>
    <t>[Williams, Charles J. R.; Malmierca-Vallet, Irene; Singarayer, Joy S.; Lunt, Daniel J.; Valdes, Paul J.] Univ Bristol, Sch Geog Sci, Bristol, Avon, England; [Williams, Charles J. R.; Sime, Louise C.] Univ Reading, NCAS Climate, Reading, Berks, England; [Williams, Charles J. R.; Singarayer, Joy S.; Sime, Louise C.] Univ Reading, Dept Meteorol, Reading, Berks, England; [Guarino, Maria-Vittoria; Malmierca-Vallet, Irene] British Antarctic Survey, Cambridge, England; [Capron, Emilie] Univ Copenhagen, Niels Bohr Inst, Phys Ice Climate &amp; Earth, Copenhagen, Denmark; [Singarayer, Joy S.] Univ Reading, Sch Archaeol Geog &amp; Environm Sci, Reading, Berks, England</t>
  </si>
  <si>
    <t>University of Bristol; UK Research &amp; Innovation (UKRI); Natural Environment Research Council (NERC); NERC National Centre for Atmospheric Science; University of Reading; University of Reading; UK Research &amp; Innovation (UKRI); Natural Environment Research Council (NERC); NERC British Antarctic Survey; University of Copenhagen; Niels Bohr Institute; University of Reading</t>
  </si>
  <si>
    <t>Williams, CJR (corresponding author), Univ Bristol, Sch Geog Sci, Bristol, Avon, England.;Williams, CJR (corresponding author), Univ Reading, NCAS Climate, Reading, Berks, England.;Williams, CJR (corresponding author), Univ Reading, Dept Meteorol, Reading, Berks, England.</t>
  </si>
  <si>
    <t>c.j.r.williams@bristol.ac.uk</t>
  </si>
  <si>
    <t>Capron, Emilie/ITU-2672-2023; Sime, Louise/AAX-7730-2021; Lunt, Daniel/G-9451-2011</t>
  </si>
  <si>
    <t>Sime, Louise/0000-0002-9093-7926; Lunt, Daniel/0000-0003-3585-6928; Guarino, Maria Vittoria/0000-0002-7531-4560; Malmierca Vallet, Irene/0000-0002-2871-9741; Williams, Charles/0000-0003-1791-2463; Valdes, Paul/0000-0002-1902-3283</t>
  </si>
  <si>
    <t>UK Natural Environment Research Council [NE/P01903X/1]; Belmont; NERC [NE/P013279/1, NE/P009271/1]; ChronoClimate project; NERC [NE/P009271/1, NE/P01903X/1, bas0100034, NE/P013279/1] Funding Source: UKRI</t>
  </si>
  <si>
    <t>UK Natural Environment Research Council(UK Research &amp; Innovation (UKRI)Natural Environment Research Council (NERC)); Belmont; NERC(UK Research &amp; Innovation (UKRI)Natural Environment Research Council (NERC)); ChronoClimate project; NERC(UK Research &amp; Innovation (UKRI)Natural Environment Research Council (NERC))</t>
  </si>
  <si>
    <t>This research has been supported by the UK Natural Environment Research Council-funded SWEET (Super-Warm Early Eocene Temperatures) project (grant no. NE/P01903X/1), the Belmont-funded PACMEDY, NERC research (grant nos. NE/P013279/1 and NE/P009271/1), and the ChronoClimate project.</t>
  </si>
  <si>
    <t>AUG 6</t>
  </si>
  <si>
    <t>10.5194/cp-16-1429-2020</t>
  </si>
  <si>
    <t>QT8BS</t>
  </si>
  <si>
    <t>WOS:000626813600001</t>
  </si>
  <si>
    <t>Lorda, JF; Ceccaldi, HJ</t>
  </si>
  <si>
    <t>Farber Lorda, Jaime; Ceccaldi, Hubert J.</t>
  </si>
  <si>
    <t>Relationship of morphometrics, total carotenoids, and total lipids with activity and sexual and spatial features in Euphausia superba</t>
  </si>
  <si>
    <t>DIEL VERTICAL MIGRATION; ANTARCTIC KRILL; BIOCHEMICAL-COMPOSITION; MATURITY CYCLE; ZOOPLANKTON; SHRINKAGE; DANA; SUSCEPTIBILITY; ASTAXANTHIN; ULTRAVIOLET</t>
  </si>
  <si>
    <t>Morphological differences associated with sex or stage, together with total lipids and carotenoids, were studied in Euphausia superba as possible indicators of physiological condition. E. superba displays sexual dimorphism during growth. A group of mature males, called Males II herein, has a greater abdominal length, suggesting that they are faster swimmers, a feature implying higher metabolic rates and a higher demand for protecting pigments like carotenoids. Mature Males II have proportionally lower lipids but higher total lipid-soluble carotenoids, a counterintuitive finding. Males II also have bigger eyes. Significant regressions with carotenoids were found for wet weight, abdominal length, and eye diameter. On a spatial analysis, population composition reflects reproductive activity. Males II would be in search of females for fecundation and, thus, are dominant in some areas. The PCA analysis of 10 allometric and biochemical variables show a distinct Males II group differing in morphology, carotenoids, and lipid contents. The carotenoid:lipid ratio was highest for Males II, supporting the hypothesis of the role of carotenoids in the activity of the species. Mature males may experience physiological stress during reproduction and probably die shortly afterwards. A relationship between activity, morphometrics, and carotenoid content seems evident, deserving further investigation.Y</t>
  </si>
  <si>
    <t>[Farber Lorda, Jaime] Ctr Invest Cient &amp; Educ Super Ensenada, Dept Ecol, Ensenada, Baja California, Mexico; [Ceccaldi, Hubert J.] Acad Sci Lettres &amp; Arts Marseille, Marseille, France</t>
  </si>
  <si>
    <t>CICESE - Centro de Investigacion Cientifica y de Educacion Superior de Ensenada</t>
  </si>
  <si>
    <t>Lorda, JF (corresponding author), Ctr Invest Cient &amp; Educ Super Ensenada, Dept Ecol, Ensenada, Baja California, Mexico.</t>
  </si>
  <si>
    <t>jfarber@cicese.mx</t>
  </si>
  <si>
    <t>10.1038/s41598-020-69780-8</t>
  </si>
  <si>
    <t>NT9BN</t>
  </si>
  <si>
    <t>WOS:000573233300006</t>
  </si>
  <si>
    <t>Lee, H; Jo, KN; Hyun, S</t>
  </si>
  <si>
    <t>Lee, Hojun; Jo, Kyoung-nam; Hyun, Sangmin</t>
  </si>
  <si>
    <t>Opposite response modes of NADW dynamics to obliquity forcing during the late Paleogene</t>
  </si>
  <si>
    <t>ATLANTIC DEEP-WATER; WESTERN NORTH-ATLANTIC; OCEAN CIRCULATION; DRAKE PASSAGE; SEA-ICE; EOCENE; NEWFOUNDLAND; TEMPERATURE; VARIABILITY; ANTARCTICA</t>
  </si>
  <si>
    <t>Although the responses of North Atlantic Deep Water (NADW) is deeply connected to orbital rhythms, those under different tectonic and atmospheric boundary conditions remain unknown. Here, we report suborbitally resolved benthic foraminiferal stable isotope data from J-anomaly Ridge in the North Atlantic from ca. 26.4-26.0 Ma. Our results indicate that the formation of NADW during that time interval was increased during the obliquity-paced interglacial periods, similar to in the Plio-Pleistocene. During the late Oligocene, the interglacial poleward shifts of the stronger westerlies in the southern hemisphere, which occurred due to the higher thermal contrasts near the upper limit of the troposphere, reinforced the Antarctic Circumpolar Current (ACC) and, in turn, the Atlantic meridional overturning circulation (AMOC). However, such a response mode in deep ocean circulation did not occur during the middle Eocene because of different tectonic boundary conditions and the immature states of the ACC. Instead, the middle Eocene interglacial conditions weakened the formation of the proto- type NADW due to less heat loss rate in high-latitude regions of the North Atlantic during high obliquity periods. Our findings highlight the different responses of deep ocean circulation to orbital forcing and show that climate feedbacks can be largely sensitive to boundary conditions.</t>
  </si>
  <si>
    <t>[Lee, Hojun; Jo, Kyoung-nam] Kangwon Natl Univ, Coll Nat Sci, Div Geol &amp; Geophys, 1 Kangwondaehak Gil, Chuncheon Si 24341, Gangwon Do, South Korea; [Hyun, Sangmin] Korea Inst Ocean Sci &amp; Technol, Marine Environm Res Ctr, Haeyang Ro 385, Busan 49111, South Korea</t>
  </si>
  <si>
    <t>Kangwon National University; Korea Institute of Ocean Science &amp; Technology (KIOST)</t>
  </si>
  <si>
    <t>Jo, KN (corresponding author), Kangwon Natl Univ, Coll Nat Sci, Div Geol &amp; Geophys, 1 Kangwondaehak Gil, Chuncheon Si 24341, Gangwon Do, South Korea.</t>
  </si>
  <si>
    <t>kjo@kangwon.ac.kr</t>
  </si>
  <si>
    <t>National Research Foundation of Korea (NRF) - Korean government (MSIT) [NRF-2015R1A4A1041105, NRF-2019R1H1A1101097]; International Ocean Discovery Program - Ministry of Oceans and Fisheries, South Korea [20110183]; Korea Basic Science Institute (KBSI) National Research Facilities &amp; Equipment Center (NFEC) Grant - Korean government (Ministry of Education) [2019R1A6C1010006]</t>
  </si>
  <si>
    <t>National Research Foundation of Korea (NRF) - Korean government (MSIT)(National Research Foundation of KoreaMinistry of Science &amp; ICT (MSIT), Republic of Korea); International Ocean Discovery Program - Ministry of Oceans and Fisheries, South Korea; Korea Basic Science Institute (KBSI) National Research Facilities &amp; Equipment Center (NFEC) Grant - Korean government (Ministry of Education)(Ministry of Education (MOE), Republic of Korea)</t>
  </si>
  <si>
    <t>This research was supported by a National Research Foundation of Korea (NRF) Grant funded by the Korean government (MSIT) (Nos. NRF-2015R1A4A1041105, NRF-2019R1H1A1101097). This work was also partially supported by the International Ocean Discovery Program (20110183) funded by the Ministry of Oceans and Fisheries, South Korea, and by a Korea Basic Science Institute (KBSI) National Research Facilities &amp; Equipment Center (NFEC) Grant funded by the Korean government (Ministry of Education) (2019R1A6C1010006).</t>
  </si>
  <si>
    <t>10.1038/s41598-020-70020-2</t>
  </si>
  <si>
    <t>NT9BS</t>
  </si>
  <si>
    <t>WOS:000573234000008</t>
  </si>
  <si>
    <t>Wynn-Edwards, CA; Shadwick, EH; Davies, DM; Bray, SG; Jansen, P; Trinh, R; Trull, TW</t>
  </si>
  <si>
    <t>Wynn-Edwards, Cathryn A.; Shadwick, Elizabeth H.; Davies, Diana M.; Bray, Stephen G.; Jansen, Peter; Trinh, Rebecca; Trull, Thomas W.</t>
  </si>
  <si>
    <t>Particle Fluxes at the Australian Southern Ocean Time Series (SOTS) Achieve Organic Carbon Sequestration at Rates Close to the Global Median, Are Dominated by Biogenic Carbonates, and Show No Temporal Trends Over 20-Years</t>
  </si>
  <si>
    <t>particle flux; Subantarctic Zone; Southern Ocean; time series; seasonal variability; ocean acidification; biological carbon pump</t>
  </si>
  <si>
    <t>POLAR FRONTAL ZONES; PLANKTON COMMUNITY STRUCTURE; SEDIMENT TRAPS; INTERANNUAL VARIABILITY; IRON FERTILIZATION; SEASONAL EVOLUTION; EXPORT EFFICIENCY; SINKING VELOCITY; MIXED-LAYER; SATELLITE</t>
  </si>
  <si>
    <t>Particle fluxes at the Southern Ocean time series (SOTS) site in the Subantarctic Zone (SAZ) south of Australia (similar to 47 degrees S, similar to 142 degrees E, 4600 m water depth) were collected from 1997 - 2017 using moored sediment traps at nominal depths of 1000, 2000, and 3800 m. Annually integrated mass fluxes showed moderate variability of 14 +/- 6 g m(-2)yr(-1)at 1000 m, 20 +/- 6 g m(-2)yr(-1)at 2000 m and 21 +/- 4 g m(-2)yr(-1)at 3800 m. Particulate organic carbon (POC) fluxes were similar to the global median, indicating that the Subantarctic Southern Ocean exports considerable amounts of carbon to the deep sea despite its high-nutrient, low chlorophyll characteristics. The interannual flux variations were larger than those of net primary productivity as estimated from satellite observations. Particle compositions were dominated by carbonate minerals (&gt;60% at all depths), opal (similar to 10% at all depths), and particulate organic matter (similar to 17% at 1000 m, decreasing to similar to 10% at 3800 m), with seasonal and interannual variability much smaller than for their flux magnitudes. The carbonate counter-pump effect reduced carbon sequestration by similar to 8 +/- 2%. The average seasonal cycle at 1000 m had a two-peak structure, with a larger early spring peak (October/November) and a smaller late summer (January/February) peak. At the two deeper traps, these peaks became less distinct with a greater proportion of the fluxes arriving in autumn. Singular value decomposition (SVD) shows that this temperate seasonal structure accounts for similar to 80% of the total variance (SVD Mode 1), but also that its influence varies significantly relative to Modes 2 and 3 which describe changes in seasonal timings. This occurrence of significant interannual variability in seasonality yet relatively constant annual fluxes, is likely to be useful in selecting appropriate models for the simulation of environmental-ecological coupling and its role in controlling the biological carbon pump. No temporal trends were detected in the mass or component fluxes, or in the time series of the SVD Modes. The SOTS observations provide an important baseline for future changes expected to result from warming, stratification, and acidification in this globally significant region.</t>
  </si>
  <si>
    <t>[Wynn-Edwards, Cathryn A.; Shadwick, Elizabeth H.; Davies, Diana M.; Jansen, Peter; Trull, Thomas W.] Univ Tasmania, Inst Marine &amp; Antarctic Studies, Australian Antarctic Program Partnership, Hobart, Tas, Australia; [Wynn-Edwards, Cathryn A.; Shadwick, Elizabeth H.; Davies, Diana M.; Jansen, Peter; Trull, Thomas W.] CSIRO, Oceans &amp; Atmosphere, Hobart, Tas, Australia; [Wynn-Edwards, Cathryn A.; Shadwick, Elizabeth H.; Davies, Diana M.; Bray, Stephen G.; Jansen, Peter; Trull, Thomas W.] Univ Tasmania, Antarctic Climate &amp; Ecosyst Cooperat Res Ctr, Hobart, Tas, Australia; [Trinh, Rebecca] Columbia Univ, Dept Earth &amp; Environm Sci, Palisades, NY USA; [Trinh, Rebecca] Columbia Univ, Lamont Doherty Earth Observ, Palisades, NY USA</t>
  </si>
  <si>
    <t>University of Tasmania; Commonwealth Scientific &amp; Industrial Research Organisation (CSIRO); University of Tasmania; Antarctic Climate &amp; Ecosystems Cooperative Research Centre (ACE CRC); Columbia University; Columbia University</t>
  </si>
  <si>
    <t>Wynn-Edwards, CA (corresponding author), Univ Tasmania, Inst Marine &amp; Antarctic Studies, Australian Antarctic Program Partnership, Hobart, Tas, Australia.;Wynn-Edwards, CA (corresponding author), CSIRO, Oceans &amp; Atmosphere, Hobart, Tas, Australia.;Wynn-Edwards, CA (corresponding author), Univ Tasmania, Antarctic Climate &amp; Ecosyst Cooperat Res Ctr, Hobart, Tas, Australia.</t>
  </si>
  <si>
    <t>Cathryn.WynnEdwards@utas.edu.au</t>
  </si>
  <si>
    <t>Trinh, Rebecca/IVH-2474-2023</t>
  </si>
  <si>
    <t>Trinh, Rebecca/0000-0003-4966-8928; Wynn-Edwards, Cathryn/0000-0001-9078-0394</t>
  </si>
  <si>
    <t>Australian Government; US NSF Graduate Research Fellowship</t>
  </si>
  <si>
    <t>Australian Government(Australian Government); US NSF Graduate Research Fellowship(National Science Foundation (NSF))</t>
  </si>
  <si>
    <t>This project has received grant funding from the Australian Government via many sources over the past two decades, including ship support from the Marine National Facility and Australian Antarctic Division, mooring equipment support from CSIRO and the Antarctic Climate and Ecosystems Cooperative Research Centre, and research staff support via all these agencies as well as the University of Tasmania and Australian Antarctic Program Partnership. RT was supported by a US NSF Graduate Research Fellowship. Support contributed by the USA National Science Foundation via the Woods Hole Oceanographic Institution was important to the initiation of the time series in 1997.</t>
  </si>
  <si>
    <t>10.3389/feart.2020.00329</t>
  </si>
  <si>
    <t>NF7NY</t>
  </si>
  <si>
    <t>WOS:000563482400001</t>
  </si>
  <si>
    <t>Sow, SLS; Trull, TW; Bodrossy, L</t>
  </si>
  <si>
    <t>Sow, Swan L. S.; Trull, Thomas W.; Bodrossy, Levente</t>
  </si>
  <si>
    <t>Oceanographic Fronts Shape Phaeocystis Assemblages: A High-Resolution 18S rRNA Gene Survey From the Ice-Edge to the Equator of the South Pacific</t>
  </si>
  <si>
    <t>haptophytes; Phaeocystis; Southern Ocean; oceanographic fronts; winter distribution; 18S (SSU) rRNA gene; latitudinal diversity gradient; amplicon sequence variants</t>
  </si>
  <si>
    <t>PRIMARY PRODUCTIVITY; COMMUNITY STRUCTURE; ROSS SEA; BIOCHEMICAL-COMPOSITION; ZOOPLANKTON COMMUNITY; PHYTOPLANKTON BIOMASS; LATITUDINAL GRADIENTS; SP. PRYMNESIOPHYCEAE; MICROBIAL COMMUNITY; GLOBAL PATTERNS</t>
  </si>
  <si>
    <t>The cosmopolitan haptophytePhaeocystisis recognized as a key contributor to marine biogeochemical cycling and important primary producer within polar marine environments. Yet, little is known about its solitary, non-colonial cell stages or its distribution during the colder, low-productivity seasons. We examined the biogeography ofPhaeocystisalong a high-resolution (0.5-degree latitudinal interval) transect from the Antarctic ice-edge to the equator of the South Pacific, in the austral autumn-winter. Using high-throughput 18S rRNA gene sequences with single nucleotide variable (zero-radius) operational taxonomic units (zOTUs) allowed us to explore the possibility of strain-level variation. From water samples within the upper water column, we show the presence of an abundantPhaeocystisassemblage that persisted during the colder months, contributing up to 9% of the microbial eukaryote community at high latitudes. The biogeography ofPhaeocystiswas strongly shaped by oceanographic boundaries, most prominently the polar and subantarctic fronts. Marked changes in dominantPhaeocystis antarcticazOTUs between different frontal zones support the concept that ecotypes may exist within thePhaeocystisassemblage. Our findings also show that thePhaeocystisassemblage did not abide by the classical latitudinal diversity gradient of increasing richness from the poles to the tropics; richness peaked at 30 degrees S and declined to a minimum at 5 degrees S. Another surprise was thatP. globosaandP. cordata, previously thought to be restricted to the northern hemisphere, were detected at moderate abundances within the Southern Ocean. Our results emphasize the importance of oceanographic processes in shaping the biogeography ofPhaeocystisand highlights the importance of genomics-based exploration ofPhaeocystis, which have found the assemblage to be more complex than previously understood. The high winter relative abundance of thePhaeocystisassemblage suggests it could be involved in more complex ecological interactions during the less productive seasons, which should be considered in future studies to better understand the ecological role and strategies of this keystone species.</t>
  </si>
  <si>
    <t>[Sow, Swan L. S.] Univ Tasmania, Inst Marine &amp; Antarctic Studies, Hobart, Tas, Australia; [Sow, Swan L. S.; Trull, Thomas W.; Bodrossy, Levente] Commonwealth Sci &amp; Ind Res Org CSIRO, Oceans &amp; Atmosphere, Hobart, Tas, Australia</t>
  </si>
  <si>
    <t>Sow, SLS (corresponding author), Univ Tasmania, Inst Marine &amp; Antarctic Studies, Hobart, Tas, Australia.;Sow, SLS; Bodrossy, L (corresponding author), Commonwealth Sci &amp; Ind Res Org CSIRO, Oceans &amp; Atmosphere, Hobart, Tas, Australia.</t>
  </si>
  <si>
    <t>swan.lisan@gmail.com; lev.bodrossy@csiro.au</t>
  </si>
  <si>
    <t>Sow, Swan Li San/C-3454-2016; Bodrossy, Levente/B-8054-2009</t>
  </si>
  <si>
    <t>Sow, Swan Li San/0000-0001-5887-7049; Bodrossy, Levente/0000-0001-6940-452X</t>
  </si>
  <si>
    <t>OCE Science Leader Fellowship [R-04202]; CSIRO Postgraduate Scholarship; University of Tasmania Write-up Scholarship; Bioplatforms Australia; Integrated Marine Observing System (IMOS) through the Australian Government National Collaborative Research Infrastructure Strategy (NCRIS); Australian research community; CSIRO; Tasmanian Graduate Research Scholarship</t>
  </si>
  <si>
    <t>OCE Science Leader Fellowship; CSIRO Postgraduate Scholarship; University of Tasmania Write-up Scholarship; Bioplatforms Australia; Integrated Marine Observing System (IMOS) through the Australian Government National Collaborative Research Infrastructure Strategy (NCRIS); Australian research community; CSIRO(Commonwealth Scientific &amp; Industrial Research Organisation (CSIRO)); Tasmanian Graduate Research Scholarship</t>
  </si>
  <si>
    <t>This work was funded by an OCE Science Leader Fellowship (R-04202) to LB, as well as a Tasmanian Graduate Research Scholarship, CSIRO Postgraduate Scholarship, and University of Tasmania Write-up Scholarship to SS. We would like to acknowledge the contribution of the Marine Microbes consortium in the generation of data used in this publication. The Marine Microbes project was supported by funding from Bioplatforms Australia and the Integrated Marine Observing System (IMOS) through the Australian Government National Collaborative Research Infrastructure Strategy (NCRIS) in partnership with the Australian research community, and the CSIRO.</t>
  </si>
  <si>
    <t>10.3389/fmicb.2020.01847</t>
  </si>
  <si>
    <t>NF3NS</t>
  </si>
  <si>
    <t>WOS:000563205700001</t>
  </si>
  <si>
    <t>McLoughlin, S</t>
  </si>
  <si>
    <t>McLoughlin, Stephen</t>
  </si>
  <si>
    <t>Marine and terrestrial invertebrate borings and fungal damage in Paleogene fossil woods from Seymour Island, Antarctica</t>
  </si>
  <si>
    <t>GFF</t>
  </si>
  <si>
    <t>Xylophagy; insect boring; beetles; teredinid bivalves; ichnology; fungi; La Meseta Formation; Seymour Island; Antarctic Peninsula</t>
  </si>
  <si>
    <t>GONDWANAN POLAR FORESTS; EARLY TERTIARY; CONIFER WOOD; TEREDOLITES; EOCENE; PALEOCLIMATE; ASSOCIATIONS; QUEENSLAND; COLEOPTERA; PATAGONIA</t>
  </si>
  <si>
    <t>An assemblage of permineralized conifer and angiosperm woods collected from Paleogene marine strata on Seymour Island during the Swedish Antarctic expedition of 1901-1903 includes many specimens with internal damage caused by an array of xylophagous organisms. Short, broad, clavate borings referable toGastrochaenolites clavatusare attributed to pholadid bivalves. Elongate borings with carbonate linings referable toApectoichnus longissimuswere produced by teredinid bivalves. Slender, cylindrical tunnels cross-cutting growth rings and backfilled in meniscoid fashion by frass composed of angular tracheid fragments were probably produced by a terrestrial beetle borer. They are most similar to tunnels generated by modern cerambycid and ptinid coleopterans. Less regular, spindle-shaped cavities and degraded zones flanking growth rings are similar to fungi-generated modern white pocket rot. Larger chambers in the heartwood referable to the ichnotaxonAsthenopodichnium lignorumwere produced by an alternative mode of fungal degradation. The biological interactions evident in the fossil woods illustrate additional terrestrial trophic levels enhancing the known complexity of ecosystems on and around the Antarctic Peninsula shortly before the initial pulse of mid-Cenozoic glaciation in Antarctica that caused extirpation of the majority of plants and animals in that region.</t>
  </si>
  <si>
    <t>[McLoughlin, Stephen] Swedish Museum Nat Hist, Dept Palaeobiol, Stockholm, Sweden</t>
  </si>
  <si>
    <t>Swedish Museum of Natural History</t>
  </si>
  <si>
    <t>McLoughlin, S (corresponding author), Swedish Museum Nat Hist, Dept Palaeobiol, Stockholm, Sweden.</t>
  </si>
  <si>
    <t>steve.mcloughlin@nrm.se</t>
  </si>
  <si>
    <t>Vetenskapsradet [2018-04527]</t>
  </si>
  <si>
    <t>Vetenskapsradet(Swedish Research Council)</t>
  </si>
  <si>
    <t>This work was supported by the Vetenskapsradet [2018-04527].</t>
  </si>
  <si>
    <t>1103-5897</t>
  </si>
  <si>
    <t>2000-0863</t>
  </si>
  <si>
    <t>10.1080/11035897.2020.1781245</t>
  </si>
  <si>
    <t>NG4QX</t>
  </si>
  <si>
    <t>WOS:000556080700001</t>
  </si>
  <si>
    <t>Wisz, MS; Satterthwaite, EV; Fudge, M; Fischer, M; Polejack, A; St John, M; Fletcher, S; Rudd, MA</t>
  </si>
  <si>
    <t>Wisz, Mary S.; Satterthwaite, Erin, V; Fudge, Maree; Fischer, Mibu; Polejack, Andrei; St John, Michael; Fletcher, Stephen; Rudd, Murray A.</t>
  </si>
  <si>
    <t>100 Opportunities for More Inclusive Ocean Research: Cross-Disciplinary Research Questions for Sustainable Ocean Governance and Management</t>
  </si>
  <si>
    <t>ocean governance and management; interdisciplinary and transdisciplinary science; UN Decade of Ocean Science for Sustainable Development; inclusive research; Anthropocene Ocean; ecosystem services</t>
  </si>
  <si>
    <t>GLOBAL CONSERVATION ISSUES; PRIORITY RESEARCH QUESTIONS; ECOSYSTEM-BASED MANAGEMENT; KEY RESEARCH QUESTIONS; SMALL-SCALE FISHERIES; CLIMATE-CHANGE; HORIZON SCAN; BIODIVERSITY CONSERVATION; ENVIRONMENTAL IMPACTS; EMERGING CHALLENGES</t>
  </si>
  <si>
    <t>In order to inform decision making and policy, research to address sustainability challenges requires cross-disciplinary approaches that are co-created with a wide and inclusive diversity of disciplines and stakeholders. As the UN Decade of Ocean Science for Sustainable Development approaches, it is therefore timely to take stock of the global range of cross-disciplinary questions to inform the development of policies to restore and sustain ocean health. We synthesized questions from major science and policy horizon scanning exercises, identifying 89 questions with relevance for ocean policy and governance. We then scanned the broad ocean science literature to examine issues potentially missed in the horizon scans and supplemented the horizon scan outcome with 11 additional questions. This resulted in an unprioritized list of 100 general questions that would require a cross-disciplinary approach to inform policy. The questions fell into broad categories including: coastal and marine environmental change, managing ocean activities, governance for sustainable oceans, ocean value, and technological and socio-economic innovation. Each question can be customized by ecosystem, region, scale, and socio-political context, and is intended to inspire discussions of salient cross-disciplinary research directions to direct scientific research that will inform policies. Governance and management responses to these questions will best be informed by drawing upon a diversity of natural and social sciences, local and traditional knowledge, and engagement of different sectors and stakeholders.</t>
  </si>
  <si>
    <t>[Wisz, Mary S.; Polejack, Andrei] World Maritime Univ, Malmo, Sweden; [Satterthwaite, Erin, V] Univ Calif Santa Barbara, Natl Ctr Ecol Anal &amp; Synth, Santa Barbara, CA 93106 USA; [Satterthwaite, Erin, V] Colorado State Univ, Future Earth, Sch Global Environm Sustainabil, Ft Collins, CO 80523 USA; [Fudge, Maree] Univ Tasmania, Ctr Marine Socioecol, Hobart, Tas, Australia; [Fudge, Maree] Univ Tasmania, Inst Marine &amp; Antarctic Studies, Hobart, Tas, Australia; [Fischer, Mibu] Commonwealth Sci &amp; Ind Res Org Oceans &amp; Atmospher, St Lucia, Qld, Australia; [Polejack, Andrei] Minist Sci Technol &amp; Innovat, Brasilia, DF, Brazil; [St John, Michael] Tech Univ Denmark, Natl Inst Aquat Resources, Lyngby, Denmark; [Fletcher, Stephen] Univ Portsmouth, Sch Environm, Geog &amp; Geosci Ctr Blue Governance, Portsmouth, Hants, England; [Fletcher, Stephen] UN Environm World Conservat Monitoring Ctr, Cambridge, England; [Rudd, Murray A.] Emory Univ, Dept Environm Sci, Atlanta, GA 30322 USA</t>
  </si>
  <si>
    <t>University of California System; University of California Santa Barbara; National Center for Ecological Analysis &amp; Synthesis; Colorado State University; University of Tasmania; University of Tasmania; Commonwealth Scientific &amp; Industrial Research Organisation (CSIRO); Technical University of Denmark; University of Portsmouth; Emory University</t>
  </si>
  <si>
    <t>Wisz, MS (corresponding author), World Maritime Univ, Malmo, Sweden.</t>
  </si>
  <si>
    <t>msw@wmu.se</t>
  </si>
  <si>
    <t>Polejack, Andrei/AAN-8489-2021; Wisz, Mary S/J-7826-2013; Fletcher, Stephen/B-4224-2009</t>
  </si>
  <si>
    <t>Polejack, Andrei/0000-0002-3549-0869; Fudge, Maree/0000-0003-1327-0053; Fletcher, Stephen/0000-0003-1180-9844; Wisz, Mary S./0000-0002-5357-6367; St John, Michael/0000-0002-5593-7488; Rudd, Murray/0000-0001-9533-5070; Fischer, Mibu/0000-0002-1216-3451</t>
  </si>
  <si>
    <t>Vellum Velux fund project COAST_SEQUENCE; Horizon 2020 project [817669]; PEGASuS 2: Ocean Sustainability Program - Gordon and Betty Moore Foundation's Science Program; NOMIS Foundation; Swedish Agency forMarine and Water Management; German Federal Ministry of Transport and Digital Infrastructure as part of the Land-toOcean Leadership Program at the Global Ocean Institute</t>
  </si>
  <si>
    <t>Vellum Velux fund project COAST_SEQUENCE; Horizon 2020 project; PEGASuS 2: Ocean Sustainability Program - Gordon and Betty Moore Foundation's Science Program; NOMIS Foundation; Swedish Agency forMarine and Water Management; German Federal Ministry of Transport and Digital Infrastructure as part of the Land-toOcean Leadership Program at the Global Ocean Institute</t>
  </si>
  <si>
    <t>MW was partly supported by the Vellum Velux fund project COAST_SEQUENCE, and Horizon 2020 project 817669 Ecologically and economically sustainable mesopelagic fisheries (MEESO). ES was supported by the PEGASuS 2: Ocean Sustainability Program funded in part by the Gordon and Betty Moore Foundation's Science Program and the NOMIS Foundation. AP was supported by the Swedish Agency forMarine and Water Management and by the German Federal Ministry of Transport and Digital Infrastructure as part of the Land-toOcean Leadership Program at the Global Ocean Institute.</t>
  </si>
  <si>
    <t>10.3389/fmars.2020.00576</t>
  </si>
  <si>
    <t>ND5FF</t>
  </si>
  <si>
    <t>WOS:000561925100001</t>
  </si>
  <si>
    <t>Okanishi, M; Mah, CL</t>
  </si>
  <si>
    <t>Okanishi, Masanori; Mah, Christopher L.</t>
  </si>
  <si>
    <t>Overlooked biodiversity from museum collections: four new species and one new genus of Ophiuroidea (Echinodermata) from Antarctica and adjacent regions with notes on multi-armed ophiuroids</t>
  </si>
  <si>
    <t>Taxonomy; Brittle stars; Museum specimens</t>
  </si>
  <si>
    <t>BRITTLE STARS; PARADIGM; WATER</t>
  </si>
  <si>
    <t>Four newly described species,Astrochlamys timoharaisp. nov. (Gorgonocephalidae Ljungman,1867),Ophiosteira lissopatellasp. nov. (Ophiopyrgidae Perrier,1893),Ophiophyllum umbonatumsp. nov. (Ophiopyrgidae), andSoliophis bakerisp. nov. (Ophioscolecidae Lutken,1869) with a description ofSoliophisgen. nov., are reported from the Ross Sea and adjacent regions. New occurrence ofEuvondrea florettaFell,1961ais also reported. These newly described taxa display unusual morphology with two species showing 10 or more arms. Although no evidence of brooding was present, two of the described species belong to genera with other Antarctic species that show brooding behavior. Collections from these areas remain important for new discoveries relevant to Antarctic biodiversity.</t>
  </si>
  <si>
    <t>[Okanishi, Masanori] Univ Tokyo, Grad Sch Sci, Misaki Marine Biol Stn, 1024 Koajiro, Miura, Kanagawa 2380225, Japan; [Mah, Christopher L.] Smithsonian Inst, Natl Museum Nat Hist, Dept Invertebrate Zool, Washington, DC 20013 USA</t>
  </si>
  <si>
    <t>University of Tokyo; Smithsonian Institution; Smithsonian National Museum of Natural History</t>
  </si>
  <si>
    <t>Okanishi, M (corresponding author), Univ Tokyo, Grad Sch Sci, Misaki Marine Biol Stn, 1024 Koajiro, Miura, Kanagawa 2380225, Japan.</t>
  </si>
  <si>
    <t>mokanishi@tezuru-mozuru.com</t>
  </si>
  <si>
    <t>岡西, 政典/JXY-2638-2024</t>
  </si>
  <si>
    <t>岡西, 政典/0000-0001-8106-7693; Mah, Christopher/0000-0002-0178-8237</t>
  </si>
  <si>
    <t>10.1007/s12526-020-01080-w</t>
  </si>
  <si>
    <t>NC3JY</t>
  </si>
  <si>
    <t>WOS:000561112300001</t>
  </si>
  <si>
    <t>Wang, YQ; Momohara, A; Wakamatsu, N; Omori, T; Yoneda, M; Yang, M</t>
  </si>
  <si>
    <t>Wang, Yuqing; Momohara, Arata; Wakamatsu, Nobuhiko; Omori, Takayuki; Yoneda, Minoru; Yang, Mo</t>
  </si>
  <si>
    <t>Middle and Late Holocene altitudinal distribution limit changes ofFagus crenataforest, Mt. Kurikoma, Japan indicated by stomatal evidence</t>
  </si>
  <si>
    <t>BIOCLIMATE ENVELOPE MODELS; ATMOSPHERIC CO2; CLIMATE-CHANGE; SPECIES DISTRIBUTION; OXYGEN-ISOTOPE; FOSSIL LEAVES; ICE; RECORD; FREQUENCY; PROXY</t>
  </si>
  <si>
    <t>This study proposes a new method to detect changes of altitudinal distribution limit of a plant species based on the stomatal analysis of fossilized leaves. We use the Holocene fossil leaves ofFagus crenata(Japanese beech), a dominant deciduous tree in the cool temperate zone, from different horizons in a peat bog in Mt. Kurikoma, north Japan. Results of palaeo-CO(2)concentration reconstructed from the stomatal analysis indicate palaeo-CO(2)fluctuation between 317 and 352 ppmv during the Middle-Late Holocene, which was more variable and higher than Greenland and Antarctic ice-core records. This result is possibly influenced by the oceanic CO(2)uptake, which increased with the strengthening of the Tsushima Warm Current during the Middle Holocene. The stomatal index (SI) variation range of fossilFagus crenataleaves in the Middle Holocene was higher than that of the modern population at a given altitude, indicating transportation of leaves from an altitude higher than the site of fossil deposition. A decreasing trend of the SI variation range between 5000 and 2500 cal. a BP can possibly be attributed to the downward shift of the upper distribution limit ofFagus crenatafrom an altitude higher than or similar to the present limit to the area surrounding the fossil deposition site. This downward shift of the upper distribution limit ofFagus crenatawas simultaneous with temperature and humidity decreases and correlated with the decreasing East Asian Summer Monsoon intensity and a cooling event around 4000 cal. a BP.</t>
  </si>
  <si>
    <t>[Wang, Yuqing] Shanghai Sci &amp; Technol Museum, Shanghai Nat Hist Museum, 510 West Beijing Rd, Shanghai 200041, Peoples R China; [Momohara, Arata; Yang, Mo] Chiba Univ, Grad Sch Hort, 648 Matsudo, Chiba 2718510, Japan; [Wakamatsu, Nobuhiko] Yokohama Natl Univ, Grad Sch Environm &amp; Informat Sci, Hodogaya Ku, 79-7 Tokiwadai, Yokohama, Kanagawa 2408501, Japan; [Omori, Takayuki; Yoneda, Minoru] Univ Tokyo, Univ Museum, Lab Radiocarbon Dating, Bunkyo Ku, Hongo 7-3-1, Tokyo 1130033, Japan</t>
  </si>
  <si>
    <t>Chiba University; Yokohama National University; University of Tokyo</t>
  </si>
  <si>
    <t>Momohara, A (corresponding author), Chiba Univ, Grad Sch Hort, 648 Matsudo, Chiba 2718510, Japan.</t>
  </si>
  <si>
    <t>254828713@qq.com; arata@faculty.chiba-u.jp</t>
  </si>
  <si>
    <t>YONEDA, Minoru/P-4436-2019; Wang, yuqing/HIR-1604-2022</t>
  </si>
  <si>
    <t>YONEDA, Minoru/0000-0003-0129-8921;</t>
  </si>
  <si>
    <t>Chiba University; JSPS (Japan Society for the Promotion of Science) [17H00939, 18H02230]; Grants-in-Aid for Scientific Research [18H02230, 17H00939] Funding Source: KAKEN</t>
  </si>
  <si>
    <t>Chiba University; JSPS (Japan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</si>
  <si>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The authors would like to thank Dr Yukiharu Ogawa from Chiba University for support of microscope works for cuticle observation; Miss Azumi Yano and Miss Fanjia Shuai from Chiba University for their help in collecting modern samples in Japan; Dr Shigeto Ikeda from the Forestry and Forest Products Research Institute for providing suggestions in writing up our findings. We are grateful to Professor W. M. Kurschner and Professor J. V. Benes for their constructive suggestions and thorough comments on the manuscript. This research was financially supported by JSPS (Japan Society for the Promotion of Science) Grant-in-Aid for Scientific Research (KAKENHI, No. 17H00939 and 18H02230). The authors of this study have no conflicts of interest to declare.</t>
  </si>
  <si>
    <t>10.1111/bor.12463</t>
  </si>
  <si>
    <t>OH8GV</t>
  </si>
  <si>
    <t>WOS:000556129000001</t>
  </si>
  <si>
    <t>Lyu, ZQ; Orsi, AJ; Goosse, H</t>
  </si>
  <si>
    <t>Lyu, Zhiqiang; Orsi, Anais J.; Goosse, Hugues</t>
  </si>
  <si>
    <t>Comparison of observed borehole temperatures in Antarctica with simulations using a forward model driven by climate model outputs covering the past millennium</t>
  </si>
  <si>
    <t>SURFACE AIR-TEMPERATURE; LAST MILLENNIUM; FORCING RECONSTRUCTIONS; PMIP SIMULATIONS; SYSTEM MODEL; VARIABILITY; 20TH-CENTURY; PROFILES; REVEAL; TRENDS</t>
  </si>
  <si>
    <t>The reconstructed surface-temperature time series from boreholes in Antarctica have significantly contributed to our understanding of multidecadal and centennial temperature changes and thus provide a good way to evaluate the ability of climate models to reproduce low-frequency climate variability. However, up to now, there has not been any systematic model-data comparison based on temperature from boreholes at a regional or local scale in Antarctica. Here, we discuss two different ways to perform such a comparison using borehole measurements and the corresponding reconstructions of surface temperature at the West Antarctic Ice Sheet (WAIS) Divide, Larissa, Mill Island, and Styx Glacier in Antarctica. The standard approach is to compare the surface temperature simulated by the climate model at the grid cell closest to each site with the reconstructions in the time domain derived from the borehole temperature observations. Although some characteristics of the reconstructions, for instance the nonuniform smoothing, limit to some extent the model-data comparison, several robust features can be evaluated. In addition, a more direct model-data comparison based on the temperature measured in the boreholes is conducted using a forward model that simulates explicitly the subsurface temperature profiles when driven with climate model outputs. This comparison in the depth domain is not only generally consistent with observations made in the time domain but also provides information that cannot easily be inferred from the comparison in the time domain The major results from these comparisons are used to derive metrics that can be applied for future model-data comparison. We also describe the spatial representativity of the sites chosen for the metrics. The long-term cooling trend in West Antarctica from 1000 to 1600 CE (- 1.0 degrees C) is generally reproduced by the models but often with a weaker amplitude. The 19th century cooling in the Antarctic Peninsula (-0.94 degrees C) is not reproduced by any of the models, which tend to show warming instead. The trend over the last 50 years is generally well reproduced in West Antarctica and at Larissa (Antarctic Peninsula) but overestimated at other sites. The wide range of simulated trends indicates the importance of internal variability in the observed trends and shows the value of model-data comparison to investigate the response to forcings.</t>
  </si>
  <si>
    <t>[Lyu, Zhiqiang; Goosse, Hugues] Univ Catholique Louvain UCLouvain, Georges Lemaitre Ctr Earth &amp; Climate Res TECLIM, Earth &amp; Life Inst ELI, Pl Louis Pasteur, B-1348 Louvain La Neuve, Belgium; [Orsi, Anais J.] UVSQ, CEA Saclay, Lab Sci Climat &amp; Environm, IPSL,CEA,CNRS,UMR 8212, F-91191 Gif Sur Yvette, France</t>
  </si>
  <si>
    <t>CEA; Centre National de la Recherche Scientifique (CNRS); Universite Paris Saclay; CNRS - National Institute for Earth Sciences &amp; Astronomy (INSU); Universite Paris Cite</t>
  </si>
  <si>
    <t>Lyu, ZQ (corresponding author), Univ Catholique Louvain UCLouvain, Georges Lemaitre Ctr Earth &amp; Climate Res TECLIM, Earth &amp; Life Inst ELI, Pl Louis Pasteur, B-1348 Louvain La Neuve, Belgium.</t>
  </si>
  <si>
    <t>zhiqiang.lyu@student.uclouvain.be; anais.orsi@lsce.ipsl.fr</t>
  </si>
  <si>
    <t>Orsi, Anais/0000-0001-5511-3940; Lyu, Zhiqiang/0000-0002-6850-7807</t>
  </si>
  <si>
    <t>China Scholarship Council (CSC) scholarships [201806040211]; Belgian Research Action through Interdisciplinary Networks [15 BR/165/A2/Mass2Ant]; French National Programme [LEFE/INSU ABN2K]</t>
  </si>
  <si>
    <t>China Scholarship Council (CSC) scholarships(China Scholarship Council); Belgian Research Action through Interdisciplinary Networks; French National Programme(Agence Nationale de la Recherche (ANR))</t>
  </si>
  <si>
    <t>This research has been supported by China Scholarship Council (CSC) scholarships (grant no. 201806040211), the Belgian Research Action through Interdisciplinary Networks (grant no. 15 BR/165/A2/Mass2Ant), and the French National Programme (grant no. LEFE/INSU ABN2K).</t>
  </si>
  <si>
    <t>AUG 5</t>
  </si>
  <si>
    <t>10.5194/cp-16-1411-2020</t>
  </si>
  <si>
    <t>MY9ZL</t>
  </si>
  <si>
    <t>WOS:000558781700001</t>
  </si>
  <si>
    <t>Zaccara, S; Patiño, J; Convey, P; Vanetti, I; Cannone, N</t>
  </si>
  <si>
    <t>Zaccara, Serena; Patino, Jairo; Convey, Peter; Vanetti, Isabella; Cannone, Nicoletta</t>
  </si>
  <si>
    <t>Multiple colonization and dispersal events hide the early origin and induce a lack of genetic structure of the moss Bryum argenteum in Antarctica</t>
  </si>
  <si>
    <t>Antarctica; dispersal routes; Nunatak refugia; Palaeoclimate; phylogenetic patterns; transoceanic disjunctions</t>
  </si>
  <si>
    <t>NORTHERN VICTORIA LAND; BRYOPHYTE COLONIZATION; PHYLOGENETIC ANALYSIS; SEXUAL REPRODUCTION; ICE-SHEET; HISTORY; ISLAND; REGENERATION; TERRESTRIAL; DIVERSITY</t>
  </si>
  <si>
    <t>The dispersal routes of taxa with transoceanic disjunctions remain poorly understood, with the potential roles of Antarctica not yet demonstrated. Mosses are suitable organisms to test direct intra-Antarctic dispersal, as major component of the extant Antarctic flora, with the cosmopolitan mossBryum argenteumas ideal target species. We analyzed the genetic structure ofB. argenteumto provide an evolutionary time frame for its radiation and shed light into its historical biogeography in the Antarctic region. We tested two alternative scenarios: (a) intra-Antarctic panmixia and (b) intra-Antarctic genetic differentiation. Furthermore, we tested for evidence of the existence of specific intra-Antarctic dispersal routes. Sixty-seven new samples (40 collected in Antarctica) were sequenced for ITS nrDNA and rps4 cpDNA regions, and phylogenetic trees ofB. argenteumwere constructed, with a focus on its Southern Hemisphere. Combining our new nrDNA dataset with previously published datasets, we estimated time-calibrated phylogenies based on two different substitution rates (derived from angiosperms and bryophytes) along with ancestral area estimations. Minimum spanning network and pairwise genetic distances were also calculated.B. argenteumwas potentially distributed across Africa and Antarctica soon after its origin. Its earliest intra-Antarctic dispersal and diversification occurred during a warming period in the Pliocene. On the same timescale, a radiation took place involving a dispersal event from Antarctica to the sub-Antarctic islands. A more recent event of dispersal and diversification within Antarctica occurred during a warm period in the Pleistocene, creating favorable conditions also for its colonization outside the Antarctic continent worldwide. We provide evidence supporting the hypothesis that contemporary populations ofB. argenteumin Antarctica integrate a history of both multiple long-range dispersal events and local persistence combined with in situ diversification. Our data support the hypothesis thatB. argenteumhas been characterized by strong connectivity within Antarctica, suggesting the existence of intra-Antarctic dispersal routes.</t>
  </si>
  <si>
    <t>[Zaccara, Serena; Vanetti, Isabella] Insubria Univ, Dept Theoret &amp; Appl Sci, Varese, VA, Italy; [Patino, Jairo] Univ La Laguna, Dept Bot Ecol &amp; Fisiol Vegetal, Plant Conservat &amp; Biogeog, San Cristobal la Laguna, Spain; [Convey, Peter] NERC, British Antarctic Survey, Cambridge, England; [Cannone, Nicoletta] Insubria Univ, Dept Sci &amp; High Technol, Via Valleggio 11, I-22100 Como, CO, Italy</t>
  </si>
  <si>
    <t>University of Insubria; Universidad de la Laguna; UK Research &amp; Innovation (UKRI); Natural Environment Research Council (NERC); NERC British Antarctic Survey; University of Insubria</t>
  </si>
  <si>
    <t>Cannone, N (corresponding author), Insubria Univ, Dept Sci &amp; High Technol, Via Valleggio 11, I-22100 Como, CO, Italy.</t>
  </si>
  <si>
    <t>nicoletta.cannone@uninsubria.it</t>
  </si>
  <si>
    <t>Patiño, Jairo/HNS-3024-2023; Convey, Peter/AAV-5728-2020; Patiño, Jairo/J-9595-2014</t>
  </si>
  <si>
    <t>Convey, Peter/0000-0001-8497-9903; Patiño, Jairo/0000-0001-5532-166X; Zaccara, Serena/0000-0002-1584-7111</t>
  </si>
  <si>
    <t>PROGETTO NAZIONALE RICERCHE IN ANTARTIDE [PNRA2016_00194_A1, PNRA2016_00224B, 2013/AZ1.05, 2013/C1.01]; British Antarctic Survey; NERC [bas0100036] Funding Source: UKRI</t>
  </si>
  <si>
    <t>PROGETTO NAZIONALE RICERCHE IN ANTARTIDE; British Antarctic Survey; NERC(UK Research &amp; Innovation (UKRI)Natural Environment Research Council (NERC))</t>
  </si>
  <si>
    <t>PROGETTO NAZIONALE RICERCHE IN ANTARTIDE, Grant/Award Number: PNRA2016_00194_A1, PNRA2016_00224B, Project 2013/AZ1.05 and Project 2013/C1.01; British Antarctic Survey</t>
  </si>
  <si>
    <t>10.1002/ece3.6601</t>
  </si>
  <si>
    <t>NF1GY</t>
  </si>
  <si>
    <t>WOS:000555614600001</t>
  </si>
  <si>
    <t>Twiname, S; Audzijonyte, A; Blanchard, JL; Champion, C; de la Chesnais, T; Fitzgibbon, QP; Fogarty, HE; Hobday, AJ; Kelly, R; Murphy, KJ; Oellermann, M; Peinado, P; Tracey, S; Villanueva, C; Wolfe, B; Pecl, GT</t>
  </si>
  <si>
    <t>Twiname, Samantha; Audzijonyte, Asta; Blanchard, Julia L.; Champion, Curtis; de la Chesnais, Thibaut; Fitzgibbon, Quinn P.; Fogarty, Hannah E.; Hobday, Alistair J.; Kelly, Rachel; Murphy, Kieran J.; Oellermann, Michael; Peinado, Patricia; Tracey, Sean; Villanueva, Cecilia; Wolfe, Barrett; Pecl, Gretta T.</t>
  </si>
  <si>
    <t>A cross-scale framework to support a mechanistic understanding and modelling of marine climate-driven species redistribution, from individuals to communities</t>
  </si>
  <si>
    <t>ECOGRAPHY</t>
  </si>
  <si>
    <t>climate change; integrative ecology; interdisciplinary approaches; macroecology; marine species redistribution; mechanistic models</t>
  </si>
  <si>
    <t>RANGE SHIFTS; THERMAL TOLERANCE; TRADE-OFFS; TEMPERATURE-DEPENDENCE; BIOTIC INTERACTIONS; OXYGEN LIMITATION; HYPOXIA TOLERANCE; TRAITS; IMPACTS; FISH</t>
  </si>
  <si>
    <t>Climate-driven species redistribution is pervasive and accelerating, yet the complex mechanisms at play remain poorly understood. The implications of large-scale species redistribution for natural systems and human societies have resulted in a large number of studies exploring the effects on individual species and ecological communities worldwide. Whilst many studies have investigated discrete components of species redistribution, the integration required for a more complete mechanistic understanding is lacking. In this paper, we provide a framework for synthesising approaches to more robustly understand and predict marine species redistributions. We conceptualise the stages and processes involved in climate-driven species redistribution at increasing levels of biological organisation, and synthesize the laboratory, field and modelling approaches used to study redistribution related processes at individual, population and community levels. We then summarise links between scales of biological organisation and methodological approaches in a hierarchical framework that represents an integrated mechanistic assessment of climate-driven species redistributions. In a rapidly expanding field of research, this framework provides direction for: 1) guiding future research, 2) highlighting key knowledge gaps, 3) fostering data exchange and collaboration between disciplines and 4) improving shared capacity to predict and therefore, inform the proactive management of climate impacts on natural systems.</t>
  </si>
  <si>
    <t>[Twiname, Samantha; Audzijonyte, Asta; Blanchard, Julia L.; Champion, Curtis; de la Chesnais, Thibaut; Fitzgibbon, Quinn P.; Fogarty, Hannah E.; Kelly, Rachel; Murphy, Kieran J.; Oellermann, Michael; Peinado, Patricia; Tracey, Sean; Villanueva, Cecilia; Wolfe, Barrett; Pecl, Gretta T.] Univ Tasmania, Inst Marine &amp; Antarctic Studies, Hobart, Tas, Australia; [Audzijonyte, Asta; Blanchard, Julia L.; Fogarty, Hannah E.; Hobday, Alistair J.; Kelly, Rachel; Tracey, Sean; Villanueva, Cecilia; Pecl, Gretta T.] Univ Tasmania, Ctr Marine Socioecol, Hobart, Tas, Australia; [Champion, Curtis; de la Chesnais, Thibaut; Hobday, Alistair J.; Kelly, Rachel] CSIRO Oceans &amp; Atmosphere, Hobart, Tas, Australia; [Champion, Curtis] Natl Marine Sci Ctr, NSW Dept Primary Ind, Fisheries Res, Coffs Harbour, NSW, Australia</t>
  </si>
  <si>
    <t>University of Tasmania; University of Tasmania; Commonwealth Scientific &amp; Industrial Research Organisation (CSIRO); NSW Department of Primary Industries; Southern Cross University</t>
  </si>
  <si>
    <t>Twiname, S (corresponding author), Univ Tasmania, Inst Marine &amp; Antarctic Studies, Hobart, Tas, Australia.</t>
  </si>
  <si>
    <t>samantha.twiname@utas.edu.au</t>
  </si>
  <si>
    <t>Audzijonyte, Asta/O-5598-2017; Pecl, Gretta/D-7267-2011; Blanchard, Julia L/E-4919-2010; Wolfe, Barrett/W-3509-2019; Tracey, Sean/J-7446-2014; Twiname, Samantha/E-2714-2015; Murphy, Kieran/C-1897-2017; Oellermann, Michael/G-7073-2011; Hobday, Alistair/A-1460-2012</t>
  </si>
  <si>
    <t>Pecl, Gretta/0000-0003-0192-4339; Wolfe, Barrett/0000-0002-9406-0578; Kelly, Rachel/0000-0002-8364-1836; Fogarty, Hannah/0000-0001-7261-2565; Tracey, Sean/0000-0002-6735-5899; Twiname, Samantha/0000-0002-3355-0856; Murphy, Kieran/0000-0002-9697-2458; Blanchard, Julia/0000-0003-0532-4824; Oellermann, Michael/0000-0001-5392-6737; de la Chesnais, Thibaut/0000-0002-5142-9814; Fitzgibbon, Quinn/0000-0002-1104-3052; Hobday, Alistair/0000-0002-3194-8326; Champion, Curtis/0000-0002-8666-5112</t>
  </si>
  <si>
    <t>0906-7590</t>
  </si>
  <si>
    <t>1600-0587</t>
  </si>
  <si>
    <t>Ecography</t>
  </si>
  <si>
    <t>10.1111/ecog.04996</t>
  </si>
  <si>
    <t>OY8QP</t>
  </si>
  <si>
    <t>WOS:000555271500001</t>
  </si>
  <si>
    <t>Fretwell, PT; Trathan, PN</t>
  </si>
  <si>
    <t>Fretwell, Peter T.; Trathan, Philip N.</t>
  </si>
  <si>
    <t>Discovery of new colonies by Sentinel2 reveals good and bad news for emperor penguins</t>
  </si>
  <si>
    <t>Breeding colonies; climate change; penguins; Satellite remote sensing; Sentinel2</t>
  </si>
  <si>
    <t>ROSS SEA; LOCATION; SUCCESS; ISLAND</t>
  </si>
  <si>
    <t>The distribution of emperor penguins is circumpolar, with 54 colony locations currently reported of which 50 are currently extant as of 2019. Here we report on eight newly discovered colonies and confirm the rediscovery of three breeding sites, only previously reported in the era before Very High Resolution satellite imagery was available, making a total of 61 breeding locations. This represents an increase of similar to 20% in the number of breeding sites, but, as most of the colonies appear to be small, they may only increase the total population by around 5-10%. The discoveries have been facilitated by the use of Sentinel2 satellite imagery, which has a higher resolution and more efficient search mechanism than the Landsat data previously used to search for colonies. The small size of these new colonies indicates that considerations of reproductive output in relation to metabolic rate during huddling is likely to be of interest. Some of the colonies exist in offshore habitats, something not previously reported for emperor penguins. Comparison with recent modelling results show that the geographic locations of all the newly found colonies are in areas likely to be highly vulnerable under business-as-usual greenhouse gas emissions scenarios, suggesting that population decreases for the species will be greater than previously thought.</t>
  </si>
  <si>
    <t>[Fretwell, Peter T.; Trathan, Philip N.] British Antarctic Survey, Madingley Rd, Cambridge, England</t>
  </si>
  <si>
    <t>UK Research &amp; Innovation (UKRI); Natural Environment Research Council (NERC); NERC British Antarctic Survey</t>
  </si>
  <si>
    <t>Fretwell, PT (corresponding author), British Antarctic Survey, Madingley Rd, Cambridge, England.</t>
  </si>
  <si>
    <t>ptf@bas.ac.uk</t>
  </si>
  <si>
    <t>UK's Natural Environment Research Council; NERC [bas0100035, bas010011] Funding Source: UKRI</t>
  </si>
  <si>
    <t>UK's Natural Environment Research Council(UK Research &amp; Innovation (UKRI)Natural Environment Research Council (NERC)); NERC(UK Research &amp; Innovation (UKRI)Natural Environment Research Council (NERC))</t>
  </si>
  <si>
    <t>This work was funded as part of British Antarctic Survey's Wildlife from Space project. British Antarctic Survey is part of the UK's Natural Environment Research Council. We would also like to acknowledge the impetus given to the project by Dr Andrew McDonald and the pupils of Stirling High School whose initial experiments with Sentinel2 and penguins inspired PTF to use the higher resolution satellite to find emperor penguin colonies.</t>
  </si>
  <si>
    <t>10.1002/rse2.176</t>
  </si>
  <si>
    <t>SR8XE</t>
  </si>
  <si>
    <t>WOS:000555295300001</t>
  </si>
  <si>
    <t>da Rosa, CN; Bremer, UF; Pereira, W; Sousa, MA; Kramer, G; Hillebrand, FL; de Jesus, JB</t>
  </si>
  <si>
    <t>da Rosa, Cristiano Niederauer; Bremer, Ulisses Franz; Pereira Filho, Waterloo; Sousa Junior, Manoel Araujo; Kramer, Gisieli; Hillebrand, Fernando Luis; de Jesus, Janisson Batista</t>
  </si>
  <si>
    <t>Freezing and thawing of lakes on the Nelson and King George Islands, Antarctic, using Sentinel 1A synthetic aperture radar images</t>
  </si>
  <si>
    <t>Antarctic; Remote sensing; Sentinel 1A; Antarctic lakes; Environmental monitoring</t>
  </si>
  <si>
    <t>SOUTH SHETLAND ISLANDS; FILDES PENINSULA; NORTHERN ALASKA; CLIMATE-CHANGE; SHALLOW LAKES; ICE COVER; SEA-ICE; FIELD; SNOW; SAR</t>
  </si>
  <si>
    <t>This article aims to analyze the dynamics of freezing and thawing of Antarctic lakes located in ice-free areas on Nelson Island and Fildes Peninsula, where response to changes in air temperature and precipitation rates occur rapidly, during the period from July 2016 to December 2018. In these places, which are difficult to access, remote sensing is an important alternative, especially considering the use of active remote sensors such as the Synthetic Aperture Radar (SAR), which has less restriction regarding the presence of clouds over the study area. Three backscatter thresholds were defined (sigma) for the identification of the physical state of the water of the lakes of the study region, applied in Sentinel 1A SAR (S1A) images under Horizontal Horizontal (HH) polarization and Interferometric Wide (IW) imaging mode. These images, along with the air temperature data obtained by the Interim Re-Analysis (ERA-Interim) atmospheric reanalysis model, provided the evidence for the interpretation of the freezing and thawing periods of the lakes. The thresholds applied for the definition of the physical state of the lake water were greater than - 14 dB for frozen water, between - 14 and - 17 dB for the surface, with up to 60% of their frozen area, and less than - 17 dB for open water. The temporal analysis revealed that the lakes start to thaw in October, become completely thawed in February, and freeze again in March. Nevertheless, it can be said that the S1A satellite allows a satisfactory identification of the liquid and solid phases of the water in the lakes of the study region.</t>
  </si>
  <si>
    <t>[da Rosa, Cristiano Niederauer; Bremer, Ulisses Franz; Hillebrand, Fernando Luis] Fed Univ Rio Grande do Sul UFRGS, Polar &amp; Climate Ctr, Postgrad Program Remote Sensing, Ave Bento Gonsalves 9500,Bldg 43136,Rooms 208 &amp; 2, BR-91501970 Porto Alegre, RS, Brazil; [Pereira Filho, Waterloo] Univ Fed Santa Maria, Dept Geosci, Av Roraima 1000, BR-97105900 Santa Maria, RS, Brazil; [Sousa Junior, Manoel Araujo] Univ Fed Santa Maria, Dept Rural Engn, Av Roraima 1000, BR-97105900 Santa Maria, RS, Brazil; [Kramer, Gisieli] Univ Fed Santa Maria, Postgrad Program Geog, Av Roraima 1000, BR-97105900 Santa Maria, RS, Brazil; [de Jesus, Janisson Batista] Univ Fed Rio Grande do Sul, Postgrad Program Remote Sensing, Ave Bento Goncalves 9500, BR-91501970 Porto Alegre, RS, Brazil</t>
  </si>
  <si>
    <t>Universidade Federal do Rio Grande do Sul; Universidade Federal de Santa Maria (UFSM); Universidade Federal de Santa Maria (UFSM); Universidade Federal de Santa Maria (UFSM); Universidade Federal do Rio Grande do Sul</t>
  </si>
  <si>
    <t>da Rosa, CN (corresponding author), Fed Univ Rio Grande do Sul UFRGS, Polar &amp; Climate Ctr, Postgrad Program Remote Sensing, Ave Bento Gonsalves 9500,Bldg 43136,Rooms 208 &amp; 2, BR-91501970 Porto Alegre, RS, Brazil.</t>
  </si>
  <si>
    <t>cristianonrd@gmail.com; bremer@ufrgs.br; waterloopf@gmail.com; manoel@ufsm.br; gisieli@outlook.com.br; fernando.hillebrand@rolante.ifrs.edu.br; janisson.eng@gmail.com</t>
  </si>
  <si>
    <t>Bremer, Ulisses F/D-3308-2013; Hillebrand, Fernando Luis/AAK-5772-2020; Bremer, Ulisses Franz/AAT-8733-2021; Kramer, Gisieli/ABA-1663-2021; Pereira Filho, Waterloo/L-5187-2016</t>
  </si>
  <si>
    <t>Hillebrand, Fernando Luis/0000-0002-0182-8526; Bremer, Ulisses Franz/0000-0003-0519-5807; Kramer, Gisieli/0000-0003-0784-3898; Araujo Sousa Junior, Manoel/0000-0001-8923-5604; Rosa, Cristiano Niederauer da/0000-0003-3693-4764; Pereira Filho, Waterloo/0000-0001-6449-6322</t>
  </si>
  <si>
    <t>National Council for Scientific and Technological Development (CNPq) [310758/2016-5]; Coordination for the Improvement of Higher Level Personnel-Brazil (CAPES) [001]</t>
  </si>
  <si>
    <t>National Council for Scientific and Technological Development (CNPq)(Conselho Nacional de Desenvolvimento Cientifico e Tecnologico (CNPQ)); Coordination for the Improvement of Higher Level Personnel-Brazil (CAPES)(Coordenacao de Aperfeicoamento de Pessoal de Nivel Superior (CAPES))</t>
  </si>
  <si>
    <t>The authors thank the National Council for Scientific and Technological Development (CNPq), process 310758/2016-5, Coordination for the Improvement of Higher Level Personnel-Brazil (CAPES)-Code of Financing 001, for promoting the development of this research.</t>
  </si>
  <si>
    <t>AUG 3</t>
  </si>
  <si>
    <t>10.1007/s10661-020-08526-5</t>
  </si>
  <si>
    <t>NB3CE</t>
  </si>
  <si>
    <t>WOS:000560389400001</t>
  </si>
  <si>
    <t>Guilpin, M; Lesage, V; McQuinn, I; Brosset, P; Doniol-Valcroze, T; Jeanniard-du-Dot, T; Winkler, G</t>
  </si>
  <si>
    <t>Guilpin, Marie; Lesage, Veronique; McQuinn, Ian; Brosset, Pablo; Doniol-Valcroze, Thomas; Jeanniard-du-Dot, Tiphaine; Winkler, Gesche</t>
  </si>
  <si>
    <t>Repeated Vessel Interactions and Climate- or Fishery-Driven Changes in Prey Density Limit Energy Acquisition by Foraging Blue Whales</t>
  </si>
  <si>
    <t>net energy gain; foraging energetics; krill density; climate change; whale-watching interaction; Estuary and Gulf of St. Lawrence</t>
  </si>
  <si>
    <t>BREATH-HOLD DIVERS; ST-LAWRENCE; POPULATION CONSEQUENCES; EUPHAUSIA-SUPERBA; ANTARCTIC KRILL; MARINE PREDATOR; MINKE WHALES; BEHAVIOR; GULF; DISTURBANCE</t>
  </si>
  <si>
    <t>Blue whale survival and fitness are highly contingent on successful food intake during an intense feeding season. Factors affecting time spent at the surface or at depth in a prey patch are likely to alter foraging effort, net energy gain, and fitness. We specifically examined the energetic consequences of a demonstrated reduction in dive duration caused by vessel proximity, and of krill density reductions potentially resulting from krill exploitation or climate change. We estimated net energy gain over a simulated 10h foraging bout under baseline conditions, and three scenarios, reflecting krill density reductions, vessel interactions of different amplitudes, and their combined effects. Generally, the magnitude of the effects increased with that of krill density reductions and duration of vessel proximity. They were also smaller when peak densities were more accessible, i.e., nearer to the surface. Effect size from a reduction in krill density on net energy gain were deemed small to moderate at 5% krill reduction, moderate to large at 10% reduction, and large at 25 and 50% reductions. Vessels reduced cumulated net energy gain by as much as 25% when in proximity for 3 of a 10-h daylight foraging period, and by up to 47-85% when continuously present for 10 h. The impacts of vessel proximity on net energy gain increased with their duration. They were more important when whales were precluded from reaching the most beneficial peak densities, and when these densities were located at deeper depths. When krill densities were decreased by 5% or more, disturbing foraging blue whales for 3 h could reduce their net energy gain by &gt;30%. For this endangered western North Atlantic blue whale population, a decrease in net energy gain through an altered krill preyscape or repeated vessel interactions is of particular concern, as this species relies on a relatively short feeding season to accumulate energy reserves and to fuel reproduction. This study highlights the importance of distance limits during whale-watching operations to ensure efficient feeding, as well as the vulnerability of this specialist to fluctuations in krill densities.</t>
  </si>
  <si>
    <t>[Guilpin, Marie; Lesage, Veronique; McQuinn, Ian; Brosset, Pablo] Fisheries &amp; Oceans Canada, Maurice Lamontagne Inst, Mont Joli, PQ, Canada; [Guilpin, Marie; Winkler, Gesche] Quebec Ocean Univ Quebec Rimouski, Inst Sci Mer Rimouski, Rimouski, PQ, Canada; [Doniol-Valcroze, Thomas] Fisheries &amp; Oceans Canada, Pacific Biol Stn, Nanaimo, BC, Canada; [Jeanniard-du-Dot, Tiphaine] Univ Rochelle, CNRS, Ctr Etud Biol Chize, UMR 7372, Villiers En Bois, France</t>
  </si>
  <si>
    <t>Fisheries &amp; Oceans Canada; Fisheries &amp; Oceans Canada; Centre National de la Recherche Scientifique (CNRS); CNRS - Institute of Ecology &amp; Environment (INEE)</t>
  </si>
  <si>
    <t>Guilpin, M (corresponding author), Fisheries &amp; Oceans Canada, Maurice Lamontagne Inst, Mont Joli, PQ, Canada.;Guilpin, M (corresponding author), Quebec Ocean Univ Quebec Rimouski, Inst Sci Mer Rimouski, Rimouski, PQ, Canada.</t>
  </si>
  <si>
    <t>marie.guilpin@gmail.com; veronique.lesage@dfo-mpo.gc.ca; ian.mcquinn@dfo-mpo.gc.ca</t>
  </si>
  <si>
    <t>Brosset, Pablo/AAA-3148-2021; Lesage, Veronique/ABE-2682-2020; Doniol-Valcroze, Thomas/AAH-2876-2019; Jeanniard, Tiphaine/ABF-8836-2020</t>
  </si>
  <si>
    <t>Brosset, Pablo/0000-0002-2561-6560; Doniol-Valcroze, Thomas/0000-0002-6852-6047; Jeanniard, Tiphaine/0000-0003-1985-8325</t>
  </si>
  <si>
    <t>Species at Risk and Oceans Management programs of Fisheries and Oceans Canada; Natural Sciences and Engineering Research Council of Canada (NSERC) [STPGP 447363]; Fisheries Science and Ecosystem Research Program from the Government of Canada through an NSERC (Natural Sciences and Engineering Research Council of Canada) visiting fellowship</t>
  </si>
  <si>
    <t>Species at Risk and Oceans Management programs of Fisheries and Oceans Canada; Natural Sciences and Engineering Research Council of Canada (NSERC)(Natural Sciences and Engineering Research Council of Canada (NSERC)); Fisheries Science and Ecosystem Research Program from the Government of Canada through an NSERC (Natural Sciences and Engineering Research Council of Canada) visiting fellowship</t>
  </si>
  <si>
    <t>This work was financially supported by the Species at Risk and Oceans Management programs of Fisheries and Oceans Canada, and by the strategic partnership grant (STPGP 447363) from the Natural Sciences and Engineering Research Council of Canada (NSERC) awarded to GW and VL. PB was funded by Fisheries Science and Ecosystem Research Program from the Government of Canada through an NSERC (Natural Sciences and Engineering Research Council of Canada) visiting fellowship.</t>
  </si>
  <si>
    <t>10.3389/fmars.2020.00626</t>
  </si>
  <si>
    <t>MV2EH</t>
  </si>
  <si>
    <t>WOS:000556175100001</t>
  </si>
  <si>
    <t>Vargo, LJ; Anderson, BM; Dadic, R; Horgan, HJ; Mackintosh, AN; King, AD; Lorrey, AM</t>
  </si>
  <si>
    <t>Vargo, Lauren J.; Anderson, Brian M.; Dadic, Ruzica; Horgan, Huw J.; Mackintosh, Andrew N.; King, Andrew D.; Lorrey, Andrew M.</t>
  </si>
  <si>
    <t>Anthropogenic warming forces extreme annual glacier mass loss</t>
  </si>
  <si>
    <t>NEW-ZEALAND; SOLAR-RADIATION; CLIMATE SENSITIVITY; MOUNTAIN GLACIERS; BALANCE; MELT; RECORD; INTERPOLATION; DAROLLA; IMPACT</t>
  </si>
  <si>
    <t>Glaciers are unique indicators of climate change. While recent global-scale glacier decline has been attributed to anthropogenic forcing, direct links between human-induced climate warming and extreme glacier mass-loss years have not been documented. Here we apply event attribution methods to document this at the regional scale, targeting the highest mass-loss years (2011 and 2018) across New Zealand's Southern Alps. Glacier mass balance is simulated using temperature and precipitation from multiple climate model ensembles. We estimate extreme mass loss was at least six times (2011) and ten times (2018) (&gt;90% confidence) more likely to occur with anthropogenic forcing than without. This increased likelihood is driven by present-day temperatures similar to 1.0 degrees C above the pre-industrial average, confirming a connection between anthropogenic emissions and high annual ice loss. These results suggest that as warming and extreme heat events continue and intensify, there will be an increasingly visible human fingerprint on extreme glacier mass-loss years in the coming decades.</t>
  </si>
  <si>
    <t>[Vargo, Lauren J.; Anderson, Brian M.; Dadic, Ruzica; Horgan, Huw J.] Victoria Univ Wellington, Antarctic Res Ctr, Wellington, New Zealand; [Vargo, Lauren J.; Horgan, Huw J.] Victoria Univ Wellington, Sch Geog Environm &amp; Earth Sci, Wellington, New Zealand; [Mackintosh, Andrew N.] Monash Univ, Sch Earth Atmosphere &amp; Environm, Melbourne, Vic, Australia; [King, Andrew D.] Univ Melbourne, Sch Earth Sci, Melbourne, Vic, Australia; [King, Andrew D.] Univ Melbourne, ARC Ctr Excellence Climate Extremes, Melbourne, Vic, Australia; [Lorrey, Andrew M.] Natl Inst Water &amp; Atmospher Res, Auckland, New Zealand</t>
  </si>
  <si>
    <t>Victoria University Wellington; Victoria University Wellington; Melbourne Genomics Health Alliance; Monash University; University of Melbourne; Melbourne Bioinformatics; University of Melbourne; Melbourne Genomics Health Alliance; National Institute of Water &amp; Atmospheric Research (NIWA) - New Zealand</t>
  </si>
  <si>
    <t>Vargo, LJ (corresponding author), Victoria Univ Wellington, Antarctic Res Ctr, Wellington, New Zealand.;Vargo, LJ (corresponding author), Victoria Univ Wellington, Sch Geog Environm &amp; Earth Sci, Wellington, New Zealand.</t>
  </si>
  <si>
    <t>lauren.vargo@vuw.ac.nz</t>
  </si>
  <si>
    <t>King, Andrew/AFK-4420-2022; King, Andrew/AAS-4216-2021</t>
  </si>
  <si>
    <t>King, Andrew/0000-0001-9006-5745; Mackintosh, Andrew/0000-0002-6430-4711; Dadic, Ruzica/0000-0003-1303-1896; Vargo, Lauren/0000-0001-7037-0451; Horgan, Huw/0000-0002-4836-0078</t>
  </si>
  <si>
    <t>NIWA [CAOA1901]; Victoria University of Wellington Doctoral Scholarship; Australian Research Council [DE180100638]; Australian Research Council [DE180100638] Funding Source: Australian Research Council</t>
  </si>
  <si>
    <t>NIWA; Victoria University of Wellington Doctoral Scholarship; Australian Research Council(Australian Research Council); Australian Research Council(Australian Research Council)</t>
  </si>
  <si>
    <t>This work was supported by NIWA Strategic Science Internal Funding of the 'Climate Present and Past' project CAOA1901, a subcontract to Victoria University of Wellington from NIWA for 'Structure from Motion of Southern Alps glaciers' and a Victoria University of Wellington Doctoral Scholarship. A.D.K. received support from the Australian Research Council (DE180100638). We thank N. Cullen and P. Sirguey for sharing Brewster mass-balance data, and T. Kerr and H. Purdie for sharing Rolleston mass-balance data. We acknowledge the climate modelling groups that contributed model output to CMIP5 and the groups measuring glacier mass balance that makes up the data in Fig. 1. We thank R. Hock, S. Eaves and C. Lukens for their input, T. Chinn, A. Willsman and A. Woods for their work on the snowline survey.</t>
  </si>
  <si>
    <t>10.1038/s41558-020-0849-2</t>
  </si>
  <si>
    <t>NI2WR</t>
  </si>
  <si>
    <t>WOS:000555369200002</t>
  </si>
  <si>
    <t>Tarroux, A; Cherel, Y; Fauchald, P; Kato, A; Love, OP; Ropert-Coudert, Y; Spreen, G; Varpe, O; Weimerskirch, H; Yoccoz, NG; Zahn, S; Descamps, S</t>
  </si>
  <si>
    <t>Tarroux, Arnaud; Cherel, Yves; Fauchald, Per; Kato, Akiko; Love, Oliver P.; Ropert-Coudert, Yan; Spreen, Gunnar; Varpe, Oystein; Weimerskirch, Henri; Yoccoz, Nigel G.; Zahn, Sandrine; Descamps, Sebastien</t>
  </si>
  <si>
    <t>Foraging tactics in dynamic sea-ice habitats affect individual state in a long-ranging seabird</t>
  </si>
  <si>
    <t>Antarctic petrel; GPS tracking; individual variation; optimal foraging; physiological indicators; Southern Ocean; stable isotopes; Svarthamaren breeding colony</t>
  </si>
  <si>
    <t>PETREL THALASSOICA-ANTARCTICA; BASE-LINE CORTICOSTERONE; CLIMATE-CHANGE; BEHAVIORAL ECOLOGY; ANIMAL MOVEMENT; MARINE MAMMALS; BODY-MASS; HETEROGENEITY; STRATEGIES; ZONE</t>
  </si>
  <si>
    <t>Individual heterogeneity in diet and foraging behaviour is common in wild animal populations, and can be a strong determinant of how populations respond to environmental changes. Within populations, variation in foraging behaviour and the occurrence of individual tactics in relation to resources distribution can help explain differences in individual fitness, and ultimately identify important factors affecting population dynamics. We examined how foraging behaviour and habitat during the breeding period related to the physiological state of a long-ranging seabird adapted to sea ice, the Antarctic petrelThalassoica antarctica. Firstly, using GPS tracking and state-switching movement modelling (hidden Markov models) on 124 individual birds, we tested for the occurrence of distinct foraging tactics within our study population. Our results highlight a large variation in the movement and foraging behaviour of a very mobile seabird, and delineate distinct foraging tactics along a gradient from foraging in dense pack ice to foraging in open water. Secondly, we investigated the effects of these foraging tactics on individual state at return from a foraging trip. We combined movement data with morphometric and physiological measurements of a suite of plasma metabolites that provided a general picture of a bird's individual state. Foraging in denser sea ice was associated with lower gain in body mass during brooding, as well as lower level of energy acquisition (plasma triacylglycerol) during both brooding and incubation. We found no clear relationship between the foraging tactic in relation to sea ice and the energetic stress (changes in plasma corticosterone), energetic balance (beta-hydroxybutyrate) or trophic level (delta N-15). However, a shorter foraging range was related to both the energetic balance (positively) and the trophic level (negatively). Our results highlight a diverse range of foraging tactics in relation to sea ice in Antarctic petrels. While the various foraging tactics do not seem to strongly alter energetic balance, they may affect other aspects of Antarctic petrels' physiology. Future changes in sea-ice habitats can thus be expected to have an impact on the individual state of seabirds such as Antarctic petrels, which could ultimately affect their population dynamics. Nonetheless, strong individual heterogeneity in the use of sea-ice habitats by a typical pagophilic species might strengthen its resilience to environmental changes and in particular to forecasted sea-ice loss. A freePlain Language Summarycan be found within the Supporting Information of this article.</t>
  </si>
  <si>
    <t>[Tarroux, Arnaud; Fauchald, Per] Norwegian Inst Nat Res, Dept Arctic Ecol Tromso, Tromso, Norway; [Tarroux, Arnaud; Spreen, Gunnar; Descamps, Sebastien] Norwegian Polar Res Inst, Biodivers Sect, Tromso, Norway; [Cherel, Yves; Kato, Akiko; Ropert-Coudert, Yan; Weimerskirch, Henri] La Rochelle Univ, CNRS, UMR 7372, Ctr Etud Biol Chize CEBC, Villiers En Bois, France; [Love, Oliver P.] Univ Windsor, Dept Biol Sci, Windsor, ON, Canada; [Spreen, Gunnar] Univ Bremen, Inst Environm Phys, Bremen, Germany; [Varpe, Oystein] Univ Bergen, Dept Biol Sci, Bergen, Norway; [Varpe, Oystein] Norwegian Inst Nat Res, Bergen, Norway; [Yoccoz, Nigel G.] Univ Tromso Arctic Univ Norway, Dept Arctic &amp; Marine Biol, Tromso, Norway; [Zahn, Sandrine] Univ Strasbourg, UMR7178, CNRS, Inst Pluridisciplinaire Hubert Curien, Strasbourg, France</t>
  </si>
  <si>
    <t>Norwegian Institute Nature Research; Norwegian Polar Institute; Centre National de la Recherche Scientifique (CNRS); CNRS - Institute of Ecology &amp; Environment (INEE); University of Windsor; University of Bremen; University of Bergen; Norwegian Institute Nature Research; UiT The Arctic University of Tromso; Centre National de la Recherche Scientifique (CNRS); CNRS - National Institute of Nuclear and Particle Physics (IN2P3); Universites de Strasbourg Etablissements Associes; Universite de Strasbourg</t>
  </si>
  <si>
    <t>Tarroux, A (corresponding author), Norwegian Inst Nat Res, Dept Arctic Ecol Tromso, Tromso, Norway.;Tarroux, A (corresponding author), Norwegian Polar Res Inst, Biodivers Sect, Tromso, Norway.</t>
  </si>
  <si>
    <t>arnaud.tarroux@nina.no</t>
  </si>
  <si>
    <t>Yoccoz, Nigel/C-8561-2014; Weimerskirch, Henri/F-5562-2013; Fauchald, Per/AAV-4242-2021; Spreen, Gunnar/A-4533-2010; Tarroux, Arnaud/AAE-5173-2021; Varpe, Oystein/B-9693-2008</t>
  </si>
  <si>
    <t>Yoccoz, Nigel/0000-0003-2192-1039; Spreen, Gunnar/0000-0003-0165-8448; Tarroux, Arnaud/0000-0001-8306-6694; Ropert-Coudert, Yan/0000-0001-6494-5300; ZAHN, Sandrine/0000-0001-9303-4223; Kato, Akiko/0000-0002-8947-3634; Cherel, Yves/0000-0001-9469-9489; Varpe, Oystein/0000-0002-5895-6983; Love, Oliver/0000-0001-8235-6411</t>
  </si>
  <si>
    <t>Norges Forskningsrad [2011/70/8/KH/is]</t>
  </si>
  <si>
    <t>Norges Forskningsrad(Research Council of Norway)</t>
  </si>
  <si>
    <t>Norges Forskningsrad, Grant/Award Number: 2011/70/8/KH/is</t>
  </si>
  <si>
    <t>10.1111/1365-2435.13632</t>
  </si>
  <si>
    <t>NK1KW</t>
  </si>
  <si>
    <t>WOS:000554576500001</t>
  </si>
  <si>
    <t>Graeve, M; Boissonnot, L; Niehoff, B; Hagen, W; Kattner, G</t>
  </si>
  <si>
    <t>Graeve, Martin; Boissonnot, Lauris; Niehoff, Barbara; Hagen, Wilhelm; Kattner, Gerhard</t>
  </si>
  <si>
    <t>Assimilation and turnover rates of lipid compounds in dominant Antarctic copepods fed with 13C-enriched diatoms</t>
  </si>
  <si>
    <t>PHILOSOPHICAL TRANSACTIONS OF THE ROYAL SOCIETY B-BIOLOGICAL SCIENCES</t>
  </si>
  <si>
    <t>Antarctic; zooplankton; lipids; carbon turnover; CSIA</t>
  </si>
  <si>
    <t>LIFE-CYCLE STRATEGIES; WAX ESTERS; HERBIVOROUS COPEPODS; CALANUS-PROPINQUUS; CALANOIDES-ACUTUS; TROPHIC MARKERS; FATTY-ACIDS; WEDDELL SEA; TRIACYLGLYCEROLS; STORAGE</t>
  </si>
  <si>
    <t>The study revealed species- and stage-specific differences in lipid accumulation of the dominant Antarctic copepods, the primarily herbivorousCalanoides acutus(copepodite stage V (CV), females) and the more omnivorousCalanus propinquus(females) storing wax esters and triacylglycerols, respectively, which were collected in summer (end of December). Feeding carbon-labelled diatoms to these copepods,C-13 elucidated assimilation and turnover rates of copepod total lipids as well as specific fatty acids and alcohols. The(13)C incorporation was monitored by compound-specific stable isotope analysis (CSIA). CV stages ofC. acutusexhibited an intense total lipid turnover and 55% of total lipids were labelled after 9 days of feeding. By contrast, total lipid assimilation of femaleC. acutusandC. propinquuswas lower with 29% and 32%, respectively. The major dietary fatty acids 16:0, 16:1(n - 7) and 20:5(n - 3) had high turnover rates in all specimens. InC. acutusCV, the high rates of the de novo synthesized long-chain monounsaturated fatty acids and alcohols 20:1(n - 9) and 22:1(n - 11) indicate intense lipid deposition, whereas these rates were low in females. The differences in lipid assimilation and turnover clearly show that the copepod species exhibit a high variability and plasticity to adapt their lipid production to their various life phases. This article is part of the theme issue 'The next horizons for lipids as 'trophic biomarkers': evidence and significance of consumer modification of dietary fatty acids'.</t>
  </si>
  <si>
    <t>[Graeve, Martin; Boissonnot, Lauris; Niehoff, Barbara; Kattner, Gerhard] Helmholtz Ctr Polar &amp; Marine Res, Ecol Chem Dept, Alfred Wegener Inst, D-27570 Bremerhaven, Germany; [Hagen, Wilhelm] Univ Bremen, BreMarE Bremen Marine Ecol, Marine Zool, D-28334 Bremen, Germany; [Boissonnot, Lauris] Aqua Kompetanse AS, R&amp;D Dept, N-7770 Flatanger, Norway</t>
  </si>
  <si>
    <t>Graeve, M (corresponding author), Helmholtz Ctr Polar &amp; Marine Res, Ecol Chem Dept, Alfred Wegener Inst, D-27570 Bremerhaven, Germany.</t>
  </si>
  <si>
    <t>martin.graeve@awi.de</t>
  </si>
  <si>
    <t>Graeve, Martin/B-5751-2017</t>
  </si>
  <si>
    <t>Graeve, Martin/0000-0002-2294-1915</t>
  </si>
  <si>
    <t>0962-8436</t>
  </si>
  <si>
    <t>1471-2970</t>
  </si>
  <si>
    <t>PHILOS T R SOC B</t>
  </si>
  <si>
    <t>Philos. Trans. R. Soc. B-Biol. Sci.</t>
  </si>
  <si>
    <t>10.1098/rstb.2019.0647</t>
  </si>
  <si>
    <t>MB4TJ</t>
  </si>
  <si>
    <t>WOS:000542596300007</t>
  </si>
  <si>
    <t>Voigt, C; Marushchak, ME; Abbott, BW; Biasi, C; Elberling, B; Siciliano, SD; Sonnentag, O; Stewart, KJ; Yang, YH; Martikainen, PJ</t>
  </si>
  <si>
    <t>Voigt, Carolina; Marushchak, Maija E.; Abbott, Benjamin W.; Biasi, Christina; Elberling, Bo; Siciliano, Steven D.; Sonnentag, Oliver; Stewart, Katherine J.; Yang, Yuanhe; Martikainen, Pertti J.</t>
  </si>
  <si>
    <t>Nitrous oxide emissions from permafrost-affected soils</t>
  </si>
  <si>
    <t>GREENHOUSE-GAS EMISSIONS; QINGHAI-TIBETAN PLATEAU; WATER-TABLE; ARCTIC TUNDRA; N2O EMISSIONS; ALPINE MEADOW; TEMPORAL VARIABILITY; METHANE EMISSIONS; GLOBAL ASSESSMENT; ANTARCTIC TUNDRA</t>
  </si>
  <si>
    <t>Soils are sources of the potent greenhouse gas nitrous oxide (N2O) globally, but emissions from permafrost-affected soils have been considered negligible owing to nitrogen (N) limitation. Recent measurements of N2O emissions have challenged this view, showing that vegetated soils in permafrost regions are often small but evident sources of N2O during the growing season (similar to 30 mu g N2O-N m(-2) day(-1)). Moreover, barren or sparsely vegetated soils, common in harsh climates, can serve as substantial sources of N2O (similar to 455 mu g N2O-N m(-2) day(-1)), demonstrating the importance of permafrost-affected soils in Earth's N2O budget. In this Review, we discuss N2O fluxes from subarctic, Arctic, Antarctic and alpine permafrost regions, including areas that likely serve as sources (such as peatlands) and as sinks (wetlands, dry upland soils), and estimate global permafrost-affected soil N2O emissions from previously published fluxes. We outline the below-ground N cycle in permafrost regions and examine the environmental conditions influencing N2O dynamics. Climate-change-related impacts on permafrost ecosystems and how these impacts could alter N2O fluxes are reviewed, and an outlook on the major questions and research needs to better constrain the global impact of permafrost N2O emissions is provided.</t>
  </si>
  <si>
    <t>[Voigt, Carolina; Sonnentag, Oliver] Univ Montreal, Dept Geog, Montreal, PQ, Canada; [Marushchak, Maija E.] Univ Jyvaskyla, Dept Biol &amp; Environm Sci, Jyvaskyla, Finland; [Abbott, Benjamin W.] Brigham Young Univ, Dept Plant &amp; Wildlife Sci, Provo, UT 84602 USA; [Biasi, Christina; Martikainen, Pertti J.] Univ Eastern Finland, Dept Environm &amp; Biol Sci, Kuopio, Finland; [Elberling, Bo] Univ Copenhagen, Dept Geosci &amp; Nat Resource Management, Ctr Permafrost CENPERM, Copenhagen, Denmark; [Siciliano, Steven D.; Stewart, Katherine J.] Univ Saskatchewan, Dept Soil Sci, Saskatoon, SK, Canada; [Yang, Yuanhe] Chinese Acad Sci, Inst Bot, State Key Lab Vegetat &amp; Environm Change, Beijing, Peoples R China</t>
  </si>
  <si>
    <t>Universite de Montreal; University of Jyvaskyla; Brigham Young University; University of Eastern Finland; University of Copenhagen; University of Saskatchewan; Chinese Academy of Sciences; Institute of Botany, CAS</t>
  </si>
  <si>
    <t>Voigt, C (corresponding author), Univ Montreal, Dept Geog, Montreal, PQ, Canada.</t>
  </si>
  <si>
    <t>carolina.voigt@outlook.com</t>
  </si>
  <si>
    <t>Abbott, Benjamin W./G-1733-2017; Biasi, Christina/E-1130-2013; Voigt, Carolina/GRX-9664-2022; Yang, Yuanhe/D-1448-2011; Elberling, Bo/M-4000-2014</t>
  </si>
  <si>
    <t>Abbott, Benjamin W./0000-0001-5861-3481; Voigt, Carolina/0000-0001-8589-1428; Elberling, Bo/0000-0002-6023-885X</t>
  </si>
  <si>
    <t>Academy of Finland/Russian Foundation for Basic Research project NOCA [314630]; Yedoma-N project (General Research Grant from the Academy of Finland) [287469]; Canada Research Chair in Atmospheric Biogeosciences at High Latitudes; Global Water Futures project Northern Water Futures; Danish National Research Foundation (Center for Permafrost) [CENPERM DNRF100]; Natural Sciences and Engineering Research Council (NSERC) Discovery Grant; Polar Continental Shelf Program (PCSP); International Polar Year (IPY) project CiCAT; National Natural Science Foundation of China [31825006, 31988102, 91837312]; Second Tibetan Plateau Scientific Expedition and Research (STEP) program [2019QZKK0106, 2019QZKK0302]; Academy of Finland (AKA) [314630, 287469] Funding Source: Academy of Finland (AKA)</t>
  </si>
  <si>
    <t>Academy of Finland/Russian Foundation for Basic Research project NOCA; Yedoma-N project (General Research Grant from the Academy of Finland); Canada Research Chair in Atmospheric Biogeosciences at High Latitudes; Global Water Futures project Northern Water Futures; Danish National Research Foundation (Center for Permafrost); Natural Sciences and Engineering Research Council (NSERC) Discovery Grant(Natural Sciences and Engineering Research Council of Canada (NSERC)); Polar Continental Shelf Program (PCSP)(Natural Resources Canada); International Polar Year (IPY) project CiCAT; National Natural Science Foundation of China(National Natural Science Foundation of China (NSFC)); Second Tibetan Plateau Scientific Expedition and Research (STEP) program; Academy of Finland (AKA)(Research Council of Finland)</t>
  </si>
  <si>
    <t>We wish to acknowledge funding from the Academy of Finland/Russian Foundation for Basic Research project NOCA (decision no. 314630) and the Yedoma-N project (General Research Grant from the Academy of Finland, decision number 287469). C.V. was funded by the Canada Research Chair in Atmospheric Biogeosciences at High Latitudes (awarded to O.S.) and the Global Water Futures project Northern Water Futures. B.E. was supported by the Danish National Research Foundation (Center for Permafrost, CENPERM DNRF100), S.D.S. was supported by a Natural Sciences and Engineering Research Council (NSERC) Discovery Grant, the Polar Continental Shelf Program (PCSP) and the International Polar Year (IPY) project CiCAT. Y.Y. was supported by the National Natural Science Foundation of China (31825006, 31988102 and 91837312) and the Second Tibetan Plateau Scientific Expedition and Research (STEP) program (2019QZKK0106 and 2019QZKK0302). We are grateful to Evan J. Wilcox for help in preparing Fig. 1 and to the authors of published N 2O flux studies for providing additional site-level information that helped to interpret the flux data.</t>
  </si>
  <si>
    <t>10.1038/s43017-020-0063-9</t>
  </si>
  <si>
    <t>SA6YR</t>
  </si>
  <si>
    <t>WOS:000649448100008</t>
  </si>
  <si>
    <t>McMinn, A; Liang, YT; Wang, M</t>
  </si>
  <si>
    <t>McMinn, Andrew; Liang, Yantao; Wang, Min</t>
  </si>
  <si>
    <t>Minireview: The role of viruses in marine photosynthetic biofilms</t>
  </si>
  <si>
    <t>MARINE LIFE SCIENCE &amp; TECHNOLOGY</t>
  </si>
  <si>
    <t>Sea ice; Algae; Virus; Microphytobenthos; Bacteria</t>
  </si>
  <si>
    <t>SEA-ICE; BENTHIC MICROALGAE; HIGH ABUNDANCE; MCMURDO SOUND; FRESH-WATER; COMMUNITY; BACTERIAL; DYNAMICS; BLOOM; COCCOLITHOPHORE</t>
  </si>
  <si>
    <t>Microphytobenthos and sea ice algae comprise globally significant photosynthetic biofilms. While their microalgal and bacterial constituents are well characterized, there is very little information on their viral communities or on the virus-bacteria and virus-algae interactions within them. While high levels of interaction might be expected because of the high density of cells, infection rates, particularly of microalgae, have been found to be low. It remains unclear whether this is a result of environment characteristics, developed resistance or because of the small number of studies.</t>
  </si>
  <si>
    <t>[McMinn, Andrew; Liang, Yantao; Wang, Min] Ocean Univ China, Coll Life Sci, Qingdao 266003, Peoples R China; [McMinn, Andrew] Univ Tasmania, Inst Marine &amp; Antarctic Studies, Hobart, Tas, Australia; [Liang, Yantao; Wang, Min] Ocean Univ China, Inst Evolut &amp; Marine Biodivers, Qingdao 266003, Peoples R China</t>
  </si>
  <si>
    <t>Ocean University of China; University of Tasmania; Ocean University of China</t>
  </si>
  <si>
    <t>McMinn, A (corresponding author), Ocean Univ China, Coll Life Sci, Qingdao 266003, Peoples R China.;McMinn, A (corresponding author), Univ Tasmania, Inst Marine &amp; Antarctic Studies, Hobart, Tas, Australia.</t>
  </si>
  <si>
    <t>Andrew.mcminn@utas.edu.ausssd</t>
  </si>
  <si>
    <t>Wang, Min/AFR-9645-2022; McMinn, Andrew/A-9910-2008</t>
  </si>
  <si>
    <t>Wang, Min/0000-0002-2357-589X; McMinn, Andrew/0000-0002-2133-3854</t>
  </si>
  <si>
    <t>Marine S&amp;T Fund of Shandong Province for Pilot National Laboratory for Marine Science and Technology (Qingdao) [2018SDKJ0406-6]; National Key Research and Development Program of China [2018YFC1406704]; Fundamental Research Funds for the Central Universities [201812002]; Natural Science Foundation of China [41976117, 41606153]</t>
  </si>
  <si>
    <t>Marine S&amp;T Fund of Shandong Province for Pilot National Laboratory for Marine Science and Technology (Qingdao); National Key Research and Development Program of China; Fundamental Research Funds for the Central Universities(Fundamental Research Funds for the Central Universities); Natural Science Foundation of China(National Natural Science Foundation of China (NSFC))</t>
  </si>
  <si>
    <t>This study was funded by the Marine S&amp;T Fund of Shandong Province for Pilot National Laboratory for Marine Science and Technology (Qingdao) (No. 2018SDKJ0406-6), National Key Research and Development Program of China (2018YFC1406704), The Fundamental Research Funds for the Central Universities (201812002) and the Natural Science Foundation of China (Nos. 41976117 and 41606153). We thank Wenjing Zhang for drafting Fig. 1.</t>
  </si>
  <si>
    <t>2096-6490</t>
  </si>
  <si>
    <t>2662-1746</t>
  </si>
  <si>
    <t>MAR LIFE SCI TECH</t>
  </si>
  <si>
    <t>Mar. Life Sci. Tech.</t>
  </si>
  <si>
    <t>10.1007/s42995-020-00042-2</t>
  </si>
  <si>
    <t>SA7AV</t>
  </si>
  <si>
    <t>WOS:000649453900001</t>
  </si>
  <si>
    <t>Beadling, RL; Russell, JL; Stouffer, RJ; Mazloff, M; Talley, LD; Goodman, PJ; Sallée, JB; Hewitt, HT; Hyder, P; Pandde, A</t>
  </si>
  <si>
    <t>Beadling, R. L.; Russell, J. L.; Stouffer, R. J.; Mazloff, M.; Talley, L. D.; Goodman, P. J.; Sallee, J. B.; Hewitt, H. T.; Hyder, P.; Pandde, Amarjiit</t>
  </si>
  <si>
    <t>Representation of Southern Ocean Properties across Coupled Model Intercomparison Project Generations: CMIP3 to CMIP6</t>
  </si>
  <si>
    <t>The air-sea exchange of heat and carbon in the Southern Ocean (SO) plays an important role in mediating the climate state. The dominant role the SO plays in storing anthropogenic heat and carbon is a direct consequence of the unique and complex ocean circulation that exists there. Previous generations of climate models have struggled to accurately represent key SO properties and processes that influence the large-scale ocean circulation. This has resulted in low confidence ascribed to twenty-first-century projections of the state of the SO from previous generations of models. This analysis provides a detailed assessment of the ability of models contributed to the sixth phase of the Coupled Model Intercomparison Project (CMIP6) to represent important observationally based SO properties. Additionally, a comprehensive overview of CMIP6 performance relative to CMIP3 and CMIP5 is presented. CMIP6 models show improved performance in the surface wind stress forcing, simulating stronger and less equatorward-biased wind fields, translating into an improved representation of the Ekman upwelling over the Drake Passage latitudes. An increased number of models simulate an Antarctic Circumpolar Current (ACC) transport within observational uncertainty relative to previous generations; however, several models exhibit extremely weak transports. Generally, the upper SO remains biased warm and fresh relative to observations, and Antarctic sea ice extent remains poorly represented. While generational improvement is found in many metrics, persistent systematic biases are highlighted that should be a priority during model development. These biases need to be considered when interpreting projected trends or biogeochemical properties in this region.</t>
  </si>
  <si>
    <t>[Beadling, R. L.; Russell, J. L.; Stouffer, R. J.; Goodman, P. J.; Pandde, Amarjiit] Univ Arizona, Dept Geosci, Tucson, AZ 85721 USA; [Mazloff, M.; Talley, L. D.] Univ Calif San Diego, Scripps Inst Oceanog, La Jolla, CA 92093 USA; [Sallee, J. B.] UPMC Univ, Sorbonne Univ, LOCEAN IPSL, Paris 06,UMR 7159, Paris, France; [Hewitt, H. T.; Hyder, P.] Met Off Hadley Ctr, Exeter, Devon, England</t>
  </si>
  <si>
    <t>University of Arizona; University of California System; University of California San Diego; Scripps Institution of Oceanography; Sorbonne Universite; Centre National de la Recherche Scientifique (CNRS); CNRS - National Institute for Earth Sciences &amp; Astronomy (INSU); Museum National d'Histoire Naturelle (MNHN); Met Office - UK; Hadley Centre</t>
  </si>
  <si>
    <t>Beadling, RL (corresponding author), Univ Arizona, Dept Geosci, Tucson, AZ 85721 USA.</t>
  </si>
  <si>
    <t>beadling@email.arizona.edu</t>
  </si>
  <si>
    <t>sallée, jean-baptiste/A-5837-2010</t>
  </si>
  <si>
    <t>Talley, Lynne/0000-0003-1574-729X; Hewitt, Helene/0000-0001-7432-6001; Russell, Joellen/0000-0001-9937-6056</t>
  </si>
  <si>
    <t>NSF's Southern Ocean Carbon and Climate Observations and Modeling (SOCCOM) Project under NSF [PLR-1425989]; NOAA; NASA; U.S. EPA [FP-91780701-0]; Thomas R. Brown foundation at the University of Arizona; Met Office Hadley Centre Climate Programme - BEIS; Defra [GA01101]; CMIP; ESGF</t>
  </si>
  <si>
    <t>NSF's Southern Ocean Carbon and Climate Observations and Modeling (SOCCOM) Project under NSF; NOAA(National Oceanic Atmospheric Admin (NOAA) - USA); NASA(National Aeronautics &amp; Space Administration (NASA)); U.S. EPA(United States Environmental Protection Agency); Thomas R. Brown foundation at the University of Arizona; Met Office Hadley Centre Climate Programme - BEIS; Defra(Department for Environment, Food &amp; Rural Affairs (DEFRA)); CMIP; ESGF</t>
  </si>
  <si>
    <t>We acknowledge the World Climate Research Programme's Working Group on Coupled Modelling responsible for CMIP. We thank the modeling groups listed in Table 1 for producing and making available their output, the Earth System Grid Federation (ESGF) for archiving the output and providing access, and the multiple funding agencies who support CMIP and ESGF. For CMIP, the U.S. Department of Energy's Program for ClimateModelDiagnosis and Intercomparison provides coordinating support and led development of software infrastructure in partnership with the Global Organization for Earth System Science Portals. We acknowledge the use of the PyFerret program from NOAA's Pacific Marine Environmental Laboratory for analysis and graphics (http://ferret.pmel.noaa.gov/Ferret/).We thank John Krasting at the Geophysical Fluid Dynamics Laboratory for assistance in obtaining the native grid GFDL-ESM4 output, Teresa Chereskin at Scripps Institution ofOceanography andKathleenDonohue at the University of Rhode Island for discussion regarding observations of the ACC transport, and Brandon Bui at the University of Arizona for assistance in downloading data. We thank the editor and three anonymous reviewers for their comments and suggestions during the review of this manuscript. This work was funded by NSF's Southern Ocean Carbon and Climate Observations and Modeling (SOCCOM) Project under NSF Award PLR-1425989, with additional support from NOAA and NASA. Logistical support for SOCCOM in the Antarctic was provided by the U.S. NSF through the U.S. Antarctic Program. RB was supported by the U.S. EPA Assistance Agreement FP-91780701-0. This publication has not been reviewed by the EPA and the views expressed herein are solely those of the authors. We also thank the Thomas R. Brown foundation at the University of Arizona for supporting JR and PJ. HH and PH were supported by the Met Office Hadley Centre Climate Programme funded by BEIS and Defra (GA01101).</t>
  </si>
  <si>
    <t>AUG 1</t>
  </si>
  <si>
    <t>10.1175/JCLI-D-19-0970.1</t>
  </si>
  <si>
    <t>QC8QZ</t>
  </si>
  <si>
    <t>WOS:000615097400014</t>
  </si>
  <si>
    <t>Moorman, R; Morrison, AK; Hogg, AM</t>
  </si>
  <si>
    <t>Moorman, Ruth; Morrison, Adele K.; Hogg, Andrew McC</t>
  </si>
  <si>
    <t>Thermal Responses to Antarctic Ice Shelf Melt in an Eddy-Rich Global Ocean-Sea Ice Model</t>
  </si>
  <si>
    <t>The response of near-Antarctic waters to freshening by increased glacial melt is investigated using a high-resolution (0.18) global ocean-sea ice model with realistic Antarctic water-mass properties. Two meltwater perturbation experiments are conducted where the ocean model is forced with constant elevated glacial melt rates of 1.5 and 2.8 times the control rate. Within 10 years of the onset of enhanced meltwater forcing, the generation of Antarctic Bottom Water from Dense Shelf Water ceases, as shelf waters become increasingly buoyant. Increased ocean stratification triggers subsurface warming in Dense Shelf Water source regions, suggesting a localized positive feedback to melt. In a parallel response, meltwater forcing enhances the subsurface lateral density gradients of the Antarctic Slope Front that modulate the transport of warm Circumpolar Deep Water across the continental slope toward ice shelf grounding lines. Consequently, coastal freshening acts to isolate the Antarctic Ice Sheet from open ocean heat, suggesting a cooling response to melt that counteracts warming associated with stratification. Further, these strengthening density gradients accelerate westward geostrophic currents along the coast and shelf break, homogenizing shelf waters and amplifying remote feedbacks. The net effect on the continental shelf is transient warming, followed by cooling in both experiments; however, this signal is the aggregate of a complex pattern of regional warming and cooling responses. These results suggest coastal freshening by meltwater may alter the thermal forcing of the Antarctic ice sheet in ways that both accelerate and inhibit ice shelf melt at different locations along the Antarctic coastline.</t>
  </si>
  <si>
    <t>[Moorman, Ruth] Australian Natl Univ, Res Sch Earth Sci, Canberra, ACT, Australia; Australian Natl Univ, ARC Ctr Excellence Climate Extremes, Canberra, ACT, Australia</t>
  </si>
  <si>
    <t>Australian National University; Australian National University</t>
  </si>
  <si>
    <t>Moorman, R (corresponding author), Australian Natl Univ, Res Sch Earth Sci, Canberra, ACT, Australia.</t>
  </si>
  <si>
    <t>ruthmoorman1@gmail.com</t>
  </si>
  <si>
    <t>Hogg, Andy/AAZ-8733-2021; Hogg, Andy McC./A-7553-2011; Morrison, Adele/C-1774-2012</t>
  </si>
  <si>
    <t>Hogg, Andy/0000-0001-5898-7635; Hogg, Andy McC./0000-0001-5898-7635; Morrison, Adele/0000-0002-9904-4980; Moorman, Ruth/0000-0001-5054-1559</t>
  </si>
  <si>
    <t>Australian Commonwealth Government; Australian Research Council (ARC) DECRA Fellowship [DE170100184]; ARC [DP190100494]; Australian NationalUniversity A. L. HalesHonours Year Scholarship</t>
  </si>
  <si>
    <t>Australian Commonwealth Government(Australian Government); Australian Research Council (ARC) DECRA Fellowship(Australian Research Council); ARC(Australian Research Council); Australian NationalUniversity A. L. HalesHonours Year Scholarship</t>
  </si>
  <si>
    <t>This research was undertaken on the National Computational Infrastructure (NCI) in Canberra, Australia, which is supported by the Australian Commonwealth Government. A.K.M. was supported by an Australian Research Council (ARC) DECRA Fellowship DE170100184. A.K.M. and A.M.H. were supported by an ARCDiscovery Project DP190100494. R.M. was supported by the Australian NationalUniversity A. L. HalesHonours Year Scholarship. A subset of the data used in this study will be made available at doi:10.4225/41/5a2dc8543105a. We thank the COSIMA consortium (http://cosima.org.au/) for helpful discussions and technical support, particularly Andrew E. Kiss for his work on developing and overseeing the spinup of the ACCESS-OM2-01 model configuration used. We also thank Nick R. Golledge for generously providing Antarctic runoff projections prior to publication. Finally, we thank Andrew L. Stewart and two anonymous reviewers for their constructive commentary on the initial manuscript.</t>
  </si>
  <si>
    <t>10.1175/JCLI-D-19-0846.1</t>
  </si>
  <si>
    <t>WOS:000615097400016</t>
  </si>
  <si>
    <t>Rathore, S; Bindoff, NL; Ummenhofer, CC; Phillips, HE; Feng, M</t>
  </si>
  <si>
    <t>Rathore, Saurabh; Bindoff, Nathaniel L.; Ummenhofer, Caroline C.; Phillips, Helen E.; Feng, Ming</t>
  </si>
  <si>
    <t>Near-Surface Salinity Reveals the Oceanic Sources of Moisture for Australian Precipitation through Atmospheric Moisture Transport</t>
  </si>
  <si>
    <t>ERA-INTERIM REANALYSIS; GLOBAL WATER CYCLE; EL-NINO; SUMMER RAINFALL; SOIL-MOISTURE; ENSO; VARIABILITY; DIPOLE; TEMPERATURE; ANOMALIES</t>
  </si>
  <si>
    <t>The long-term trend of sea surface salinity (SSS) reveals an intensification of the global hydrological cycle due to human-induced climate change. This study demonstrates that SSS variability can also be used as a measure of terrestrial precipitation on interseasonal to interannual time scales, and to locate the source of moisture. Seasonal composites during El Nino-Southern Oscillation/Indian Ocean dipole (ENSO/IOD) events are used to understand the variations of moisture transport and precipitation over Australia, and their association with SSS variability. As ENSO/IOD events evolve, patterns of positive or negative SSS anomaly emerge in the Indo-Pacific warm pool region and are accompanied by atmospheric moisture transport anomalies toward Australia. During co-occurring La Nina and negative IOD events, salty anomalies around the Maritime Continent (north of Australia) indicate freshwater export and are associated with a significant moisture transport that converges over Australia to create anomalous wet conditions. In contrast, during co-occurring El Nino and positive IOD events, a moisture transport divergence anomaly over Australia results in anomalous dry conditions. The relationship between SSS and atmospheric moisture transport also holds for pure ENSO/IOD events but varies in magnitude and spatial pattern. The significant pattern correlation between the moisture flux divergence and SSS anomaly during the ENSO/IOD events highlights the associated ocean-atmosphere coupling. A case study of the extreme hydroclimatic events of Australia (e.g., the 2010/11 Brisbane flood) demonstrates that the changes in SSS occur before the peak of ENSO/IOD events. This raises the prospect that tracking of SSS variability could aid the prediction of Australian rainfall.</t>
  </si>
  <si>
    <t>[Rathore, Saurabh; Bindoff, Nathaniel L.; Phillips, Helen E.] Univ Tasmania, Inst Marine &amp; Antarctic Studies, Hobart, Tas, Australia; [Rathore, Saurabh] ARC Ctr Excellence Climate Syst Sci, Hobart, Tas, Australia; [Bindoff, Nathaniel L.; Phillips, Helen E.] ARC Ctr Excellence Climate Extremes, Hobart, Tas, Australia; [Bindoff, Nathaniel L.] CSIRO Oceans &amp; Atmosphere, Hobart, Tas, Australia; [Bindoff, Nathaniel L.] Australian Antarctic Program Partnership, Hobart, Tas, Australia; [Ummenhofer, Caroline C.] Woods Hole Oceanog Inst, Woods Hole, MA 02543 USA; [Ummenhofer, Caroline C.] ARC Ctr Excellence Climate Extremes, Sydney, NSW, Australia; [Feng, Ming] CSIRO Oceans &amp; Atmosphere, Indian Ocean Marine Res Ctr, Crawley, WA, Australia; [Feng, Ming] CSIRO, Ctr Southern Hemisphere Oceans Res, Hobart, Tas, Australia</t>
  </si>
  <si>
    <t>University of Tasmania; ARC Centre of Excellence for Climate System Science; Commonwealth Scientific &amp; Industrial Research Organisation (CSIRO); Woods Hole Oceanographic Institution; Commonwealth Scientific &amp; Industrial Research Organisation (CSIRO); University of Western Australia; Commonwealth Scientific &amp; Industrial Research Organisation (CSIRO)</t>
  </si>
  <si>
    <t>Rathore, S (corresponding author), Univ Tasmania, Inst Marine &amp; Antarctic Studies, Hobart, Tas, Australia.;Rathore, S (corresponding author), ARC Ctr Excellence Climate Syst Sci, Hobart, Tas, Australia.</t>
  </si>
  <si>
    <t>saurabh.rathore@utas.edu.au</t>
  </si>
  <si>
    <t>Bindoff, Nathaniel Lee/IVV-0333-2023; Phillips, Helen/I-3761-2013; Bindoff, Nathaniel Lee/C-8050-2011; Rathore, Saurabh/GQA-8434-2022; Feng, Ming/F-5411-2010</t>
  </si>
  <si>
    <t>Bindoff, Nathaniel Lee/0000-0001-5662-9519; Phillips, Helen/0000-0002-2941-7577; Bindoff, Nathaniel Lee/0000-0001-5662-9519; Rathore, Saurabh/0000-0001-6677-6838; Feng, Ming/0000-0002-2855-7092</t>
  </si>
  <si>
    <t>Earth System and Climate Change Hub of the Australian government's National Environmental Science Programme; Australian Government; U.S. National Science Foundation [OCE-1663704]; Centre for Southern Hemisphere Oceans Research (CSHOR)</t>
  </si>
  <si>
    <t>Earth System and Climate Change Hub of the Australian government's National Environmental Science Programme; Australian Government(Australian Government); U.S. National Science Foundation(National Science Foundation (NSF)); Centre for Southern Hemisphere Oceans Research (CSHOR)</t>
  </si>
  <si>
    <t>This research is funded through the Earth System and Climate Change Hub of the Australian government's National Environmental Science Programme. The assistance of computing resources from the National Computational Infrastructure supported by the Australian Government is acknowledged. CCU acknowledges support from the U.S. National Science Foundation under Grant OCE-1663704. MF was supported by the by Centre for Southern Hemisphere Oceans Research (CSHOR), which is a joint initiative between the Qingdao National Laboratory for Marine Science and Technology (QNLM), CSIRO, University of New South Wales and University of Tasmania. The authors wish to acknowledge PyFerret (https://ferret.pmel.noaa.gov/Ferret/) and the Cimate Data Operators (https://code.mpimet.mpg.de/projects/cdo/) for the data analysis and graphical representations in this paper. The authors thank four anonymous reviewers and the editor, whose comments significantly contributed to the improvement of this paper.</t>
  </si>
  <si>
    <t>10.1175/JCLI-D-19-0579.1</t>
  </si>
  <si>
    <t>WOS:000615097400022</t>
  </si>
  <si>
    <t>Visser, JT</t>
  </si>
  <si>
    <t>Visser, Jenny T.</t>
  </si>
  <si>
    <t>Patterns of illness and injury on Antarctic research cruises, 2004-2019: a descriptive analysis</t>
  </si>
  <si>
    <t>JOURNAL OF TRAVEL MEDICINE</t>
  </si>
  <si>
    <t>Cruise medicine; research cruise; Antarctica; Antarctic cruise; injury; COVID-19; skin; pre-travel advice</t>
  </si>
  <si>
    <t>SHIPS; OUTBREAKS; CREW; EXPEDITION; PASSENGERS; NOROVIRUS; ACCIDENTS; ABOARD</t>
  </si>
  <si>
    <t>Background: Before the impact of the coronavirus disease 2019 pandemic, cruise travel had experienced exponential growth in the preceding decade. Travel medicine practitioners were increasingly called upon to provide pre-cruise travel advice and medical clearance. Demand for these services will return at some time in the future. Methods: The clinical conditions seen in those presenting for care on six small-vessel scientific cruises to Antarctica were analysed. Results: Personnel presented on 196 occasions resulting in 257 consultations (when initial plus all follow-up consultations were included). Personnel presented with a clinical condition at a rate of 17.9 per 1000 person-days at sea. The total consultation rate was 23.5 per 1000 person-days at sea. Injury accounted for 24% of all presentations at a rate of 4.3 per 1000 person-days at sea. Dermatological, soft tissue and musculoskeletal, general malaise and motion sickness were the four most common presentations. Conclusions: Pre-cruise advice for travellers planning small-vessel cruises to polar regions needs to include skin care, prevention and management of sea sickness and how to reduce the risk of injury. Those providing medical care on such cruises should be prepared to manage a wide range of clinical presentations.</t>
  </si>
  <si>
    <t>[Visser, Jenny T.] Univ Otago, Dept Primary Hlth Care &amp; Gen Practice, 23 Mein St, Wellington 6021, New Zealand</t>
  </si>
  <si>
    <t>University of Otago</t>
  </si>
  <si>
    <t>Visser, JT (corresponding author), Univ Otago, Dept Primary Hlth Care &amp; Gen Practice, 23 Mein St, Wellington 6021, New Zealand.</t>
  </si>
  <si>
    <t>jenny.visser@otago.ac.nz</t>
  </si>
  <si>
    <t>OXFORD UNIV PRESS INC</t>
  </si>
  <si>
    <t>CARY</t>
  </si>
  <si>
    <t>JOURNALS DEPT, 2001 EVANS RD, CARY, NC 27513 USA</t>
  </si>
  <si>
    <t>1195-1982</t>
  </si>
  <si>
    <t>1708-8305</t>
  </si>
  <si>
    <t>J TRAVEL MED</t>
  </si>
  <si>
    <t>J. Travel Med.</t>
  </si>
  <si>
    <t>taaa111</t>
  </si>
  <si>
    <t>10.1093/jtm/taaa111</t>
  </si>
  <si>
    <t>Public, Environmental &amp; Occupational Health; Infectious Diseases; Medicine, General &amp; Internal</t>
  </si>
  <si>
    <t>Public, Environmental &amp; Occupational Health; Infectious Diseases; General &amp; Internal Medicine</t>
  </si>
  <si>
    <t>PN1SR</t>
  </si>
  <si>
    <t>WOS:000604267100019</t>
  </si>
  <si>
    <t>Salloum, PM; De Villemereuil, P; Santure, AW; Waters, JM; Lavery, SD</t>
  </si>
  <si>
    <t>Salloum, P. M.; De Villemereuil, P.; Santure, A. W.; Waters, J. M.; Lavery, S. D.</t>
  </si>
  <si>
    <t>Hitchhiking consequences for genetic and morphological patterns: the influence of kelp-rafting on a brooding chiton</t>
  </si>
  <si>
    <t>BIOLOGICAL JOURNAL OF THE LINNEAN SOCIETY</t>
  </si>
  <si>
    <t>Durvillaea antarctica; elliptic Fourier analysis; geometric morphometrics; molecular divergence; morphology; mtDNA; New Zealand; Onithochiton; phylogeography; shape-analysis; shell shape</t>
  </si>
  <si>
    <t>LONG-DISTANCE DISPERSAL; NEW-ZEALAND; MOLLUSCA POLYPLACOPHORA; R PACKAGE; SHAPE; DNA; PHYLOGEOGRAPHY; CONNECTIVITY; LATITUDE; ECOLOGY</t>
  </si>
  <si>
    <t>Onithochiton neglectus is a morphologically variable, brooding chiton inhabiting coastal reefs throughout New Zealand and its Sub-Antarctic Islands. Southern O. neglectus populations are typically associated with buoyant kelp (Durvillaea spp.) and are potentially connected via kelp-rafting. Northern O. neglectus populations are less likely to raft, due to lower numbers of Durvillaea in northern New Zealand. To test for the impact of kelp-rafting on the spatial distribution of variation in O. neglectus, we undertook a combined analysis of morphological and genetic variation across the range of the species. Geometric morphometrics were used to assess shell shape. We detected a northern vs. southern split in shell shape, corresponding to the frequency of the O. neglectus/Durvillaea spp. association. To assess O. neglectus genetic patterns across New Zealand, we estimated phylogenetic trees with nuclear (ITS) and mitochondrial (COI and 16S) markers, which revealed distinct northern and southern lineages, and an additional lineage in central New Zealand. Neither the morphological nor genetic groups match existing O. neglectus subspecies, but are concordant with the patterns of association of O. neglectus with Durvillaea. We suggest that shell shape may be linked to O. neglectus' regionally variable ecological association with kelp holdfasts.</t>
  </si>
  <si>
    <t>[Salloum, P. M.; Santure, A. W.; Lavery, S. D.] Univ Auckland, Sch Biol Sci, Auckland, New Zealand; [De Villemereuil, P.] Sorbonne Univ, EPHE PSL Univ, Inst Syst Evolut &amp; Biodiversite, UMR 7205,CNRS,MNHN, Paris, France; [Waters, J. M.] Univ Otago, Dept Zool, Dunedin, New Zealand; [Lavery, S. D.] Univ Auckland, Inst Marine Sci, Leigh Marine Lab, Warkworth, New Zealand</t>
  </si>
  <si>
    <t>University of Auckland; Centre National de la Recherche Scientifique (CNRS); CNRS - Institute of Ecology &amp; Environment (INEE); Museum National d'Histoire Naturelle (MNHN); Sorbonne Universite; Universite PSL; Ecole Pratique des Hautes Etudes (EPHE); University of Otago; University of Auckland</t>
  </si>
  <si>
    <t>Salloum, PM (corresponding author), Univ Auckland, Sch Biol Sci, Auckland, New Zealand.</t>
  </si>
  <si>
    <t>psal591@aucklanduni.ac.nz</t>
  </si>
  <si>
    <t>Salloum, Priscila/JHS-6043-2023; Waters, Jonathan/B-4983-2009; Lavery, Shane/AFX-7929-2022; de Villemereuil, Pierre/AAD-8067-2019</t>
  </si>
  <si>
    <t>Waters, Jonathan/0000-0002-1514-7916; Lavery, Shane/0000-0003-3038-292X; de Villemereuil, Pierre/0000-0002-8791-6104</t>
  </si>
  <si>
    <t>School of Biological Sciences of the University of Auckland; Linnean Society of London; Systematics Association</t>
  </si>
  <si>
    <t>We thank Prof. Hamish Spencer, Dr Ceridwen Fraser and Dr Raisa Nikula for obtaining samples from the South Island and Sub-Antarctic Islands, and Dr Tania King for sorting and shipping these samples. We also thank Airton C. Agostinho, Dr. Bryce Peebles, Sarah Brand, and Dr Dyahruri Sanjayasarit for assistance in collecting samples, and Dr Vibha Thakur for help in the wet laboratory. We also thank Prof. Martin Thiel and an anonymous reviewer for helpful comments on the manuscript. We thank Prof. Mary Morgan-Richards for her advice on geometric morphometric methods. We also thank the New Zealand Department of Conservation. This research was supported by the School of Biological Sciences of the University of Auckland, and a Systematic Research Fund award from both the Linnean Society of London and the Systematics Association.</t>
  </si>
  <si>
    <t>0024-4066</t>
  </si>
  <si>
    <t>1095-8312</t>
  </si>
  <si>
    <t>BIOL J LINN SOC</t>
  </si>
  <si>
    <t>Biol. J. Linnean Soc.</t>
  </si>
  <si>
    <t>PH7EM</t>
  </si>
  <si>
    <t>WOS:000600571100009</t>
  </si>
  <si>
    <t>Pillai, AN; Muthalagu, R; Jena, B</t>
  </si>
  <si>
    <t>Pillai, Anilkumar Narayana; Muthalagu, Ravichandran; Jena, Babula</t>
  </si>
  <si>
    <t>Indian scientific expeditions to the Southern Ocean: Comprehensive surveys to understand atmospheric, physical, and biogeochemical processes</t>
  </si>
  <si>
    <t>Indian Scientific Expeditions to the Southern Ocean (ISESO) have been implemented since 2004 to explore the unknown areas of the Indian Sector of the SO (ISSO) with the National Centre for Polar and Ocean Research (NCPOR) as the nodal centre for the Ministry of Earth Sciences, Government of India. The studies conducted in these expeditions have prime importance to understand the role of the SO on regional and global climatic variability. Surveys have been designed to explore the interconnections between physical, chemical and biological components across the Antarctic Circumpolar Current (ACC). Further aims are to understand the ocean ice-atmosphere interaction, aerosols, other trace gases, thermohaline variations, carbon sequestration and biogeochemical processes. Valuable sediment cores have also been recovered in some critical locations for the reconstruction of the paleo-environmental conditions for selected time slices during the last glacial-interglacial cycles. This special issue presents multidisciplinary data collected during ISESO from 2010 to 2018 that shed light on the present understanding of one of the sparsely explored regions in the SO.</t>
  </si>
  <si>
    <t>[Pillai, Anilkumar Narayana; Muthalagu, Ravichandran; Jena, Babula] Govt India, Natl Ctr Polar &amp; Ocean Res, Minist Earth Sci, Vasco Da Gama, Goa, India</t>
  </si>
  <si>
    <t>Ministry of Earth Sciences (MoES) - India; National Centre for Polar and Ocean Research (NCPOR)</t>
  </si>
  <si>
    <t>Pillai, AN (corresponding author), Govt India, Natl Ctr Polar &amp; Ocean Res, Minist Earth Sci, Vasco Da Gama, Goa, India.</t>
  </si>
  <si>
    <t>anilncaor@gmail.com</t>
  </si>
  <si>
    <t>Ministry of Earth Sciences, Government of India</t>
  </si>
  <si>
    <t>Ministry of Earth Sciences, Government of India(Ministry of Earth Science (MoES), Government of India)</t>
  </si>
  <si>
    <t>We express our sincere gratitude to the Ministry of Earth Sciences, Government of India for the funding provided for the successful implementation of all the expeditions. We convey our heartfelt gratefulness to Dr. Andrew Constable, Co-Chair, SOOS for the immense support provided to formulate this special issue. We thank all the Directors of NCPOR for their enormous support for the accomplishment of the Indian SO program. The participation of the researchers from various organizations and universities are profoundly acknowledged. The officers and crew members of all the research vessels are sincerely acknowledged for the honest cooperation rendered by them. The scientists of the SO core group of NCPOR are acknowledged for their constant support which resulted in the successful execution of all expeditions.</t>
  </si>
  <si>
    <t>10.1016/j.dsr2.2020.104860</t>
  </si>
  <si>
    <t>NY8XQ</t>
  </si>
  <si>
    <t>WOS:000576667900002</t>
  </si>
  <si>
    <t>Cary, C; Cowan, DA; McMinn, A; Häggblom, MM</t>
  </si>
  <si>
    <t>Cary, Craig; Cowan, Don A.; McMinn, Andrew; Haggblom, Max M.</t>
  </si>
  <si>
    <t>Editorial: Thematic issue on polar and alpine microbiology</t>
  </si>
  <si>
    <t>FEMS MICROBIOLOGY ECOLOGY</t>
  </si>
  <si>
    <t>[Cary, Craig] Univ Waikato Whare Wananga Waikato, Int Ctr Terr Antarctic Res, Hamilton 3240, New Zealand; [Cowan, Don A.] Univ Pretoria, Ctr Microbial Ecol &amp; Genom, ZA-0028 Pretoria, South Africa; [McMinn, Andrew] Univ Tasmania, Inst Marine &amp; Antarctic Studies, Coll Sci &amp; Engn, Battery Point, Tas, Australia; [Haggblom, Max M.] Rutgers State Univ, Sch Environm &amp; Biol Sci, Dept Biochem &amp; Microbiol, New Brunswick, NJ 08901 USA</t>
  </si>
  <si>
    <t>University of Pretoria; University of Tasmania; Rutgers University System; Rutgers University New Brunswick</t>
  </si>
  <si>
    <t>Cary, C (corresponding author), Univ Waikato Whare Wananga Waikato, Int Ctr Terr Antarctic Res, Hamilton 3240, New Zealand.</t>
  </si>
  <si>
    <t>Cowan, Donald A/E-3991-2012; Haggblom, Max/E-7597-2010</t>
  </si>
  <si>
    <t>Cowan, Donald A/0000-0001-8059-861X; Haggblom, Max/0000-0001-6307-7863; Cary, Stephen/0000-0002-2876-2387</t>
  </si>
  <si>
    <t>0168-6496</t>
  </si>
  <si>
    <t>1574-6941</t>
  </si>
  <si>
    <t>FEMS MICROBIOL ECOL</t>
  </si>
  <si>
    <t>FEMS Microbiol. Ecol.</t>
  </si>
  <si>
    <t>fiaa136</t>
  </si>
  <si>
    <t>10.1093/femsec/fiaa136</t>
  </si>
  <si>
    <t>NV5PM</t>
  </si>
  <si>
    <t>WOS:000574373300017</t>
  </si>
  <si>
    <t>Nadeau, LP; Jansen, MF</t>
  </si>
  <si>
    <t>Nadeau, Louis-Philippe; Jansen, Malte F.</t>
  </si>
  <si>
    <t>Overturning Circulation Pathways in a Two-Basin Ocean Model</t>
  </si>
  <si>
    <t>ANTARCTIC SEA-ICE; STRATIFICATION</t>
  </si>
  <si>
    <t>A toy model for the deep ocean overturning circulation in multiple basins is presented and applied to study the role of buoyancy forcing and basin geometry in the ocean's global overturning. The model reproduces the results from idealized general circulation model simulations and provides theoretical insights into the mechanisms that govern the structure of the overturning circulation. The results highlight the importance of the diabatic component of the meridional overturning circulation (MOC) for the depth of North Atlantic Deep Water (NADW) and for the interbasin exchange of deep ocean water masses. This diabatic component, which extends the upper cell in the Atlantic below the depth of adiabatic upwelling in the Southern Ocean, is shown to be sensitive to the global area-integrated diapycnal mixing rate and the density contrast between NADW and Antarctic Bottom Water (AABW). The model also shows that the zonally averaged global overturning circulation is to zeroth-order independent of whether the ocean consists of one or multiple connected basins, but depends on the total length of the southern reentrant channel region (representing the Southern Ocean) and the global ocean area integrated diapycnal mixing. Common biases in single-basin simulations can thus be understood as a direct result of the reduced domain size.</t>
  </si>
  <si>
    <t>[Nadeau, Louis-Philippe] Univ Quebec Rimouski, Inst Sci Mer Rimouski, Rimouski, PQ, Canada; [Jansen, Malte F.] Univ Chicago, Dept Geophys Sci, 5734 S Ellis Ave, Chicago, IL 60637 USA</t>
  </si>
  <si>
    <t>University of Quebec; Universite du Quebec a Rimouski; University of Chicago</t>
  </si>
  <si>
    <t>Nadeau, LP (corresponding author), Univ Quebec Rimouski, Inst Sci Mer Rimouski, Rimouski, PQ, Canada.</t>
  </si>
  <si>
    <t>louis-philippe_nadeau@uqar.ca</t>
  </si>
  <si>
    <t>Jansen, Malte/ABB-4451-2020</t>
  </si>
  <si>
    <t>Jansen, Malte/0000-0003-3894-1124</t>
  </si>
  <si>
    <t>NSF [OCE-1846821]; NSERC; FRQNT</t>
  </si>
  <si>
    <t>NSF(National Science Foundation (NSF)); NSERC(Natural Sciences and Engineering Research Council of Canada (NSERC)); FRQNT(Fonds de recherche du Quebec (FRQ)Fonds de recherche du Quebec - Nature et technologies (FRQNT))</t>
  </si>
  <si>
    <t>The toy model used for this study is available on GitHub at https://github.com/pymoc/PyMOC. The MITgcm is available at https://github.com/MITgcm/, and the specific configuration files used for the simulations in this study are available upon request from LPN. MFJ acknowledges support from NSF Award OCE-1846821. LPN acknowledges support from NSERC and FRQNT.</t>
  </si>
  <si>
    <t>10.1175/JPO-D-20-0034.1</t>
  </si>
  <si>
    <t>OT0DF</t>
  </si>
  <si>
    <t>WOS:000590524600002</t>
  </si>
  <si>
    <t>Palóczy, A; McClean, JL; Gille, ST; Wang, H</t>
  </si>
  <si>
    <t>Paloczy, Andre; McClean, Julie L.; Gille, Sarah T.; Wang, He</t>
  </si>
  <si>
    <t>The Large-Scale Vorticity Balance of the Antarctic Continental Margin in a Fine-Resolution Global Simulation</t>
  </si>
  <si>
    <t>CIRCUMPOLAR DEEP-WATER; OCEAN CIRCULATION; AMUNDSEN SEA; SHELF; TRANSPORT; VARIABILITY</t>
  </si>
  <si>
    <t>The depth-integrated vorticity budget of a global, eddy-permitting ocean/sea ice simulation over the Antarctic continental margin (ACM) is diagnosed to understand the physical mechanisms implicated in meridional transport. The leading-order balance is between the torques due to lateral friction, nonlinear effects, and bottom vortex stretching, although details vary regionally. Maps of the time-averaged depth-integrated vorticity budget terms and time series of the spatially averaged, depth-integrated vorticity budget terms reveal that the flow in the Amundsen, Bellingshausen, and Weddell Seas and, to a lesser extent, in the western portion of East Antarctica, is closer to an approximate topographic Sverdrup balance (TSB) compared to other segments of the ACM. Correlation and coherence analyses further support these findings, and also show that inclusion of the vorticity tendency term in the response (the planetary vorticity advection and the bottom vortex stretching term) increases the correlation with the forcing (the vertical net stress curl), and also increases the coherence between forcing and response at high frequencies across the ACM, except for the West Antarctic Peninsula. These findings suggest that the surface stress curl, imparted by the wind and the sea ice, has the potential to contribute to the meridional, approximately cross-slope, transport to a greater extent in the Amundsen, Bellingshausen, Weddell, and part of the East Antarctic continental margin than elsewhere in the ACM.</t>
  </si>
  <si>
    <t>[Paloczy, Andre; McClean, Julie L.; Gille, Sarah T.; Wang, He] Scripps Inst Oceanog, La Jolla, CA 92037 USA; [Wang, He] Argonne Natl Lab, Lemont, IL USA</t>
  </si>
  <si>
    <t>University of California System; University of California San Diego; Scripps Institution of Oceanography; United States Department of Energy (DOE); Argonne National Laboratory</t>
  </si>
  <si>
    <t>Palóczy, A (corresponding author), Scripps Inst Oceanog, La Jolla, CA 92037 USA.</t>
  </si>
  <si>
    <t>apaloczy@ucsd.edu</t>
  </si>
  <si>
    <t>Paloczy, Andre/0000-0001-8231-8298; Gille, Sarah/0000-0001-9144-4368</t>
  </si>
  <si>
    <t>U.S. Department of Energy (DOE) [DE-SC0014440, DE-SC0020073]; National Science Foundation (NSF) [ark:/85065/d7wd3xhc]; U.S. DOE Office of Science grant entitled Ultra-High Resolution Global Climate Simulation via a Los Alamos National Laboratory subcontract; NSF [PLR-1425989, OCE 1658001]; U.S. Department of Energy (DOE) [DE-SC0020073, DE-SC0014440] Funding Source: U.S. Department of Energy (DOE)</t>
  </si>
  <si>
    <t>U.S. Department of Energy (DOE)(United States Department of Energy (DOE)); National Science Foundation (NSF)(National Science Foundation (NSF)); U.S. DOE Office of Science grant entitled Ultra-High Resolution Global Climate Simulation via a Los Alamos National Laboratory subcontract(United States Department of Energy (DOE)); NSF(National Science Foundation (NSF)); U.S. Department of Energy (DOE)(United States Department of Energy (DOE))</t>
  </si>
  <si>
    <t>A.P., J.L.M, and S.T.G. gratefully acknowledge support from the U.S. Department of Energy (DOE, Grants DE-SC0014440 and DE-SC0020073) and high-performance computing support from Yellowstone (ark:/85065/d7wd3xhc) provided by NCAR's Climate Simulation Laboratory (CSL), sponsored by the National Science Foundation (NSF) and other agencies. J.L.M. was supported by an earlier U.S. DOE Office of Science grant entitled Ultra-High Resolution Global Climate Simulation via a Los Alamos National Laboratory subcontract to carry out the POP/CICE simulation; both Caroline Papadopoulos (SIO/UCSD) and Elena Yulaeva (UCSD) participated in its production. S.T.G. also acknowledges NSF Awards PLR-1425989 and OCE 1658001. The analyses of the model output performed in this study were enabled by computing resources provided by Oak Ridge Leadership Computing Facility (OLCF). We are also grateful to Andrew Stewart (University of California, Los Angeles) and Matt Mazloff (SIO/UCSD), for insightful exchanges and Steve Yeager (National Center for Atmospheric Research) for the additional POP code needed to archive non-standard terms for the budget as well as an NCAR Command Language (NCL) vorticity budget code that provided a starting place for our expanded Fortran-based budget code used in this study. Thoughtful critiques and comments from two anonymous reviewers substantially improved the quality of the manuscript. Reduced datasets and code necessary to reproduce the results are available at https://github.com/apaloczy/AntarcticaVorticityBudget.</t>
  </si>
  <si>
    <t>10.1175/JPO-D-19-0307.1</t>
  </si>
  <si>
    <t>WOS:000590524600006</t>
  </si>
  <si>
    <t>Gnanadesikan, A; Speller, CM; Ringlein, G; San Soucie, J; Thomas, J; Pradal, MA</t>
  </si>
  <si>
    <t>Gnanadesikan, Anand; Speller, Cassidy M.; Ringlein, Grace; San Soucie, John; Thomas, Jordan; Pradal, Marie-Aude</t>
  </si>
  <si>
    <t>Feedbacks Driving Interdecadal Variability in Southern Ocean Convection in Climate Models: A Coupled Oscillator Mechanism</t>
  </si>
  <si>
    <t>ANTARCTIC CIRCUMPOLAR CURRENT; SEA-SURFACE TEMPERATURE; DEEP-CONVECTION; WEDDELL POLYNYA; NORTH-ATLANTIC; ICE EXTENT; CIRCULATION; TRANSPORT; IMPACT; CARBON</t>
  </si>
  <si>
    <t>Numerous climate models display large-amplitude, long-period variability associated with quasiperiodic convection in the Southern Ocean, but the mechanisms responsible for producing such oscillatory convection are poorly understood. In this paper we identify three feedbacks that help generate such oscillations within an Earth system model with a particularly regular oscillation. The first feedback involves increased (decreased) upward mixing of warm interior water to the surface, resulting in more (less) evaporation and loss of heat to the atmosphere which produces more (less) mixing. This positive feedback helps explain why temperature anomalies are not damped out by surface forcing. A second key mechanism involves convective (nonconvective) events in the Weddell Sea causing a relaxation (intensification) of westerly winds, which at some later time results in a pattern of currents that reduces (increases) the advection of freshwater out of the Weddell Sea. This allows for the surface to become lighter (denser) which in turn can dampen (trigger) convection-so that the overall feedback is a negative one with a delay-helping to produce a multidecadal oscillation time scale. The decrease (increase) in winds associated with convective (nonconvective) states also results in a decrease (increase) in the upward mixing of salt in the Eastern Weddell Sea, creating a negative (positive) salinity anomaly that propagates into the Western Weddell Sea and dampens (triggers) convection-again producing a negative feedback with a delay. A principal oscillatory pattern analysis yields a reasonable prediction for the period of oscillation. Strengths of the feedbacks are sensitive to parameterization of mesoscale eddies.</t>
  </si>
  <si>
    <t>[Gnanadesikan, Anand; Speller, Cassidy M.; Thomas, Jordan; Pradal, Marie-Aude] Johns Hopkins Univ, Dept Earth &amp; Planetary Sci, Baltimore, MD 21218 USA; [Ringlein, Grace; San Soucie, John] Univ Penn, Dept Phys &amp; Astron, Philadelphia, PA USA; [San Soucie, John] Univ Penn, Dept Earth &amp; Environm Sci, Philadelphia, PA USA; [San Soucie, John] MIT, MIT WHOI Joint Program Appl Ocean Phys &amp; Engn, 77 Massachusetts Ave, Cambridge, MA 02139 USA; [Thomas, Jordan] Innovat Decis Inc, Vienna, VA USA</t>
  </si>
  <si>
    <t>Johns Hopkins University; University of Pennsylvania; University of Pennsylvania; Massachusetts Institute of Technology (MIT)</t>
  </si>
  <si>
    <t>Gnanadesikan, A (corresponding author), Johns Hopkins Univ, Dept Earth &amp; Planetary Sci, Baltimore, MD 21218 USA.</t>
  </si>
  <si>
    <t>gnanades@jhu.edu</t>
  </si>
  <si>
    <t>Gnanadesikan, Anand/A-2397-2008</t>
  </si>
  <si>
    <t>Gnanadesikan, Anand/0000-0001-5784-1116; Ringlein, Grace/0000-0002-6583-7325</t>
  </si>
  <si>
    <t>JHU Institute for Data-Intensive Science and Engineering; NSF [OCE-1756568]; Vagelos Fellowship from the University of Pennsylvania</t>
  </si>
  <si>
    <t>JHU Institute for Data-Intensive Science and Engineering; NSF(National Science Foundation (NSF)); Vagelos Fellowship from the University of Pennsylvania</t>
  </si>
  <si>
    <t>Simulations were performed on the Homewood High Performance Computing Cluster supported by the JHU Institute for Data-Intensive Science and Engineering. AG, CS, and MAP acknowledge support under NSF Grant OCE-1756568. GR was supported with a Vagelos Fellowship from the University of Pennsylvania. We thank Atousa Saberi, Ali Siddiqui, Renske Gelderloos, Karen Heywood, and three anonymous reviewers for comments on earlier drafts of this manuscript.</t>
  </si>
  <si>
    <t>10.1175/JPO-D-20-0037.1</t>
  </si>
  <si>
    <t>WOS:000590524600009</t>
  </si>
  <si>
    <t>Heiderich, J; Todd, RE</t>
  </si>
  <si>
    <t>Heiderich, Joleen; Todd, Robert E.</t>
  </si>
  <si>
    <t>Along-Stream Evolution of Gulf Stream Volume Transport</t>
  </si>
  <si>
    <t>WESTERN BOUNDARY CURRENT; ANTARCTIC INTERMEDIATE WATER; FLORIDA CURRENT TRANSPORT; FREQUENCY INTERNAL WAVES; NORTH-ATLANTIC; CAPE-HATTERAS; OVERTURNING CIRCULATION; AVERAGE VELOCITY; FRONTAL EDDIES; VARIABILITY</t>
  </si>
  <si>
    <t>The Gulf Stream affects global climate by transporting water and heat poleward. The current's volume transport increases markedly along the U.S. East Coast. An extensive observing program using autonomous underwater gliders provides finescale, subsurface observations of hydrography and velocity spanning more than 158 of latitude along the path of the Gulf Stream, thereby filling a 1500-km-long gap between long-term transport measurements in the Florida Strait and downstream of Cape Hatteras. Here, the glider-based observations are combined with shipboard measurements along Line W near 68 degrees W to provide a detailed picture of the along-stream transport increase. To account for the influences of Gulf Stream curvature and adjacent circulation (e.g., corotating eddies) on transport estimates, upper-and lower-bound transports are constructed for each cross-Gulf Stream transect. The upper-bound estimate for time-averaged volume transport above 1000m is 32.9 +/- 1.2 Sv (1 Sv equivalent to 106 m(3) s(-1)) in the Florida Strait, 57.3 +/- 1.9 Sv at Cape Hatteras, and 75.6 +/- 4.7 Sv at Line W. Corresponding lower-bound estimates are 32.3 +/- 1.1 Sv in the Florida Strait, 54.5 +/- 1.7 Sv at Cape Hatteras, and 69.9 +/- 4.2 Sv at Line W. Using the temperature and salinity observations from gliders and Line W, waters are divided into seven classes to investigate the properties of waters that are transported by and entrained into the Gulf Stream. Most of the increase in overall Gulf Stream volume transport above 1000m stems from the entrainment of subthermocline waters, including upper Labrador Sea Water and Eighteen Degree Water.</t>
  </si>
  <si>
    <t>[Heiderich, Joleen] MIT WHOI Joint Program Oceanog, Appl Ocean Sci &amp; Engn, Woods Hole, MA 02543 USA; [Todd, Robert E.] Woods Hole Oceanog Inst, Woods Hole, MA 02543 USA</t>
  </si>
  <si>
    <t>Massachusetts Institute of Technology (MIT); Woods Hole Oceanographic Institution</t>
  </si>
  <si>
    <t>Heiderich, J (corresponding author), MIT WHOI Joint Program Oceanog, Appl Ocean Sci &amp; Engn, Woods Hole, MA 02543 USA.</t>
  </si>
  <si>
    <t>joleenh@mit.edu</t>
  </si>
  <si>
    <t>Todd, Robert/GWM-4486-2022; Todd, Robert E/T-3536-2018</t>
  </si>
  <si>
    <t>Todd, Robert E/0000-0002-6854-7729; /0000-0002-5347-8329</t>
  </si>
  <si>
    <t>Office of Naval Research [N000141713040]; National Science Foundation [OCE-0220769, OCE-1633911, OCE-1923362]; NOAA's Global Ocean Monitoring and Observing Program [NA14OAR4320158, NA19OAR4320074]; WHOI's Oceans and Climate Change Institute; W. Van Alan Clark, Jr. Chair for Excellence in Oceanography at WHOI; Eastman Chemical Company; U.S. Department of Defense (DOD) [N000141713040] Funding Source: U.S. Department of Defense (DOD)</t>
  </si>
  <si>
    <t>Office of Naval Research(Office of Naval Research); National Science Foundation(National Science Foundation (NSF)); NOAA's Global Ocean Monitoring and Observing Program; WHOI's Oceans and Climate Change Institute; W. Van Alan Clark, Jr. Chair for Excellence in Oceanography at WHOI; Eastman Chemical Company; U.S. Department of Defense (DOD)(United States Department of Defense)</t>
  </si>
  <si>
    <t>Many people were critical to the success of the Spray glider missions, including Patrick Deane, Larry George, Raymond Graham, Ben Hodges, and Breck Owens at WHOI and Jeff Sherman, Dan Rudnick, Ben Reineman, and Evan Randall-Goodwin of the Instrument Development Group at the Scripps Institution of Oceanography. The Physical Oceanography Division at NOAA's Atlantic Oceanographic and Meteorological Laboratory (AOML) and the University of Miami's Rosenstiel School of Marine and Atmospheric Science (RSMAS) provided laboratory space for glider preparation. The East Carolina University Coastal Studies Institute and North Carolina State University's Center forMarine Sciences and Technology (CMAST) provided support for glider recoveries. We thank Magdalena Andres, John Bane, Glenn Flierl, and John Toole for valuable discussions about Gulf Stream transport and for their thoughtful suggestions and comments on the manuscript. We gratefully acknowledge funding from the Office of Naval Research (N000141713040), the National Science Foundation (OCE-0220769, OCE-1633911, OCE-1923362), NOAA's Global Ocean Monitoring and Observing Program (NA14OAR4320158, NA19OAR4320074), WHOI's Oceans and Climate Change Institute, Eastman Chemical Company, and the W. Van Alan Clark, Jr. Chair for Excellence in Oceanography at WHOI (awarded to Breck Owens).</t>
  </si>
  <si>
    <t>10.1175/JPO-D-19-0303.1</t>
  </si>
  <si>
    <t>WOS:000590524600010</t>
  </si>
  <si>
    <t>Wei, YZ; Gille, ST; Mazloff, MR; Tamsitt, V; Swart, S; Chen, DK; Newman, L</t>
  </si>
  <si>
    <t>Wei, Yanzhou; Gille, Sarah T.; Mazloff, Matthew R.; Tamsitt, Veronica; Swart, Sebastiaan; Chen, Dake; Newman, Louise</t>
  </si>
  <si>
    <t>Optimizing Mooring Placement to Constrain Southern Ocean Air-Sea Fluxes</t>
  </si>
  <si>
    <t>JOURNAL OF ATMOSPHERIC AND OCEANIC TECHNOLOGY</t>
  </si>
  <si>
    <t>MERIDIONAL OVERTURNING CIRCULATION; SYSTEM SIMULATION EXPERIMENTS; ICE; VARIABILITY; SENSITIVITY; PATTERNS; IMPACTS; CARBON; WATER; ENSO</t>
  </si>
  <si>
    <t>Proposals from multiple nations to deploy air-sea flux moorings in the Southern Ocean have raised the question of how to optimize the placement of these moorings in order to maximize their utility, both as contributors to the network of observations assimilated in numerical weather prediction and also as a means to study a broad range of processes driving air-sea fluxes. This study, developed as a contribution to the Southern Ocean Observing System (SOOS), proposes criteria that can be used to determine mooring siting to obtain best estimates of net air-sea heat flux (Q(net)). Flux moorings are envisioned as one component of a multiplatform observing system, providing valuable in situ point time series measurements to be used alongside satellite data and observations from autonomous platforms and ships. Assimilating models (e.g., numerical weather prediction and reanalysis products) then offer the ability to synthesize the observing system and map properties between observations. This paper develops a framework for designing mooring array configurations to maximize the independence and utility of observations. As a test case, within the meridional band from 35 degrees to 65 degrees S we select eight mooring sites optimized to explain the largest fraction of the total variance (and thus to ensure the least variance of residual components) in the area south of 20 degrees S. Results yield different optimal mooring sites for low-frequency interannual heat fluxes compared with higher-frequency subseasonal fluxes. With eight moorings, we could explain a maximum of 24.6% of high-frequency Q(net) variability or 44.7% of low-frequency Q(net) variability.</t>
  </si>
  <si>
    <t>[Wei, Yanzhou; Chen, Dake] Minist Nat Resources, Inst Oceanog 2, State Key Lab Satellite Ocean Environm Dynam, Hangzhou, Peoples R China; [Gille, Sarah T.; Mazloff, Matthew R.] Scripps Inst Oceanog, La Jolla, CA USA; [Tamsitt, Veronica] Univ New South Wales, Climate Change Res Ctr, Sydney, NSW, Australia; [Tamsitt, Veronica] CSIRO Oceans &amp; Atmosphere, Ctr Southern Hemisphere Oceans Res, Hobart, Tas, Australia; [Swart, Sebastiaan] Univ Gothenburg, Dept Marine Sci, Gothenburg, Sweden; [Swart, Sebastiaan] Univ Cape Town, Dept Oceanog, Cape Town, South Africa; [Chen, Dake] Southern Marine Sci &amp; Engn Guangdong Lab Zhuhai, Zhuhai, Peoples R China; [Newman, Louise] Univ Tasmania, Coll Sci &amp; Engn, Inst Marine &amp; Antarctic Studies, Southern Ocean Observing Syst Int Project Off, Hobart, Tas, Australia</t>
  </si>
  <si>
    <t>Ministry of Natural Resources of the People's Republic of China; University of California System; University of California San Diego; Scripps Institution of Oceanography; University of New South Wales Sydney; Commonwealth Scientific &amp; Industrial Research Organisation (CSIRO); University of Gothenburg; University of Cape Town; Southern Marine Science &amp; Engineering Guangdong Laboratory; Southern Marine Science &amp; Engineering Guangdong Laboratory (Zhuhai); University of Tasmania</t>
  </si>
  <si>
    <t>Wei, YZ (corresponding author), Minist Nat Resources, Inst Oceanog 2, State Key Lab Satellite Ocean Environm Dynam, Hangzhou, Peoples R China.</t>
  </si>
  <si>
    <t>weiyanzhou@sio.org.cn</t>
  </si>
  <si>
    <t>Swart, Sebastiaan/U-5498-2017</t>
  </si>
  <si>
    <t>Gille, Sarah/0000-0001-9144-4368; Newman, Louise/0000-0001-9523-8713; wei, yanzhou/0000-0001-7474-8503</t>
  </si>
  <si>
    <t>National Science Foundation (NSF) [OCE-1658001, PLR-1425989]; Chinese Academician Science and Technology Consulting Project Grant [2018-XZ-12-02]; National Natural Science Foundation of China (NSFC) [41621064]; NSFC [41806024]; International Postdoctoral Exchange Fellowship Program by the office of China Postdoctoral Council [20190016]; Australian Research Councils Antarctic Gateway Partnership [SRI40300001]; Centre for Southern Hemisphere Oceans Research (CSHOR); Wallenberg Academy Fellowship [WAF 2015.0186]; European Union'sHorizon 2020Research and Innovation Programme [821001]</t>
  </si>
  <si>
    <t>National Science Foundation (NSF)(National Science Foundation (NSF)); Chinese Academician Science and Technology Consulting Project Grant; National Natural Science Foundation of China (NSFC)(National Natural Science Foundation of China (NSFC)); NSFC(National Natural Science Foundation of China (NSFC)); International Postdoctoral Exchange Fellowship Program by the office of China Postdoctoral Council; Australian Research Councils Antarctic Gateway Partnership; Centre for Southern Hemisphere Oceans Research (CSHOR); Wallenberg Academy Fellowship; European Union'sHorizon 2020Research and Innovation Programme(Horizon 2020)</t>
  </si>
  <si>
    <t>We thank the three anonymous reviewers for their constructive comments. This study is a contribution to the Southern Ocean Observing System, by the Southern Ocean Fluxes (SOFLUX) and Observing System Design Working Groups. The analysis codes used to site moorings are available via the link https://github.com/ywei-sio/SO_Mooring_Flux_Array. The ERA-Interim data can be downloaded at https://www.ecmwf.int/en/forecasts/datasets/archive-datasets/reanalysis-datasets/era-interim. The JRA-55 data can be downloaded at https://rda.ucar.edu/datasets/ds628.1/.OOI flux data can be obtained from the NSF Ocean Observatories Initiative Data Portal (http://ooinet.oceanobservatories.org), and SOFS flux data can be obtained from the Integrated Marine Observing System (IMOS) Australian Ocean Data Network portal (https://portal.aodn.org.au). STG and MRM were supported by the National Science Foundation (NSF) Grants OCE-1658001 and PLR-1425989. DC was supported by the Chinese Academician Science and Technology Consulting Project Grant 2018-XZ-12-02 and the National Natural Science Foundation of China (NSFC) Grant 41621064. YWwas supported by the NSFC Grant 41806024 and International Postdoctoral Exchange Fellowship Program (20190016) by the office of China Postdoctoral Council. LN is supported by the Australian Research Councils Antarctic Gateway Partnership (SRI40300001). VT acknowledges support from the Centre for Southern Hemisphere Oceans Research (CSHOR); CSHOR is a joint research Centre for Southern Hemisphere Ocean Research between QNLM and CSIRO. SS is supported by a Wallenberg Academy Fellowship (WAF 2015.0186) and from the European Union'sHorizon 2020Research and Innovation Programme under Grant Agreement 821001 (SO-CHIC). The authors have no conflict of interest to declare.</t>
  </si>
  <si>
    <t>0739-0572</t>
  </si>
  <si>
    <t>1520-0426</t>
  </si>
  <si>
    <t>J ATMOS OCEAN TECH</t>
  </si>
  <si>
    <t>J. Atmos. Ocean. Technol.</t>
  </si>
  <si>
    <t>10.1175/JTECH-D-19-0203.1</t>
  </si>
  <si>
    <t>Engineering, Ocean; Meteorology &amp; Atmospheric Sciences</t>
  </si>
  <si>
    <t>Engineering; Meteorology &amp; Atmospheric Sciences</t>
  </si>
  <si>
    <t>OS2BM</t>
  </si>
  <si>
    <t>WOS:000589970300005</t>
  </si>
  <si>
    <t>Vanstreels, RET; Palma, RL; Mironov, SV</t>
  </si>
  <si>
    <t>Vanstreels, Ralph Eric Thijl; Palma, Ricardo L.; Mironov, Sergey, V</t>
  </si>
  <si>
    <t>Arthropod parasites of Antarctic and Subantarctic birds and pinnipeds: A review of host-parasite associations</t>
  </si>
  <si>
    <t>INTERNATIONAL JOURNAL FOR PARASITOLOGY-PARASITES AND WILDLIFE</t>
  </si>
  <si>
    <t>Arthropoda; Carnivora; Ecology; Parasite; Polar biology; Seabird</t>
  </si>
  <si>
    <t>GLACIOPSYLLUS-ANTARCTICUS; FEATHER MITES; NEW-ZEALAND; SEA BIRDS; GEOGRAPHICAL-DISTRIBUTION; INSECTA PHTHIRAPTERA; BORRELIA-BURGDORFERI; 1864 PENTASTOMIDA; EUDYPTULA-MINOR; ACARI IXODIDAE</t>
  </si>
  <si>
    <t>Due to its cold and dry climate and scarcity of ice-free land, Antarctica has one of the most extreme environments on our planet. To survive in the Antarctic region, parasitic arthropods must either remain closely associated with their hosts throughout the entire life cycle or develop physiological adaptations to survive in the terrestrial habitat while their hosts are away foraging at sea or overwintering at lower latitudes. Forty-eight species of birds and seven species of pinnipeds breed in the Antarctic region, with 158 species/subspecies of parasitic arthropods recorded thus far, comprising: sucking lice (Echinophthiriidae), chewing lice (Menoponidae, Philopteridae), fleas (Ceratophyllidae, Pygiopsyllidae, Rhopalopsyllidae), pentastomes (Reighardiidae), hard ticks (Ixodidae), nest-associated haematophagous mites (Laelapidae), nasal mites (Halarachnidae, Rhinonyssidae) and feather mites (Alloptidae, Avenzoariidae, Xolalgidae, Freyanidae). In this review, we provide an updated compilation of the available information on the host-parasite associations of arthropods infesting birds and pinnipeds in the Antarctic region, and discuss some over-arching ecological patterns and gaps of knowledge.</t>
  </si>
  <si>
    <t>[Vanstreels, Ralph Eric Thijl] Inst Res &amp; Rehabil Marine Anim, Cariacica, Brazil; [Palma, Ricardo L.] Museum New Zealand Te Papa Tongarewa, Wellington, New Zealand; [Mironov, Sergey, V] Russian Acad Sci, Zool Inst, St Petersburg, Russia</t>
  </si>
  <si>
    <t>Russian Academy of Sciences; Zoological Institute of the Russian Academy of Sciences</t>
  </si>
  <si>
    <t>Vanstreels, RET (corresponding author), Inst Res &amp; Rehabil Marine Anim, Cariacica, Brazil.</t>
  </si>
  <si>
    <t>ralph_vanstreels@yahoo.com.br</t>
  </si>
  <si>
    <t>, Ralph ET Vanstreels/H-8029-2015</t>
  </si>
  <si>
    <t>2213-2244</t>
  </si>
  <si>
    <t>INT J PARASITOL-PAR</t>
  </si>
  <si>
    <t>Int. J. Parasitol.-Parasit. Wildl.</t>
  </si>
  <si>
    <t>10.1016/j.ijppaw.2020.03.007</t>
  </si>
  <si>
    <t>Ecology; Parasitology</t>
  </si>
  <si>
    <t>Environmental Sciences &amp; Ecology; Parasitology</t>
  </si>
  <si>
    <t>OE9TO</t>
  </si>
  <si>
    <t>WOS:000580864300040</t>
  </si>
  <si>
    <t>Morris, RL; Hale, R; Strain, EMA; Reeves, SE; Vergés, A; Marzinelli, EM; Layton, C; Shelamoff, V; Graham, TDJ; Chevalier, M; Swearer, SE</t>
  </si>
  <si>
    <t>Morris, Rebecca L.; Hale, Robin; Strain, Elisabeth M. A.; Reeves, Simon E.; Verges, Adriana; Marzinelli, Ezequiel M.; Layton, Cayne; Shelamoff, Victor; Graham, Tristan D. J.; Chevalier, Mathilde; Swearer, Stephen E.</t>
  </si>
  <si>
    <t>Key Principles for Managing Recovery of Kelp Forests through Restoration</t>
  </si>
  <si>
    <t>BIOSCIENCE</t>
  </si>
  <si>
    <t>canopy-forming algae; Fucales; habitat loss; Laminariales; rehabilitation</t>
  </si>
  <si>
    <t>MARINE ECOSYSTEM RESTORATION; COMMUNITY STRUCTURE; SEA OTTERS; HABITAT; BEDS; RESILIENCE; HERBIVORY; SEAWEEDS; PHAEOPHYCEAE; POPULATIONS</t>
  </si>
  <si>
    <t>There is increasing interest in mitigating the loss of kelp forests through restoration, but this has received scant attention relative to other coastal habitats. We evaluate current knowledge centered on key restoration principles to provide guidelines for best practice in kelp restoration. The cause and scale of degradation is fundamental in determining if kelp can be restored and the methods required to promote reestablishment. Removal of stressors may be adequate to achieve restoration goals where degradation is not too widespread or acute. Extensive losses of kelp forests will often require active reseeding of areas because of the low dispersal ability of many kelp species. Restoration efforts have generally taken a trial-and-error approach at experimental scales to develop techniques for establishing individuals. Furthermore, studies that inform cost-benefit analysis and the appropriate spatial scales for restoration of sustainable kelp forests are urgently needed for prioritizing and scaling up restoration efforts globally.</t>
  </si>
  <si>
    <t>[Morris, Rebecca L.; Strain, Elisabeth M. A.; Graham, Tristan D. J.; Swearer, Stephen E.] Univ Melbourne, Natl Ctr Br Coasts &amp; Climate, Parkville, Vic, Australia; [Hale, Robin] Univ Melbourne, Sch BioSci, Parkville, Vic, Australia; [Hale, Robin] Arthur Rylah Inst Environm Res, Dept Environm Land Water &amp; Planning, Heidelberg, Vic, Australia; [Strain, Elisabeth M. A.; Layton, Cayne; Shelamoff, Victor] Univ Tasmania, Inst Marine &amp; Antarctic Studies, Battery Point, Australia; [Reeves, Simon E.] Nature Conservancy, Carlton, Vic, Australia; [Verges, Adriana] Univ New South Wales, Sch Biol Earth &amp; Environm Sci, Ctr Marine Sci &amp; Innovat, Sydney, NSW, Australia; [Verges, Adriana; Marzinelli, Ezequiel M.] Sydney Inst Marine Sci, Sydney, NSW, Australia; [Marzinelli, Ezequiel M.] Univ Sydney, Sch Life &amp; Environm Sci Coastal &amp; Marine Ecosyst, Sydney, NSW, Australia; [Marzinelli, Ezequiel M.] Nanyang Technol Univ, Singapore Ctr Environm Life Sci Engn, Singapore, Singapore; [Chevalier, Mathilde] Agrocampus Ouest, Rennes, France</t>
  </si>
  <si>
    <t>University of Melbourne; University of Melbourne; Arthur Rylah Institute for Environmental Research (ARI); University of Tasmania; Nature Conservancy; University of New South Wales Sydney; Sydney Institute of Marine Science; University of Sydney; Nanyang Technological University; Institut Agro; Agrocampus Ouest</t>
  </si>
  <si>
    <t>Morris, RL (corresponding author), Univ Melbourne, Natl Ctr Br Coasts &amp; Climate, Parkville, Vic, Australia.</t>
  </si>
  <si>
    <t>rebecca.morris@unimelb.edu.au</t>
  </si>
  <si>
    <t>Reeves, Simon E/AAJ-3379-2021; Swearer, Stephen/X-4882-2018; Graham, Tristan David John/IAM-6791-2023; Marzinelli, Ezequiel/AAH-2906-2019; Morris, Rebecca/AAB-3364-2020; Layton, Cayne/J-8443-2013; Verges, Adriana/B-8288-2013; Strain, Elisabeth/U-3520-2017</t>
  </si>
  <si>
    <t>Swearer, Stephen/0000-0001-6381-9943; Graham, Tristan David John/0000-0001-8272-0594; Marzinelli, Ezequiel/0000-0002-3762-3389; Layton, Cayne/0000-0002-3390-6437; Verges, Adriana/0000-0002-3507-1234; Morris, Rebecca/0000-0003-0455-0811; Strain, Elisabeth/0000-0003-2165-9544; Hale, Robin/0000-0002-8212-7026</t>
  </si>
  <si>
    <t>Earth Systems and Climate Change Hub by the Australian Government's National Environmental Science Program; Australian Research Council [LP160100836]; Australian Research Council [LP160100836] Funding Source: Australian Research Council</t>
  </si>
  <si>
    <t>Earth Systems and Climate Change Hub by the Australian Government's National Environmental Science Program; Australian Research Council(Australian Research Council); Australian Research Council(Australian Research Council)</t>
  </si>
  <si>
    <t>We thank Daniel Reed and three anonymous reviewers for their valuable comments on drafts of the manuscript. The National Centre for Coasts and Climate is funded through The Earth Systems and Climate Change Hub by the Australian Government's National Environmental Science Program. Contributions from AV and EMM were supported by the Australian Research Council (grant no. LP160100836).</t>
  </si>
  <si>
    <t>0006-3568</t>
  </si>
  <si>
    <t>1525-3244</t>
  </si>
  <si>
    <t>Bioscience</t>
  </si>
  <si>
    <t>10.1093/biosci/biaa058</t>
  </si>
  <si>
    <t>OF1OF</t>
  </si>
  <si>
    <t>WOS:000580985600007</t>
  </si>
  <si>
    <t>Singh, P; Tsuji, M; Singh, SM; Takeuchi, N</t>
  </si>
  <si>
    <t>Singh, Purnima; Tsuji, Masaharu; Singh, Shiv Mohan; Takeuchi, Nozomu</t>
  </si>
  <si>
    <t>Contrasting Patterns of Microbial Communities in Glacier Cryoconite of Nepali Himalaya and Greenland, Arctic</t>
  </si>
  <si>
    <t>cryoconite; diversity; bacteria; fungi; Greenland; Himalaya</t>
  </si>
  <si>
    <t>BACTERIAL COMMUNITIES; ORGANIC-MATTER; SURFACE DUST; NO. 1; ICE; HOLES; DIVERSITY; REGION; SVALBARD; ALPINE</t>
  </si>
  <si>
    <t>To understand the microbial composition and diversity patterns, cryoconite granules were collected from two geographical areas, i.e., Nepali Himalaya and Greenland, Arctic. 16S rRNA, ITS and the D1/D2 domain sequencing techniques were used for characterization of microbial communities of the four glaciers. The total 13 species of bacteria such asBacillus aryabhattai,Bacillus simplex,Brevundimonas vesicularis,Cryobacterium luteum,Cryobacterium psychrotolerans,Dermacoccus nishinomiyaensis,Glaciihabitans tibetensis,Leifsonia kafniensis,Paracoccus limosus,Polaromonas glacialis,Sporosarcina globispora,Staphylococcus saprophyticus,Variovorax ginsengisoli, and 4 species of fungi such asGoffeauzyma gilvescens,Mrakia robertii, Dothideomycetes sp., Helotiales sp. were recorded from Nepali Himalaya. Among these, 12 species of bacteria and 4 species of fungi are new contributions to Himalaya. In contrast to this, six species of bacteria such asBacillus cereus,Cryobacterium psychrotolerans,Dermacoccus nishinomiyaensis,Enhydrobacter aerosaccus,Glaciihabitans tibetensis,Subtercola frigoramans, and nine species of fungi such asGoffeauzyma gilvescens,Mrakia robertii,Naganishia vaughanmartiniae, Piskurozyma fildesensis,Rhodotorula svalbardensis,Alatospora acuminata,Articulosporasp.,Phialophorasp.,Thelebolus microspores, andDothideomycetessp.), were recorded from Qaanaaq, Isunnguata Sermia and Thule glaciers, Greenland. Among these, five species of bacteria and seven species of fungi are new contributions to Greenland cryoconite. Microbial analyses indicate that the Nepali Himalayan cryoconite colonize higher numbers of microbial species compared to the Greenland cryoconite.</t>
  </si>
  <si>
    <t>[Singh, Purnima] Parvatibai Chowgule Coll Arts &amp; Sci, Margao 403602, Goa, India; [Singh, Purnima] NPDF Sci &amp; Engn Res Board, New Delhi 110070, India; [Tsuji, Masaharu] Natl Inst Technol, Asahikawa Coll, Dept Mat Chem, Asahikawa, Hokkaido 0718142, Japan; [Singh, Shiv Mohan] Natl Ctr Antarctic &amp; Ocean Res, Polar Biol Lab, Vasco Da Gama 403804, Goa, India; [Singh, Shiv Mohan] Banaras Hindu Univ, Inst Sci, Dept Bot, Varanasi 221005, Uttar Pradesh, India; [Takeuchi, Nozomu] Chiba Univ, Grad Sch Sci, Dept Earth Sci, Chiba 2638522, Japan</t>
  </si>
  <si>
    <t>Department of Science &amp; Technology (India); Science Engineering Research Board (SERB), India; Ministry of Earth Sciences (MoES) - India; National Centre for Polar and Ocean Research (NCPOR); Banaras Hindu University (BHU); Chiba University</t>
  </si>
  <si>
    <t>Singh, SM (corresponding author), Natl Ctr Antarctic &amp; Ocean Res, Polar Biol Lab, Vasco Da Gama 403804, Goa, India.;Singh, SM (corresponding author), Banaras Hindu Univ, Inst Sci, Dept Bot, Varanasi 221005, Uttar Pradesh, India.</t>
  </si>
  <si>
    <t>purnimabitsgoa@gmail.com; spindletuber@gmail.com; drshivmohansingh@gmail.com; ntakeuch@faculty.chiba-u.jp</t>
  </si>
  <si>
    <t>Takeuchi, Nozomu/Q-7869-2016</t>
  </si>
  <si>
    <t>Takeuchi, Nozomu/0000-0002-3267-5534; Tsuji, Masaharu/0000-0002-9375-7998</t>
  </si>
  <si>
    <t>SERB [PDF/2016/003707]; Department of Science and Technology [SR/WOS-A/LS-419/2013(G)]; NCAOR; JSPS KAKENHI [19H01143, 20K21840]; Arctic Challenge for Sustainability II (ArCS II) [JPMXD1420318865]; Grants-in-Aid for Scientific Research [19H01143, 20K21840] Funding Source: KAKEN</t>
  </si>
  <si>
    <t>SERB(Department of Science &amp; Technology (India)Science Engineering Research Board (SERB), India); Department of Science and Technology(Department of Science &amp; Technology (India)); NCAOR; JSPS KAKENHI(Ministry of Education, Culture, Sports, Science and Technology, Japan (MEXT)Japan Society for the Promotion of ScienceGrants-in-Aid for Scientific Research (KAKENHI)); Arctic Challenge for Sustainability II (ArCS II); Grants-in-Aid for Scientific Research(Ministry of Education, Culture, Sports, Science and Technology, Japan (MEXT)Japan Society for the Promotion of ScienceGrants-in-Aid for Scientific Research (KAKENHI))</t>
  </si>
  <si>
    <t>This research received funding from SERB (PDF/2016/003707), Department of Science and Technology (SR/WOS-A/LS-419/2013(G), NCAOR, JSPS KAKENHI (19H01143 and 20K21840), and from the Arctic Challenge for Sustainability II (ArCS II), Program Grant Number JPMXD1420318865.</t>
  </si>
  <si>
    <t>10.3390/su12166477</t>
  </si>
  <si>
    <t>OD0SV</t>
  </si>
  <si>
    <t>WOS:000579565000001</t>
  </si>
  <si>
    <t>Jiang, T; Guo, C; Wang, M; Wang, MW; Zhang, XR; Liu, YD; Liang, YT; Jiang, Y; He, H; Shao, HB; McMinn, A</t>
  </si>
  <si>
    <t>Jiang, Tong; Guo, Cui; Wang, Min; Wang, Meiwen; Zhang, Xinran; Liu, Yundan; Liang, Yantao; Jiang, Yong; He, Hui; Shao, Hongbing; McMinn, Andrew</t>
  </si>
  <si>
    <t>Genome Analysis of Two NovelSynechococcusPhages That Lack Common Auxiliary Metabolic Genes: Possible Reasons and Ecological Insights by Comparative Analysis of Cyanomyoviruses</t>
  </si>
  <si>
    <t>cyanophage; Myoviridae; AMGs; genome; photosynthesis</t>
  </si>
  <si>
    <t>MARINE SYNECHOCOCCUS; PHOTOSYNTHESIS GENES; ELECTRON FLOW; TRANSFER-RNAS; CYANOPHAGES; SEQUENCE; PROCHLOROCOCCUS; DIVERSITY; PROTEINS; VIRUSES</t>
  </si>
  <si>
    <t>The abundant and widespread unicellular cyanobacteriaSynechococcusplays an important role in contributing to global phytoplankton primary production. In the present study, two novel cyanomyoviruses, S-N03 and S-H34 that infectedSynechococcusMW02, were isolated from the coastal waters of the Yellow Sea. S-N03 contained a 167,069-bp genome comprising double-stranded DNA with a G + C content of 50.1%, 247 potential open reading frames and 1 tRNA; S-H34 contained a 167,040-bp genome with a G + C content of 50.1%, 246 potential open reading frames and 5 tRNAs. These two cyanophages contain fewer auxiliary metabolic genes (AMGs) than other previously isolated cyanophages. S-H34 in particular, is currently the only known cyanomyovirus that does not contain any AMGs related to photosynthesis. The absence of such common AMGs in S-N03 and S-H34, their distinct evolutionary history and ecological features imply that the energy for phage production might be obtained from other sources rather than being strictly dependent on the maintenance of photochemical ATP under high light. Phylogenetic analysis showed that the two isolated cyanophages clustered together and had a close relationship with two other cyanophages of low AMG content. Comparative genomic analysis, habitats and hosts across 81 representative cyanomyovirus showed that cyanomyovirus with less AMGs content all belonged toSynechococcusphages isolated from eutrophic waters. The relatively small genome size and high G + C content may also relate to the lower AMG content, as suggested by the significant correlation between the number of AMGs and G + C%. Therefore, the lower content of AMG in S-N03 and S-H34 might be a result of viral evolution that was likely shaped by habitat, host, and their genomic context. The genomic content of AMGs in cyanophages may have adaptive significance and provide clues to their evolution.</t>
  </si>
  <si>
    <t>[Jiang, Tong; Guo, Cui; Wang, Min; Wang, Meiwen; Zhang, Xinran; Liu, Yundan; Liang, Yantao; Jiang, Yong; He, Hui; Shao, Hongbing; McMinn, Andrew] Ocean Univ China, Coll Marine Life Sci, Qingdao 266003, Peoples R China; [Guo, Cui; Wang, Min; Liang, Yantao; Jiang, Yong; He, Hui] Ocean Univ China, Inst Evolut &amp; Marine Biodivers, Qingdao 266003, Peoples R China; [Guo, Cui; Wang, Min; Liang, Yantao; Jiang, Yong; He, Hui] Ocean Univ China, Key Lab Polar Oceanog &amp; Global Ocean Change, Qingdao 266003, Peoples R China; [McMinn, Andrew] Univ Tasmania, Inst Marine &amp; Antarctic Studies, Hobart, Tas 7001, Australia</t>
  </si>
  <si>
    <t>Ocean University of China; Ocean University of China; Ocean University of China; University of Tasmania</t>
  </si>
  <si>
    <t>Guo, C (corresponding author), Ocean Univ China, Coll Marine Life Sci, Qingdao 266003, Peoples R China.;Guo, C (corresponding author), Ocean Univ China, Inst Evolut &amp; Marine Biodivers, Qingdao 266003, Peoples R China.;Guo, C (corresponding author), Ocean Univ China, Key Lab Polar Oceanog &amp; Global Ocean Change, Qingdao 266003, Peoples R China.</t>
  </si>
  <si>
    <t>jiangtongsdly@163.com; guocui@ouc.edu.cn; mingwang@ouc.edu.cn; 17865183006@163.com; daliluyang@163.com; liuyundan@stu.ouc.edu.cn; liangyantao@ouc.edu.cn; yongjiang@ouc.edu.cn; hehui@ouc.edu.cn; hbshao@ouc.edu.cn; andrew.mcminn@utas.edu.au</t>
  </si>
  <si>
    <t>Li, Yan/JRW-0176-2023; Wang, Min/AFR-9645-2022; Wang, meiwen/IXN-2116-2023; Jiang, Yong/AGK-3016-2022</t>
  </si>
  <si>
    <t>Wang, Min/0000-0002-2357-589X; Jiang, Yong/0000-0002-4072-1668; Jiang, Yong/0000-0001-6055-488X; Jiang, Tong/0000-0002-1446-8080</t>
  </si>
  <si>
    <t>National Key Research and Development Program of China [2018YFC1406704]; Fund of Shandong Province for Pilot National Laboratory for Marine Science and Technology (Qingdao), China [2018SDKJ0406-6]; Natural Science Foundation of China [41906126, 41976117, 41676178]; Open Research Fund of LMB, SCSI [LMB20091001]; Research Funds for the Central Universities [201912003]; Education Department of Shandong Province [S190007170001]</t>
  </si>
  <si>
    <t>National Key Research and Development Program of China; Fund of Shandong Province for Pilot National Laboratory for Marine Science and Technology (Qingdao), China; Natural Science Foundation of China(National Natural Science Foundation of China (NSFC)); Open Research Fund of LMB, SCSI; Research Funds for the Central Universities; Education Department of Shandong Province</t>
  </si>
  <si>
    <t>This work was financially supported by National Key Research and Development Program of China (2018YFC1406704), Fund of Shandong Province for Pilot National Laboratory for Marine Science and Technology (Qingdao), China (No. 2018SDKJ0406-6), Natural Science Foundation of China (No. 41906126; 41976117; 41676178), Open Research Fund of LMB, SCSI (LMB20091001), Research Funds for the Central Universities (201912003) and A grant from Education Department of Shandong Province (S190007170001).</t>
  </si>
  <si>
    <t>10.3390/v12080800</t>
  </si>
  <si>
    <t>OC8TC</t>
  </si>
  <si>
    <t>WOS:000579428100001</t>
  </si>
  <si>
    <t>Levy, H; Fiddaman, SR; Djurhuus, A; Black, CE; Kraberger, S; Smith, AL; Hart, T; Varsani, A</t>
  </si>
  <si>
    <t>Levy, Hila; Fiddaman, Steven R.; Djurhuus, Anni; Black, Caitlin E.; Kraberger, Simona; Smith, Adrian L.; Hart, Tom; Varsani, Arvind</t>
  </si>
  <si>
    <t>Identification of Circovirus Genome in a Chinstrap Penguin (Pygoscelis antarcticus) and Adelie Penguin (Pygoscelis adeliae) on the Antarctic Peninsula</t>
  </si>
  <si>
    <t>circovirus; penguins; Antarctica; Pygoscelis antarcticus; Pygoscelis adeliae</t>
  </si>
  <si>
    <t>VIRUS-INFECTION; DISEASE VIRUS; PARAMYXOVIRUSES; POPULATIONS; ALIGNMENT; ISLAND</t>
  </si>
  <si>
    <t>Circoviruses infect a variety of animal species and have small (similar to 1.8-2.2 kb) circular single-stranded DNA genomes. Recently a penguin circovirus (PenCV) was identified associated with an Adelie Penguin (Pygoscelis adeliae) with feather disorder and in the cloacal swabs of three asymptomatic Adelie Penguins at Cape Crozier, Antarctica. A total of 75 cloacal swab samples obtained from adults and chicks of three species of penguin (genus:Pygoscelis) from seven Antarctic breeding colonies (South Shetland Islands and Western Antarctic Peninsula) in the 2015-2016 breeding season were screened for PenCV. We identified new variants of PenCV in one Adelie Penguin and one Chinstrap Penguin (Pygoscelis antarcticus) from Port Charcot, Booth Island, Western Antarctic Peninsula, a site home to all three species of Pygoscelid penguins. These two PenCV genomes (length of 1986 nucleotides) share &gt; 99% genome-wide nucleotide identity with each other and share similar to 87% genome-wide nucleotide identity with the PenCV sequences described from Adelie Penguins at Cape Crozier similar to 4400 km away in East Antarctica. We did not find any evidence of recombination among PenCV sequences. This is the first report of PenCV in Chinstrap Penguins and the first detection outside of Ross Island, East Antarctica. Given the limited knowledge on Antarctic animal viral diversity, future samples from Antarctic wildlife should be screened for these and other viruses to determine the prevalence and potential impact of viral infections.</t>
  </si>
  <si>
    <t>[Levy, Hila; Fiddaman, Steven R.; Smith, Adrian L.; Hart, Tom] Univ Oxford, Dept Zool, South Parks Rd, Oxford OX1 3SZ, England; [Djurhuus, Anni] Univ Faroe Isl, Fac Sci &amp; Technol, Vestarabryggja 15, FO-100 Torshavn, Faroe Islands; [Black, Caitlin E.] Univ Zurich, Dept Evolutionary Biol &amp; Environm Studies, Winterthurerstr 190, CH-8057 Zurich, Switzerland; [Kraberger, Simona; Varsani, Arvind] Arizona State Univ, Biodesign Ctr Fundamental &amp; Appl Microbi, Ctr Evolut &amp; Med, Sch Life Sci, Tempe, AZ 85287 USA; [Varsani, Arvind] Univ Cape Town, Dept Integrat Biomed Sci, Struct Biol Res Unit, ZA-7701 Cape Town, South Africa</t>
  </si>
  <si>
    <t>University of Oxford; University of Zurich; Arizona State University; Arizona State University-Tempe; University of Cape Town</t>
  </si>
  <si>
    <t>Smith, AL (corresponding author), Univ Oxford, Dept Zool, South Parks Rd, Oxford OX1 3SZ, England.;Varsani, A (corresponding author), Arizona State Univ, Biodesign Ctr Fundamental &amp; Appl Microbi, Ctr Evolut &amp; Med, Sch Life Sci, Tempe, AZ 85287 USA.;Varsani, A (corresponding author), Univ Cape Town, Dept Integrat Biomed Sci, Struct Biol Res Unit, ZA-7701 Cape Town, South Africa.</t>
  </si>
  <si>
    <t>hila.levy@zoo.ox.ac.uk; steven.fiddaman@zoo.ox.ac.uk; anni.djurhuus@gmail.com; caitlin.black@uzh.ch; simona.kraberger@asu.edu; adrian.smith@zoo.ox.ac.uk; tom.hart@zoo.ox.ac.uk; arvind.varsani@asu.edu</t>
  </si>
  <si>
    <t>Fiddaman, Steven/HZL-9651-2023; Varsani, Arvind/JOZ-5299-2023</t>
  </si>
  <si>
    <t>Varsani, Arvind/0000-0003-4111-2415; Levy, Hila/0000-0001-9204-6417; Smith, Adrian/0000-0002-7657-6191</t>
  </si>
  <si>
    <t>Quark Expeditions; Center of Evolution and Medicine Venture Fund (Center of Evolution and Medicine, Arizona State University, U.S.A.); University of Oxford Clarendon Fund Scholarship; Biotechnology and Biological Sciences Research Council (BBSRC) [BB/M011224/1]; BBSRC [BB/K004468/1] Funding Source: UKRI</t>
  </si>
  <si>
    <t>Quark Expeditions; Center of Evolution and Medicine Venture Fund (Center of Evolution and Medicine, Arizona State University, U.S.A.); University of Oxford Clarendon Fund Scholarship; Biotechnology and Biological Sciences Research Council (BBSRC)(UK Research &amp; Innovation (UKRI)Biotechnology and Biological Sciences Research Council (BBSRC)); BBSRC(UK Research &amp; Innovation (UKRI)Biotechnology and Biological Sciences Research Council (BBSRC))</t>
  </si>
  <si>
    <t>We thank Quark Expeditions for logistical and financial support provided to H.L., T.H., A.D., and C.E.B. The molecular work described in this study was supported by the Center of Evolution and Medicine Venture Fund (Center of Evolution and Medicine, Arizona State University, U.S.A.) grant awarded to A.V. H.L.'s work was supported by a University of Oxford Clarendon Fund Scholarship. S.R.F. was supported by funding from the Biotechnology and Biological Sciences Research Council (BBSRC) under grant number BB/M011224/1.</t>
  </si>
  <si>
    <t>10.3390/v12080858</t>
  </si>
  <si>
    <t>OC2NV</t>
  </si>
  <si>
    <t>WOS:000578997900001</t>
  </si>
  <si>
    <t>Tercero, AD; Place, SP</t>
  </si>
  <si>
    <t>Tercero, Anthony D.; Place, Sean P.</t>
  </si>
  <si>
    <t>Characterizing Gene Copy Number of Heat Shock Protein Gene Families in the Emerald Rockcod,Trematomus bernacchii</t>
  </si>
  <si>
    <t>notothenioid; heat shock proteins; cellular stress; molecular chaperones; gene duplication</t>
  </si>
  <si>
    <t>MOLECULAR CHAPERONES; EVOLUTION; STRESS; COLD; NEOFUNCTIONALIZATION; ANTIFREEZE; EXPRESSION; SELECTION; RATES</t>
  </si>
  <si>
    <t>The suborder Notothenioidae is comprised of Antarctic fishes, several of which have lost their ability to rapidly upregulate heat shock proteins in response to thermal stress, instead adopting a pattern of expression resembling constitutive genes. Given the cold-denaturing effect that sub-zero waters have on proteins, evolution in the Southern Ocean has likely selected for increased expression of molecular chaperones. These selective pressures may have also enabled retention of gene duplicates, bolstering quantitative output of cytosolic heat shock proteins (HSPs). Given that newly duplicated genes are under more relaxed selection, it is plausible that gene duplication enabled altered regulation of such highly conserved genes. To test for evidence of gene duplication, copy number of various isoforms within major heat shock gene families were characterized via qPCR and compared between the Antarctic notothen,Trematomus bernacchii, which lost the inducible heat shock response, and the non-Antarctic notothen,Notothenia angustata,which maintains an inducible heat shock response. The results indicate duplication of isoforms within thehsp70 andhsp40 super families have occurred in the genome ofT. bernacchii. The findings suggest gene duplications may have been critical in maintaining protein folding efficiency in the sub-zero waters and provided an evolutionary mechanism of alternative regulation of these conserved gene families.</t>
  </si>
  <si>
    <t>[Tercero, Anthony D.; Place, Sean P.] Sonoma State Univ, Dept Biol, 1801 E Cotati Ave, Rohnert Pk, CA 94928 USA</t>
  </si>
  <si>
    <t>California State University System; Sonoma State University</t>
  </si>
  <si>
    <t>Place, SP (corresponding author), Sonoma State Univ, Dept Biol, 1801 E Cotati Ave, Rohnert Pk, CA 94928 USA.</t>
  </si>
  <si>
    <t>terceroa@sonoma.edu; places@sonoma.edu</t>
  </si>
  <si>
    <t>Tercero, Anthony/0000-0002-0430-0217</t>
  </si>
  <si>
    <t>National Science Foundation [PLR 1543419]</t>
  </si>
  <si>
    <t>This research was funded by National Science Foundation grant number PLR 1543419.</t>
  </si>
  <si>
    <t>10.3390/genes11080867</t>
  </si>
  <si>
    <t>OA5LN</t>
  </si>
  <si>
    <t>WOS:000577826600001</t>
  </si>
  <si>
    <t>Engebretson, MJ; Kirkevold, KR; Steinmetz, ES; Pilipenko, VA; Moldwin, MB; McCuen, BA; Clauer, CR; Hartinger, MD; Coyle, S; Opgenoorth, H; Schillings, A; Willer, AN; Edwards, TR; Boteler, DH; Gerrard, AJ; Freeman, MP; Rose, MC</t>
  </si>
  <si>
    <t>Engebretson, Mark J.; Kirkevold, Kathryn R.; Steinmetz, Erik S.; Pilipenko, Viacheslav A.; Moldwin, Mark B.; McCuen, Brett A.; Clauer, C. R.; Hartinger, Michael D.; Coyle, Shane; Opgenoorth, Hermann; Schillings, Audrey; Willer, Anna N.; Edwards, Thom R.; Boteler, David H.; Gerrard, Andy J.; Freeman, Mervyn P.; Rose, Michael C.</t>
  </si>
  <si>
    <t>Interhemispheric Comparisons of Large Nighttime Magnetic Perturbation Events Relevant to GICs</t>
  </si>
  <si>
    <t>geomagnetically induced currents; magnetic perturbation events; substorms; magnetic storms; magnetic conjugacy; omega bands</t>
  </si>
  <si>
    <t>EXTREME GEOELECTRIC FIELDS; GEOMAGNETIC-VARIATIONS; CURRENT SYSTEMS; IMPULSE EVENTS; HIGH-LATITUDES; OMEGA-BANDS; PRECIPITATION; DISTURBANCES; IONOSPHERE; INJECTIONS</t>
  </si>
  <si>
    <t>Nearly all studies of impulsive magnetic perturbation events (MPEs) with large magnetic field variability (dB/dt) that can produce dangerous geomagnetically induced currents (GICs) have used data from the Northern Hemisphere. Here we present details of four large-amplitude MPE events (vertical bar Delta B-x vertical bar &gt; 900 nT and vertical bar dB/dt vertical bar &gt; 10 nT/s in at least one component) observed between 2015 and 2018 in conjugate high-latitude regions (65-80 degrees corrected geomagnetic latitude), using magnetometer data from (1) Pangnirtung and Iqaluit in eastern Arctic Canada and the magnetically conjugate South Pole Station in Antarctica and (2) the Greenland West Coast Chain and two magnetically conjugate chains in Antarctica, AAL-PIP and BAS LPM. From one to three different isolated MPEs localized in corrected geomagnetic latitude were observed during three premidnight events; many were simultaneous within 3 min in both hemispheres. Their conjugate latitudinal amplitude profiles, however, matched qualitatively at best. During an extended postmidnight interval, which we associate with an interval of omega bands, multiple highly localized MPEs occurred independently in time at each station in both hemispheres. These nighttime MPEs occurred under a wide range of geomagnetic conditions, but common to each was a negative interplanetary magnetic field B-z that exhibited at least a modest increase at or near the time of the event. A comparison of perturbation amplitudes to modeled ionospheric conductances in conjugate hemispheres clearly favored a current generator model over a voltage generator model for three of the four events; neither model provided a good fit for the premidnight event that occurred near vernal equinox.</t>
  </si>
  <si>
    <t>[Engebretson, Mark J.; Kirkevold, Kathryn R.; Steinmetz, Erik S.; Pilipenko, Viacheslav A.] Univ Augsburg, Dept Phys, Minneapolis, MN 55454 USA; [Pilipenko, Viacheslav A.] Inst Phys Earth, Moscow, Russia; [Moldwin, Mark B.; McCuen, Brett A.] Univ Michigan, Dept Climate &amp; Space Sci &amp; Engn, Ann Arbor, MI 48109 USA; [Clauer, C. R.; Hartinger, Michael D.; Coyle, Shane] Virginia Polytech Inst &amp; State Univ, Bradley Dept Elect &amp; Comp Engn, Blacksburg, VA 24061 USA; [Hartinger, Michael D.] Space Sci Inst, Boulder, CO USA; [Opgenoorth, Hermann; Schillings, Audrey] Umea Univ, Dept Phys, Umea, Sweden; [Willer, Anna N.; Edwards, Thom R.] DTU Space, Lyngby, Denmark; [Boteler, David H.] Nat Resources Canada, Ottawa, ON, Canada; [Gerrard, Andy J.] New Jersey Inst Technol, Dept Phys, Newark, NJ 07102 USA; [Freeman, Mervyn P.; Rose, Michael C.] British Antarctic Survey, Cambridge, England</t>
  </si>
  <si>
    <t>Russian Academy of Sciences; Schmidt Institute of Physics of the Earth of the Russian Academy of Sciences; University of Michigan System; University of Michigan; Virginia Polytechnic Institute &amp; State University; Umea University; Technical University of Denmark; Natural Resources Canada; New Jersey Institute of Technology; UK Research &amp; Innovation (UKRI); Natural Environment Research Council (NERC); NERC British Antarctic Survey</t>
  </si>
  <si>
    <t>Engebretson, MJ (corresponding author), Univ Augsburg, Dept Phys, Minneapolis, MN 55454 USA.</t>
  </si>
  <si>
    <t>engebret@augsburg.edu</t>
  </si>
  <si>
    <t>; Pilipenko, Vyacheslav/K-9747-2015; Hartinger, Michael/H-9088-2012; Freeman, Mervyn/E-5687-2019; Moldwin, Mark/F-8785-2011</t>
  </si>
  <si>
    <t>Gerrard, Andrew/0000-0002-9626-2085; Opgenoorth, Hermann Josef/0000-0001-7573-5165; Steinmetz, Erik/0000-0002-0368-3332; McCuen, Brett/0000-0001-7389-6037; Pilipenko, Vyacheslav/0000-0003-3056-7465; Hartinger, Michael/0000-0002-2643-2202; Freeman, Mervyn/0000-0002-8653-8279; Naemi Willer, Anna/0000-0002-1762-7630; Coyle, Shane/0000-0003-1730-2753; Moldwin, Mark/0000-0003-0954-1770</t>
  </si>
  <si>
    <t>National Science Foundation [AGS-1651263, AGS-1654044, OPP-1744828, OPP-1643700]; Natural Environment Research Council [NE/R016038/1]; Swedish National Space Agency (SNSA); NERC [NE/R016038/1, bas0100031] Funding Source: UKRI</t>
  </si>
  <si>
    <t>National Science Foundation(National Science Foundation (NSF)); Natural Environment Research Council(UK Research &amp; Innovation (UKRI)Natural Environment Research Council (NERC)); Swedish National Space Agency (SNSA)(Swedish National Space Agency (SNSA)); NERC(UK Research &amp; Innovation (UKRI)Natural Environment Research Council (NERC))</t>
  </si>
  <si>
    <t>We thank the reviewers for their helpful and detailed comments. This work was supported by National Science Foundation Grants AGS-1651263 to Augsburg University, AGS-1654044 to the University of Michigan, OPP-1744828 to Virginia Tech, and OPP-1643700 to the New Jersey Institute of Technology; and Natural Environment Research Council Grant NE/R016038/1 to the British Antarctic Survey. H. O. and A. S. thank the Swedish National Space Agency (SNSA) for support.</t>
  </si>
  <si>
    <t>e2020JA028128</t>
  </si>
  <si>
    <t>10.1029/2020JA028128</t>
  </si>
  <si>
    <t>NZ5FR</t>
  </si>
  <si>
    <t>Bronze, Green Published, Green Accepted</t>
  </si>
  <si>
    <t>WOS:000577125000035</t>
  </si>
  <si>
    <t>Feng, HT; Han, DS; Chen, XC; Liu, JJ; Xu, ZH</t>
  </si>
  <si>
    <t>Feng, Hui-Ting; Han, De-Sheng; Chen, Xiang-Cai; Liu, Jian-Jun; Xu, Zhong-Hua</t>
  </si>
  <si>
    <t>Interhemispheric Conjugacy of Concurrent Onset and Poleward Traveling Geomagnetic Responses for Throat Aurora Observed Under Quiet Solar Wind Conditions</t>
  </si>
  <si>
    <t>MAGNETIC IMPULSE EVENTS; CONVECTION VORTICES; IONOSPHERIC SIGNATURE; SATELLITE-OBSERVATIONS; GROUND SIGNATURES; MAGNETOPAUSE; FIELD; TRANSIENT; MAGNETOSHEATH; CLEFT</t>
  </si>
  <si>
    <t>Throat auroras frequently observed near local noon have been confirmed to correspond to magnetopause indentations, but the generation mechanisms for these indentations and the detailed properties of throat aurora are both not fully understood. Using all-sky camera and magnetometer observations, we reported some new observational features of throat aurora as follows. (1) Throat auroras can occur under stable solar wind conditions and cause clear geomagnetic responses. (2) These geomagnetic responses can be simultaneously observed at conjugate geomagnetic meridian chains in the Northern and Southern Hemispheres. (3) The initial geomagnetic responses of throat aurora show concurrent onsets that were observed at all stations along the meridians. (4) Immediately after the concurrent onsets, poleward moving signatures and micropositive bays were observed in the X components at higher- and lower-latitude stations, respectively. We argue that these observations provide evidence for throat aurora being generated by low-latitude magnetopause reconnection. We suggest that the concurrent onsets reflect the instantaneous responses of the reconnection signal arriving at the ionosphere, the followed poleward moving signatures reflect the antisunward dragging of the footprint of newly opened field lines, and the micropositive bays may result from a pair of field-aligned currents generated during the reconnection. This study may shed new light on the geomagnetic transients observed at cusp latitude near magnetic local noon.</t>
  </si>
  <si>
    <t>[Feng, Hui-Ting; Han, De-Sheng] Tongji Univ, Sch Ocean &amp; Earth Sci, State Key Lab Marine Geol, Shanghai, Peoples R China; [Chen, Xiang-Cai; Liu, Jian-Jun] Polar Res Inst China, MNR Key Lab Polar Sci, Shanghai, Peoples R China; [Xu, Zhong-Hua] Virginia Polytech Inst &amp; State Univ, Bradley Dept Elect &amp; Comp Engn, Blacksburg, VA 24061 USA</t>
  </si>
  <si>
    <t>Tongji University; Polar Research Institute of China; Virginia Polytechnic Institute &amp; State University</t>
  </si>
  <si>
    <t>Han, DS (corresponding author), Tongji Univ, Sch Ocean &amp; Earth Sci, State Key Lab Marine Geol, Shanghai, Peoples R China.</t>
  </si>
  <si>
    <t>handesheng@tongji.edu.cn</t>
  </si>
  <si>
    <t>Chen, Xiangcai/S-9746-2019; Han, Desheng/H-6971-2018</t>
  </si>
  <si>
    <t>Chen, Xiangcai/0000-0002-6325-5049; Han, Desheng/0000-0002-6635-9214; Xu, Zhonghua/0000-0002-3800-2162; Liu, Jianjun/0000-0003-0465-6210; Feng, Huiting/0000-0002-4950-9372</t>
  </si>
  <si>
    <t>National Natural Science Foundation of China [41774174, 41974185, 41831072]; Chinese National Antarctic &amp; Arctic Data Centre (CN-NADC); National Earth System Science Data Sharing Infrastructure; National Science &amp; Technology Infrastructure of China; National Science Foundation [ANT0839858, ATM922979, ANT0838861, PLR1243398, PLR-1543364]</t>
  </si>
  <si>
    <t>National Natural Science Foundation of China(National Natural Science Foundation of China (NSFC)); Chinese National Antarctic &amp; Arctic Data Centre (CN-NADC); National Earth System Science Data Sharing Infrastructure; National Science &amp; Technology Infrastructure of China; National Science Foundation(National Science Foundation (NSF))</t>
  </si>
  <si>
    <t>This work was supported by the National Natural Science Foundation of China 41774174, 41974185, and 41831072. We acknowledge use of NASA/GSFC's Space Physics Data Facility's OMNIWeb service (at https://cdaweb.gsfc.nasa.gov/index.html/).We acknowledge the auroral observations at YRS supported from Chinese National Antarctic &amp; Arctic Data Centre (CN-NADC), National Earth System Science Data Sharing Infrastructure, National Science &amp; Technology Infrastructure of China, which are provided by The Polar Atmospheric and Space Physics Research Division (PASP) at Polar Research Institute of China through http://www.chinare.org.cn/uap/database.The Antarctic AAL-PIP data have been provided by Virginia Tech, which is supported by the National Science Foundation through the following awards for this purpose: ANT0839858, ATM922979, ANT0838861, PLR1243398, and PLR-1543364 (http://mist.nianet.org/).</t>
  </si>
  <si>
    <t>e2020JA027995</t>
  </si>
  <si>
    <t>10.1029/2020JA027995</t>
  </si>
  <si>
    <t>WOS:000577125000058</t>
  </si>
  <si>
    <t>Goncharenko, LP; Harvey, VL; Greer, KR; Zhang, SR; Coster, AJ</t>
  </si>
  <si>
    <t>Goncharenko, L. P.; Harvey, V. L.; Greer, K. R.; Zhang, S. -R.; Coster, A. J.</t>
  </si>
  <si>
    <t>Longitudinally Dependent Low-Latitude Ionospheric Disturbances Linked to the Antarctic Sudden Stratospheric Warming of September 2019</t>
  </si>
  <si>
    <t>TOTAL ELECTRON-CONTENT; QUASI-6-DAY WAVE; NORTHERN WINTER; EQUATORIAL; VARIABILITY; PERTURBATIONS; CLIMATOLOGY; ATMOSPHERE; MODULATION; REGION</t>
  </si>
  <si>
    <t>The strongest Southern Hemisphere minor sudden stratospheric warming (SSW) in the last 40 years occurred in September 2019 and resulted in unprecedented weakening of the stratospheric polar vortex. Ionospheric total electron content (TEC) observations are used to provide an overview of statistically significant anomalies in the low-latitude ionosphere during this event. Quasi-semidiurnal perturbations of TEC are observed in response to the SSW, similar to those seen during Northern Hemisphere SSWs. Analysis indicates the existence of quasi-periodic oscillations in TEC in the crests of the equatorial ionization anomaly, with strong 5- to 6-day and 2- to 3-day periodicities. Ionospheric anomalies from the combined effects of multiple mechanisms exceed a factor of 2, comparable to the strongest anomalies associated with Northern Hemisphere SSWs. These results also indicate a remarkable longitudinal variation in the character and magnitude of variations that could be related to a modulation of the non-migrating diurnal tide. Plain Language Summary Sudden stratospheric warming, a large-scale meteorological disturbance, has been associated with profound anomalies in the Earth atmosphere, from troposphere all the way to the upper thermosphere and ionosphere. During the last decade, numerous studies showed that Arctic sudden stratospheric warmings cause especially large anomalies in the low-latitude ionosphere. However, it was not clear if similar ionospheric anomalies can be produced by Antarctic sudden stratospheric warming, mostly because Antarctic sudden stratospheric warmings are pretty rare. In this study, we provide an overview of ionospheric anomalies in total electron content observed in September 2019, when very strong sudden stratospheric warming developed over Antarctica. We conclude that Antarctic events produce even more dynamical changes in the ionosphere than Arctic events. We report for the first time large differences in the observed features at locations that are separated by only 30 degrees in longitude. Our results indicate that stratospheric weather can strongly influence the state of the ionosphere not only during December-February period (winter in the Northern Hemisphere), but also during September (equinox conditions).</t>
  </si>
  <si>
    <t>[Goncharenko, L. P.; Zhang, S. -R.; Coster, A. J.] MIT, Haystack Observ, Westford, MA 01886 USA; [Harvey, V. L.; Greer, K. R.] Univ Colorado, Lab Atmospher &amp; Space Phys, Boulder, CO 80309 USA</t>
  </si>
  <si>
    <t>Massachusetts Institute of Technology (MIT); University of Colorado System; University of Colorado Boulder</t>
  </si>
  <si>
    <t>Goncharenko, LP (corresponding author), MIT, Haystack Observ, Westford, MA 01886 USA.</t>
  </si>
  <si>
    <t>lpg@mit.edu</t>
  </si>
  <si>
    <t>HARVEY, V LYNN/M-3995-2017; Zhang, Shun-Rong/G-7593-2015</t>
  </si>
  <si>
    <t>HARVEY, V LYNN/0000-0002-7928-0804; Zhang, Shun-Rong/0000-0002-1946-3166; Goncharenko, Larisa/0000-0001-9031-7439; Coster, Anthea/0000-0001-8980-6550</t>
  </si>
  <si>
    <t>NASA [NNX17AB80G, 80NSSC18K1046, 80NSSC19K0262]; ONR [N00014-17-1-2186]; NASA [1003831, NNX17AB80G] Funding Source: Federal RePORTER</t>
  </si>
  <si>
    <t>NASA(National Aeronautics &amp; Space Administration (NASA)); ONR(Office of Naval Research); NASA(National Aeronautics &amp; Space Administration (NASA))</t>
  </si>
  <si>
    <t>L. P. G., V. L. H., and K. R. G. acknowledge support from NASA Grant 80NSSC19K0262. L. P. G., S. R. Z., and A. J. C. were also supported by ONR Grant N00014-17-1-2186. V. L. H. also acknowledges support by NASA Grants NNX17AB80G and 80NSSC18K1046.</t>
  </si>
  <si>
    <t>e2020JA028199</t>
  </si>
  <si>
    <t>10.1029/2020JA028199</t>
  </si>
  <si>
    <t>WOS:000577125000050</t>
  </si>
  <si>
    <t>Reidy, JA; Fear, RC; Whiter, DK; Lanchester, BS; Kavanagh, AJ; Price, DJ; Chadney, JM; Zhang, Y; Paxton, LJ</t>
  </si>
  <si>
    <t>Reidy, J. A.; Fear, R. C.; Whiter, D. K.; Lanchester, B. S.; Kavanagh, A. J.; Price, D. J.; Chadney, J. M.; Zhang, Y.; Paxton, L. J.</t>
  </si>
  <si>
    <t>Multiscale Observation of Two Polar Cap Arcs Occurring on Different Magnetic Field Topologies</t>
  </si>
  <si>
    <t>SUN-ALIGNED ARCS; OPTICAL OBSERVATIONS; HIGH-RESOLUTION; TRANSPOLAR ARC; ENERGY; AURORA; FLUX; AIRGLOW; SCALE; ELECTRODYNAMICS</t>
  </si>
  <si>
    <t>This paper presents observations of polar cap arc substructure down to scale sizes of meters and temporal resolution of milliseconds. Two case studies containing polar cap arcs occurring over Svalbard are investigated. The first occurred on 4 February 2016 and is consistent with formation on closed field lines; the second occurred on 15 December 2015 and is consistent with formation on open field lines. These events were identified using global-scale images from the Special Sensor Ultra-violet Spectrographic Imager (SSUSI) instruments on board Defense Meteorological Satellite Program (DMSP) spacecraft. Intervals when the arcs passed through the small-scale field of view of the Auroral Structure and Kinetics (ASK) instrument, located on Svalbard, were then found using all sky images from a camera also located on Svalbard. These observations give unprecedented insight into small-scale polar cap arc structure. The energy and flux of the precipitating particles above these arcs are estimated using the ASK observations in conjunction with the Southampton Ionospheric model. These estimates are then compared to in situ DMSP particle measurements, as well as data from ground-based instrumentation, to infer further information about their formation mechanisms. This paper finds that polar cap arcs formed on different magnetic field topologies exhibit different behavior at small-scale sizes, consistent with their respective formation mechanisms.</t>
  </si>
  <si>
    <t>[Reidy, J. A.; Fear, R. C.; Whiter, D. K.; Lanchester, B. S.; Price, D. J.; Chadney, J. M.] Univ Southampton, Dept Phys &amp; Astron, Southampton, Hants, England; [Reidy, J. A.; Kavanagh, A. J.] NERC, British Antarctic Survey, Cambridge, England; [Zhang, Y.; Paxton, L. J.] Johns Hopkins Univ, Appl Phys Lab, Laurel, MD USA</t>
  </si>
  <si>
    <t>University of Southampton; UK Research &amp; Innovation (UKRI); Natural Environment Research Council (NERC); NERC British Antarctic Survey; Johns Hopkins University; Johns Hopkins University Applied Physics Laboratory</t>
  </si>
  <si>
    <t>Reidy, JA (corresponding author), Univ Southampton, Dept Phys &amp; Astron, Southampton, Hants, England.;Reidy, JA (corresponding author), NERC, British Antarctic Survey, Cambridge, England.</t>
  </si>
  <si>
    <t>jadeid70@bas.ac.uk</t>
  </si>
  <si>
    <t>Whiter, Daniel/P-8601-2019; Paxton, Larry/D-1934-2015</t>
  </si>
  <si>
    <t>Paxton, Larry/0000-0002-2597-347X; Fear, Robert/0000-0003-0589-7147; Chadney, Joshua/0000-0002-5174-2114; Whiter, Daniel/0000-0001-7130-232X; Price, David/0000-0003-0794-0874</t>
  </si>
  <si>
    <t>Natural Environmental Research Council (NERC) [NE/L002531/1]; United Kingdom's Science and Technology Facilities Council (STFC) Ernest Rutherford Fellowship [ST/K004298/2]; NERC [NE/N004051/1, NE/R009783/1]; NERC [NE/S015167/1, bas0100031, NE/N004051/1] Funding Source: UKRI; STFC [ST/K004298/2, ST/R000719/1] Funding Source: UKRI</t>
  </si>
  <si>
    <t>Natural Environmental Research Council (NERC)(UK Research &amp; Innovation (UKRI)Natural Environment Research Council (NERC)); United Kingdom's Science and Technology Facilities Council (STFC) Ernest Rutherford Fellowship; NERC(UK Research &amp; Innovation (UKRI)Natural Environment Research Council (NERC)); NERC(UK Research &amp; Innovation (UKRI)Natural Environment Research Council (NERC)); STFC(UK Research &amp; Innovation (UKRI)Science &amp; Technology Facilities Council (STFC))</t>
  </si>
  <si>
    <t>This work was supported by the Natural Environmental Research Council (NERC) studentship number NE/L002531/1. R.C.F. was supported by the United Kingdom's Science and Technology Facilities Council (STFC) Ernest Rutherford Fellowship ST/K004298/2. D.K.W, B.S.L., and J.M. C. are supported by NERC grant NE/N004051/1. D.J.P. was supported by the NERC studentship NE/R009783/1. The DMSP particle detectors were designed by D. Hardy of Air Force Research Laboratory. The authors acknowledge the use of SuperDARN data. SuperDARN is a collection of radars funded by the national scientific funding agencies of Australia, Canada, China, France, Italy, Japan, Norway, South Africa, United Kingdom, and United States.</t>
  </si>
  <si>
    <t>e2019JA027611</t>
  </si>
  <si>
    <t>10.1029/2019JA027611</t>
  </si>
  <si>
    <t>WOS:000577125000052</t>
  </si>
  <si>
    <t>Hochmuth, K; Gohl, K; Leitchenkov, G; Sauermilch, I; Whittaker, JM; Uenzelmann-Neben, G; Davy, B; De Santis, L</t>
  </si>
  <si>
    <t>Hochmuth, K.; Gohl, K.; Leitchenkov, G.; Sauermilch, I.; Whittaker, J. M.; Uenzelmann-Neben, G.; Davy, B.; De Santis, L.</t>
  </si>
  <si>
    <t>The Evolving Paleobathymetry of the Circum-Antarctic Southern Ocean Since 34 Ma: A Key to Understanding Past Cryosphere-Ocean Developments</t>
  </si>
  <si>
    <t>paleobathymetry; Southern Ocean; ocean gateways; ice sheet; glacial sedimentation</t>
  </si>
  <si>
    <t>AMUNDSEN SEA EMBAYMENT; ICE-SHEET DYNAMICS; SEISMO-STRATIGRAPHIC ANALYSIS; WILKES LAND; ROSS SEA; CONTINENTAL-MARGIN; EARLY MIOCENE; WEDDELL SEA; EAST ANTARCTICA; DEPOSITIONAL PATTERNS</t>
  </si>
  <si>
    <t>The Southern Ocean is a key player in the climate, ocean, and atmospheric system. As the only direct connection between all three major oceans since the opening of the Southern Ocean gateways, the development of the Southern Ocean and its relationship with the Antarctic cryosphere has influenced the climate of the entire planet. Although the depths of the ocean floor have been recognized as an important factor in climate and paleoclimate models, appropriate paleobathymetric models including a detailed analysis of the sediment cover are not available. Here we utilize more than 40 years of seismic reflection data acquisition along the margins of Antarctica and its conjugate margins, along with multiple drilling campaigns by the International Ocean Discovery Program (IODP) and its predecessor programs. We combine and update the seismic stratigraphy across the regions of the Southern Ocean and calculate ocean-wide paleobathymetry grids via a backstripping method. We present a suite of high-resolution paleobathymetric grids from the Eocene-Oligocene Boundary to modern times. The grids reveal the development of the Southern Ocean from isolated basins to an interconnected ocean affected by the onset and vigor of an Antarctic Circumpolar Current, as well as the glacial sedimentation and erosion of the Antarctic continent. The ocean-wide comparison through time exposes patterns of ice sheet development such as switching of glacial outlets and the change from wet-based to dry-based ice sheets. Ocean currents and bottom-water production interact with the sedimentation along the continental shelf and slope and profit from the opening of the ocean gateways. Plain Language Summary The Southern Ocean is the only ocean which connects all three major world's oceans and therefore plays a vital role in our planet's oceanographic and atmospheric systems. We reconstruct the changing depth and geometry of the Southern Ocean seafloor since the establishment of a major ice sheet in Antarctica (34 Ma). We also provide an inventory of ice-sheet eroded sediments deposited in the Southern Ocean, which has previously been highly underestimated. This ocean-wide study shows the development of the Southern Ocean from individual, separated basins into the home of the strong Circumpolar current system, by the deepening of the land bridges between Antarctica and Australia and Antarctica and South America. The sediments deposited in the Southern Ocean, especially along the Antarctic margin, illustrate the growth and retreat of the Antarctic ice sheets showing two distinct pulses of enhanced sedimentation at the first continental-scale glaciation of Antarctica (34 Ma) and after the warm phase of the Miocene Climatic Optimum. On a local and regional scale, we trace the amount of erosion provided by glacier systems along the Antarctic coast. The presented suite of seafloor grids will be made available to the geoscientific community and is an important additional input parameter for paleo-models.</t>
  </si>
  <si>
    <t>[Hochmuth, K.; Gohl, K.; Uenzelmann-Neben, G.] Alfred Wegener Inst Helmholtz, Ctr Polar &amp; Marine Res, Bremerhaven, Germany; [Hochmuth, K.] Univ Leicester, Sch Geol Geog &amp; Environm, Leicester, Leics, England; [Leitchenkov, G.] All Russia Sci Res Inst Geol &amp; Mineral Resources, Dept Antarctic Geosci, St Petersburg, Russia; [Leitchenkov, G.] St Petersburg State Univ, St Petersburg, Russia; [Sauermilch, I.; Whittaker, J. M.] Univ Tasmania, Inst Marine &amp; Antarctic Studies, Hobart, Tas, Australia; [Davy, B.] GNS Sci, Lower Hutt, New Zealand; [De Santis, L.] Natl Inst Oceanog &amp; Appl Geophys, OGS, Trieste, Italy</t>
  </si>
  <si>
    <t>Helmholtz Association; Alfred Wegener Institute, Helmholtz Centre for Polar &amp; Marine Research; University of Leicester; Saint Petersburg State University; University of Tasmania; GNS Science - New Zealand; Istituto Nazionale di Oceanografia e di Geofisica Sperimentale</t>
  </si>
  <si>
    <t>Hochmuth, K (corresponding author), Alfred Wegener Inst Helmholtz, Ctr Polar &amp; Marine Res, Bremerhaven, Germany.;Hochmuth, K (corresponding author), Univ Leicester, Sch Geol Geog &amp; Environm, Leicester, Leics, England.</t>
  </si>
  <si>
    <t>Katharina.Hochmuth@awi.de</t>
  </si>
  <si>
    <t>; Davy, Bryan/I-6769-2013; Whittaker, Joanne/B-3695-2010</t>
  </si>
  <si>
    <t>Gohl, Karsten/0000-0002-9558-2116; Leitchenkov, German/0000-0001-6316-8511; Davy, Bryan/0000-0003-1926-1393; Hochmuth, Katharina/0000-0003-2789-2179; Whittaker, Joanne/0000-0002-3170-3935; Uenzelmann-Neben, Gabriele/0000-0002-0115-5923; De Santis, Laura/0000-0002-7752-7754</t>
  </si>
  <si>
    <t>Deutsche Forschungsgemeinschaft (DFG) [GO724/15-1, GO724/-2]; Australian Research Council's Special Research Initiative for Antarctic Gateway Partnership [SR140300001]; Visiting Scholarship scheme of the University of Tasmania; Australian Research Council [DP180102280]; New Zealand MBIE for the Zealandia research programme; Russian Science Foundation [16-17-10139]</t>
  </si>
  <si>
    <t>Deutsche Forschungsgemeinschaft (DFG)(German Research Foundation (DFG)); Australian Research Council's Special Research Initiative for Antarctic Gateway Partnership(Australian Research Council); Visiting Scholarship scheme of the University of Tasmania; Australian Research Council(Australian Research Council); New Zealand MBIE for the Zealandia research programme(New Zealand Ministry of Business, Innovation and Employment (MBIE)); Russian Science Foundation(Russian Science Foundation (RSF))</t>
  </si>
  <si>
    <t>The authors thank the numerous scientists, technicians, and ship crews involved in the acquisition and processing of the seismic reflection data as well as the data curators at OGS Trieste for providing their services within the SCAR Antarctic Seismic Data Library System (SDLS). Additional data have been provided by Geoscience Australia, Spectrum Geo Ltd. This project has been funded by the Deutsche Forschungsgemeinschaft (DFG) under Projects GO724/15-1 and GO724/-2, and institutional resources from the Research Program PACES-II, Workpackage 3.2, of the Alfred Wegener Institute. The project contributes to the SCAR Scientific Research Program Past Antarctic Ice Sheet Dynamics (PAIS). I.S. was supported under the Australian Research Council's Special Research Initiative for Antarctic Gateway Partnership (Project ID SR140300001). K.H. further acknowledges the Visiting Scholarship scheme of the University of Tasmania, funding a 3-month research visit at the University of Tasmania. J.M.W. acknowledges funding from the Australian Research Council DP180102280. B.W.D. acknowledges funding support from the New Zealand MBIE for the Zealandia research programme. G.L. acknowledges the Russian Science Foundation Grant 16-17-10139. The authors would like to thank Emerson E&amp;P Software, Emerson Automation Solutions, for providing licenses for the seismic software Paradigm in the scope of the Emerson Academic Program. The authors thank two anonymous reviewers for their enthusiastic and helpful comments, which improved the manuscript and the Pangaea data editors for their help with the publication of the paleobathymetric and isopach data sets.</t>
  </si>
  <si>
    <t>e2020GC009122</t>
  </si>
  <si>
    <t>10.1029/2020GC009122</t>
  </si>
  <si>
    <t>NZ5HH</t>
  </si>
  <si>
    <t>Green Submitted, hybrid, Green Accepted, Green Published</t>
  </si>
  <si>
    <t>WOS:000577130200009</t>
  </si>
  <si>
    <t>Aoki, S; Katsumata, K; Hamaguchi, M; Noda, A; Kitade, Y; Shimada, K; Hirano, D; Simizu, D; Aoyama, Y; Doi, K; Nogi, Y</t>
  </si>
  <si>
    <t>Aoki, S.; Katsumata, K.; Hamaguchi, M.; Noda, A.; Kitade, Y.; Shimada, K.; Hirano, D.; Simizu, D.; Aoyama, Y.; Doi, K.; Nogi, Y.</t>
  </si>
  <si>
    <t>Freshening of Antarctic Bottom Water Off Cape Darnley, East Antarctica</t>
  </si>
  <si>
    <t>freshening; Antarctic Bottom Water; Cape Darnley; polynya; Weddell Gyre; East Antarctica</t>
  </si>
  <si>
    <t>SEA-LEVEL RISE; SOUTHERN-OCEAN; WEDDELL GYRE; TEMPERATURE; ABYSSAL; MASSES; DEEP; 140-DEGREES-E; VARIABILITY; CIRCULATION</t>
  </si>
  <si>
    <t>Recently, a source of Antarctic Bottom Water (AABW) was identified off Cape Darnley at the eastern end of the Weddell-Enderby Basin. However, the behavior and long-term variability of Cape Darnley Bottom Water (CDBW) are not clearly understood. Hydrographic observations from 1974 to 2016 were compared, and a decade-long bottom temperature record was analyzed to clarify multidecadal changes in the CDBW in this region and its downstream influences. In the Cooperation Sea, CDBW spread northwestward with its deepest part reaching to approximately 4,900 dbar. CDBW freshening of 0.001-0.003 decade(-1) was revealed. In the Cosmonaut Sea, long-term AABW warming of approximately 0.01-0.03 degrees C decade(-1) was prominent in the deep basin, while freshening was detected on the upper continental slope. Spatial patterns suggest that an interbasin deep transport of excess freshwater is carried by CDBW and fed into the Weddell Gyre, which might act as an abyssal freshwater buffer. Plain Language Summary Global oceans' abyss is filled with the cold, dense water fed from the Antarctic coastal margin. The Weddell Sea is the most voluminous supplier of this bottom water. In addition to the well-known source of the bottom water, new source regions are discovered recently: Continental shelf off Cape Darnley, East Antarctica, is one of such regions. Vast parts of the ocean around Antarctica is experiencing freshening for these decades, possibly related to an accelerating ice mass discharge from the Antarctic continent. In contrast, the abyssal Weddell Sea has been known to be warming significantly, acting like a huge heat buffer. Our study shows the newly discovered bottom water off Cape Darnley is carrying an increasing amount of freshwater and feeding the excess freshwater into the abyssal Weddell Sea. This suggests that the Weddell Sea experiences changes that originate from a distant, continental source.</t>
  </si>
  <si>
    <t>[Aoki, S.; Hirano, D.] Hokkaido Univ, Inst Low Temp Sci, Sapporo, Hokkaido, Japan; [Aoki, S.; Hamaguchi, M.; Noda, A.; Hirano, D.] Hokkaido Univ, Grad Sch Environm Sci, Sapporo, Hokkaido, Japan; [Katsumata, K.] Japan Agcy Marine Earth Sci &amp; Technol, Yokosuka, Kanagawa, Japan; [Hamaguchi, M.] Cs Lab, Sapporo, Hokkaido, Japan; [Noda, A.] MEXT, Tokyo, Japan; [Kitade, Y.; Shimada, K.] Tokyo Univ Marine Sci &amp; Technol, Tokyo, Japan; [Hirano, D.] Hokkaido Univ, Arctic Res Ctr, Sapporo, Hokkaido, Japan; [Simizu, D.; Aoyama, Y.; Doi, K.; Nogi, Y.] Natl Inst Polar Res, Tachikawa, Tokyo, Japan</t>
  </si>
  <si>
    <t>Hokkaido University; Hokkaido University; Japan Agency for Marine-Earth Science &amp; Technology (JAMSTEC); Tokyo University of Marine Science &amp; Technology; Hokkaido University; Research Organization of Information &amp; Systems (ROIS); National Institute of Polar Research (NIPR) - Japan</t>
  </si>
  <si>
    <t>KITADE, Yujiro/O-1912-2014; Katsumata, Katsuro/AAR-5034-2020</t>
  </si>
  <si>
    <t>KITADE, Yujiro/0000-0002-9312-6870; Katsumata, Katsuro/0000-0002-4683-7610; SIMIZU, Daisuke/0000-0003-4214-6756</t>
  </si>
  <si>
    <t>MEXT of the Japanese Government [17H01615]; Grants-in-Aid for Scientific Research [17H01615, 20H04961] Funding Source: KAKEN</t>
  </si>
  <si>
    <t>MEXT of the Japanese Government(Ministry of Education, Culture, Sports, Science and Technology, Japan (MEXT)); Grants-in-Aid for Scientific Research(Ministry of Education, Culture, Sports, Science and Technology, Japan (MEXT)Japan Society for the Promotion of ScienceGrants-in-Aid for Scientific Research (KAKENHI))</t>
  </si>
  <si>
    <t>The authors thank Ikehara, Moteki, Bindoff, and Church for leading the cruises. We are most grateful to the captains, crews, and colleagues on board R/V Mirai, Hakuho maru, Umitaka maru, and Aurora Australis. We are greatly indebted to two anonymous reviewers to an earlier version of the manuscript. This work was supported by Grant-in-Aid for Scientific Research (17H01615) of the MEXT of the Japanese Government.</t>
  </si>
  <si>
    <t>e2020JC016374</t>
  </si>
  <si>
    <t>10.1029/2020JC016374</t>
  </si>
  <si>
    <t>NZ5GC</t>
  </si>
  <si>
    <t>WOS:000577126400026</t>
  </si>
  <si>
    <t>Casanova-Masjoan, M; Pérez-Hernández, MD; Vélez-Belchí, P; Cana, L; Hernández-Guerra, A</t>
  </si>
  <si>
    <t>Casanova-Masjoan, M.; Perez-Hernandez, M. D.; Velez-Belchi, P.; Cana, L.; Hernandez-Guerra, A.</t>
  </si>
  <si>
    <t>Variability of the Canary Current Diagnosed by Inverse Box Models</t>
  </si>
  <si>
    <t>Canary Current; AMOC; IPUC; inverse box model; mass transport</t>
  </si>
  <si>
    <t>EASTERN BOUNDARY CURRENT; MERIDIONAL OVERTURNING TRANSPORTS; PHYTOPLANKTON PIGMENT PATTERNS; ANTARCTIC INTERMEDIATE WATER; SEASONAL VARIABILITY; NORTHWEST AFRICA; CURRENT SYSTEM; ATLANTIC; CIRCULATION; ISLANDS</t>
  </si>
  <si>
    <t>Four hydrographic cruises carried out between similar to 26.5 and 31 degrees N in the eastern North Atlantic Subtropical Gyre in fall (2016 and 2017) and spring (2017 and 2018) are used to identify water masses and infer oceanic circulation. Geostrophic velocities are initially adjusted by referencing them to data from a Lower Acoustic Doppler Current Profiler (LADCP) and later to velocities estimated with an inverse box model. The distribution of the intermediate water masses (700 to 1,400 m depth) varies seasonally. Antarctic Intermediate Water (AAIW) comprises the largest contributor to the seasonal cycle in the intermediate water masses. Circulation of the Canary Current (CC) differs in fall and spring. In fall, the CC flows southward through the western islands and recirculates south of the archipelago, subsequently flowing northward through the passage between the eastern islands and Africa. North of Lanzarote, the recirculated CC intensified as it is joined by a southeasterly branch of the CC north of Lanzarote. In spring, the net transport of the CC is southward. High interannual variability in mass transport is evident in both spring and fall as a result of the position of the current, with its easternmost (westernmost) position found in spring (fall) 2018 (2016). At intermediate levels, highly variable northward/southward transport is apparent in fall over the African slope, with the Intermediate Poleward Under Current (IPUC) only present in 2017. Plain Language Summary The Canary Current is part of the eastern boundary of the North Atlantic Subtropical Gyre as well as the upwelling system off NorthWest Africa. Its location plays a major role in the Atlantic Meridional Overturning Circulation, which controls the global climate. Therefore, we have studied the Canary Current. Its circulation pattern and its seasonal and interannual variability have been inferred using data from four hydrographic cruises (two carried out in fall and two in spring) around the region of the Canary Islands. From these cruises we have computed the mass transport of the current and identified the water masses present on it. The results show a high seasonal variation in the intermediate water masses (those on the depth range from similar to 700 to 1,400 m depth). The mass transport of the current also shows a seasonal variability at surface levels (&lt;700 m depth) and at intermediate levels. The current flows southward through the islands and the passage between the islands and Africa in spring, but in fall, the CC reverses south of Fuerteventura and flows northward through the passage between the archipelago and Africa. Interannually, the mass transport also presents differences, being higher in fall 2017 and spring 2018.</t>
  </si>
  <si>
    <t>[Casanova-Masjoan, M.; Perez-Hernandez, M. D.; Cana, L.; Hernandez-Guerra, A.] Univ Las Palmas Gran Canaria, Unidad Oceano &amp; Clima, Inst Oceanog &amp; Cambio Global, CSIC, Las Palmas Gran Canaria, Spain; [Velez-Belchi, P.] Inst Espanol Oceanog, Ctr Oceanog Canarias, Santa Cruz De Tenerife, Spain</t>
  </si>
  <si>
    <t>Universidad de Las Palmas de Gran Canaria; Consejo Superior de Investigaciones Cientificas (CSIC); Spanish Institute of Oceanography</t>
  </si>
  <si>
    <t>Hernández-Guerra, A (corresponding author), Univ Las Palmas Gran Canaria, Unidad Oceano &amp; Clima, Inst Oceanog &amp; Cambio Global, CSIC, Las Palmas Gran Canaria, Spain.</t>
  </si>
  <si>
    <t>alonso.hernandez@ulpgc.es</t>
  </si>
  <si>
    <t>Masjoan, Maria Casanova/B-4310-2018; Cana-Cascallar, Luis C/A-7663-2008; Pérez-Hernández, Maria Dolores/J-5330-2014; Hernandez-Guerra, Alonso/A-4747-2008; Velez-Belchi, Pedro/I-9150-2017</t>
  </si>
  <si>
    <t>Masjoan, Maria Casanova/0000-0003-2215-2729; Cana-Cascallar, Luis C/0000-0001-6006-5488; Pérez-Hernández, Maria Dolores/0000-0001-7293-9584; Hernandez-Guerra, Alonso/0000-0002-4883-8123; Velez-Belchi, Pedro/0000-0003-2404-5679</t>
  </si>
  <si>
    <t>Ministerio de Ciencia, Innovacion y Universidades [CRTI2018-100844-B-C31]; Feder; RIS-3, PO Feder Canarias [ProID2017010083]; Agencia Canaria the Investigacion, Innovacion y Sociedad de la Informacion (ACIISI) grant program of apoyo al personal investigador en formacion</t>
  </si>
  <si>
    <t>Ministerio de Ciencia, Innovacion y Universidades(Spanish Government); Feder(European Union (EU)Spanish Government); RIS-3, PO Feder Canarias; Agencia Canaria the Investigacion, Innovacion y Sociedad de la Informacion (ACIISI) grant program of apoyo al personal investigador en formacion</t>
  </si>
  <si>
    <t>This study has been performed as part of the Instituto Espanol de Oceanografia RAPROCAN project, the SAGA project (CRTI2018-100844-B-C31) funded by the Ministerio de Ciencia, Innovacion y Universidades and Feder and the BOUNDARY project (ProID2017010083) funded by RIS-3, PO Feder Canarias. The initial conditions for the wind data were collected from the NCEP Reanalysis Derived data (http://www.esrl.noaa.gov/psd/).Absolute dynamic topography data were obtained from Copernicus Marine Environment Monitoring Service (http://marine.copernicus.eu/).This article is a publication of the Unidad Oceano y Clima of the Universidad de Las Palmas de Gran Canaria, a R&amp;D&amp;i CSIC-associate unit. This work has been completed as part of MC-M work at IOCAG, in the doctoral program in Oceanografia y Cambio Global. The first author would like to thank the Agencia Canaria the Investigacion, Innovacion y Sociedad de la Informacion (ACIISI) grant program of apoyo al personal investigador en formacion. The authors are especially grateful to Carmen Presas for her help at sea ensuring the quality of the data. The authors are also grateful to the captain and the crew of the R/V Angeles Alvarino for their help at sea. Data from the RAPROCAN Project are available from http://seadata.bsh.de/</t>
  </si>
  <si>
    <t>e2020JC016199</t>
  </si>
  <si>
    <t>10.1029/2020JC016199</t>
  </si>
  <si>
    <t>WOS:000577126400056</t>
  </si>
  <si>
    <t>Dotto, TS; Garabato, ACN; Wåhlin, AK; Bacon, S; Holland, PR; Kimura, S; Tsamados, M; Herraiz-Borreguero, L; Kalén, O; Jenkins, A</t>
  </si>
  <si>
    <t>Dotto, Tiago S.; Garabato, Alberto C. Naveira; Wahlin, Anna K.; Bacon, Sheldon; Holland, Paul R.; Kimura, Satoshi; Tsamados, Michel; Herraiz-Borreguero, Laura; Kalen, Ola; Jenkins, Adrian</t>
  </si>
  <si>
    <t>Control of the Oceanic Heat Content of the Getz-Dotson Trough, Antarctica, by the Amundsen Sea Low</t>
  </si>
  <si>
    <t>Southern Ocean; Circumpolar Deep Water; open ocean-shelf exchange; West Antarctic ice shelves; atmospheric teleconnections</t>
  </si>
  <si>
    <t>CIRCUMPOLAR DEEP-WATER; PINE ISLAND GLACIER; WEST ANTARCTICA; ICE-SHELF; HIGH-LATITUDE; VARIABILITY; CIRCULATION; EMBAYMENT; BOUNDARY; CLIMATE</t>
  </si>
  <si>
    <t>The changing supply of warm Circumpolar Deep Water (CDW) to the West Antarctic continental shelf is responsible for the basal melting and thinning of the West Antarctic ice shelves that has occurred in recent decades. Here we assess the variability in CDW supply, and its drivers, from a multiyear mooring deployed in, and a regional ocean model spanning, the Getz-Dotson Trough, Amundsen Sea. Between 2010 to 2015, the CDW within the trough underwent a pronounced cooling and freshening, associated with changes in thermohaline properties on isopycnals. Variability in the rate of CDW inflow is controlled by local wind forcing of a shelf break undercurrent, which determines the hydrographic properties of inflowing CDW via tilting of density surfaces above the continental slope. Local wind is coupled to the Amundsen Sea Low (ASL) low-pressure system, which is modulated by large-scale climatic modes via atmospheric teleconnections. For the period analyzed, a deeper ASL was associated with westward wind anomaly at the shelf break. Changes in the sea surface slope decelerated the shelf break undercurrent, resulting in less heat accessing the continental shelf and, consequently, a cooling of the Getz-Dotson Trough. Therefore, the present work suggests that the fate of the West Antarctic ice shelves is closely tied to the future evolution of the ASL. Plain Language Summary The heat available for the melting of the ice shelves of the Amundsen Sea is supplied by the warm waters flooding the continental shelf. Here we show that the waters flowing into the Getz-Dotson Trough underwent a pronounced cooling between 2010 and 2015, associated with a weakening of the bottom-intensified currents within the trough. This process was controlled by changes of shelf break winds. A weakening of the eastward wind impacts the middepth undercurrent system above the continental slope, which controls the inflow of warm water via tilting of density surfaces above the slope. The local winds are modulated by the low-pressure system located offshore of the Amundsen Sea, known as the Amundsen Sea Low. The Amundsen Sea circulation is controlled by this low-pressure system, and changes in its configuration can impact the warmer waters flooding the West Antarctic continental shelf, with consequences for the melting of the region's ice shelves.</t>
  </si>
  <si>
    <t>[Dotto, Tiago S.; Garabato, Alberto C. Naveira] Univ Southampton, Ocean &amp; Earth Sci, Southampton, Hants, England; [Dotto, Tiago S.] Univ Fed Rio Grande, Inst Oceanog, Lab Estudos Oceanos &amp; Clima, Rio Grande, Brazil; [Wahlin, Anna K.; Kalen, Ola] Univ Gothenburg, Dept Marine Sci, Gothenburg, Sweden; [Bacon, Sheldon] Natl Oceanog Ctr, Southampton, Hants, England; [Holland, Paul R.; Jenkins, Adrian] British Antarctic Survey, Cambridge, England; [Kimura, Satoshi] Japan Agcy Marine Earth Sci &amp; Technol, Yokosuka, Kanagawa, Japan; [Tsamados, Michel] UCL, Ctr Polar Observat &amp; Modelling, Dept Earth Sci, London, England; [Herraiz-Borreguero, Laura] CSIRO, Oceans &amp; Atmosphere, Hobart, Tas, Australia; [Herraiz-Borreguero, Laura] CSIRO, Ctr Southern Hemisphere Oceans Res, Hobart, Tas, Australia; [Kalen, Ola] Swedish Meteorol &amp; Hydrol Inst, Gothenburg, Sweden; [Jenkins, Adrian] Northumbria Univ, Dept Geog &amp; Environm Sci, Newcastle Upon Tyne, Tyne &amp; Wear, England</t>
  </si>
  <si>
    <t>University of Southampton; Universidade Federal do Rio Grande; University of Gothenburg; NERC National Oceanography Centre; UK Research &amp; Innovation (UKRI); Natural Environment Research Council (NERC); NERC British Antarctic Survey; Japan Agency for Marine-Earth Science &amp; Technology (JAMSTEC); University of London; University College London; Commonwealth Scientific &amp; Industrial Research Organisation (CSIRO); Commonwealth Scientific &amp; Industrial Research Organisation (CSIRO); Swedish Meteorological &amp; Hydrological Institute; Northumbria University</t>
  </si>
  <si>
    <t>Dotto, TS (corresponding author), Univ Southampton, Ocean &amp; Earth Sci, Southampton, Hants, England.;Dotto, TS (corresponding author), Univ Fed Rio Grande, Inst Oceanog, Lab Estudos Oceanos &amp; Clima, Rio Grande, Brazil.</t>
  </si>
  <si>
    <t>tiagosdotto@gmail.com</t>
  </si>
  <si>
    <t>Kimura, Satoshi/AAT-3036-2021; Garabato, Alberto Naveira/AAQ-1114-2020; Jenkins, Adrian/IUN-2406-2023; Holland, Paul R/G-2796-2012; Herraiz-Borreguero, Laura/D-5795-2015; Wahlin, Anna/U-3790-2017</t>
  </si>
  <si>
    <t>Kimura, Satoshi/0000-0003-1689-1605; Garabato, Alberto Naveira/0000-0001-6071-605X; Jenkins, Adrian/0000-0002-9117-0616; Kalen, Ola/0000-0002-0542-7738; Segabinazzi Dotto, Tiago/0000-0003-0565-6941; Tsamados, Michel/0000-0001-7034-5360; Herraiz-Borreguero, Laura/0000-0002-4455-801X; Wahlin, Anna/0000-0003-1799-6476</t>
  </si>
  <si>
    <t>CNPq-Brazil PhD scholarship [232792/2014-3]; CNPq-Brazil PDJ scholarship [151248/2019-2]; Royal Society; Wolfson Foundation; SKIM Mission Science Study Project SKIMSciSoc [ESA-RFP 3-15456/18/NL/CT/gp]; ESA  CryoSat+ Antarctica Ocean project [ESA AO/1-9156/17/I-BG]; FIC [NE/S011994/1] Funding Source: UKRI; NERC [NE/J005746/1, cpom30001, bas0100033, NE/M015238/1, NE/J005770/1, NE/T009470/1] Funding Source: UKRI</t>
  </si>
  <si>
    <t>CNPq-Brazil PhD scholarship; CNPq-Brazil PDJ scholarship; Royal Society(Royal Society); Wolfson Foundation; SKIM Mission Science Study Project SKIMSciSoc; ESA  CryoSat+ Antarctica Ocean project; FIC; NERC(UK Research &amp; Innovation (UKRI)Natural Environment Research Council (NERC))</t>
  </si>
  <si>
    <t>T. S. D. acknowledges support by the CNPq-Brazil PhD scholarship (232792/2014-3) and CNPq-Brazil PDJ scholarship (151248/2019-2). A. C. N. G. was supported by the Royal Society and the Wolfson Foundation. M. T. acknowledges support from the SKIM Mission Science Study Project SKIMSciSoc (ESA-RFP 3-15456/18/NL/CT/gp) and the ESA  CryoSat+ Antarctica Ocean project (ESA AO/1-9156/17/I-BG).</t>
  </si>
  <si>
    <t>e2020JC016113</t>
  </si>
  <si>
    <t>10.1029/2020JC016113</t>
  </si>
  <si>
    <t>WOS:000577126400053</t>
  </si>
  <si>
    <t>DuVivier, AK; Holland, MM; Kay, JE; Tilmes, S; Gettelman, A; Bailey, DA</t>
  </si>
  <si>
    <t>DuVivier, Alice K.; Holland, Marika M.; Kay, Jennifer E.; Tilmes, Simone; Gettelman, Andrew; Bailey, David A.</t>
  </si>
  <si>
    <t>Arctic and Antarctic Sea Ice Mean State in the Community Earth System Model Version 2 and the Influence of Atmospheric Chemistry</t>
  </si>
  <si>
    <t>sea ice; climate model; clouds; albedo; Arctic; Antarctic</t>
  </si>
  <si>
    <t>CLOUD RESPONSE; CLIMATE; THICKNESS; VARIABILITY; TRENDS; EXTENT; SIMULATIONS; FEEDBACKS; AIRCRAFT; RETREAT</t>
  </si>
  <si>
    <t>Arctic and Antarctic sea ice has undergone significant and rapid change with the changing climate. Here, we present preindustrial and historical results from the newly released Community Earth System Model Version 2 (CESM2) to assess the Arctic and Antarctic sea ice. Two configurations of the CESM2 are available that differ only in their atmospheric model top and the inclusion of comprehensive atmospheric chemistry, including prognostic aerosols. The CESM2 configuration with comprehensive atmospheric chemistry has significantly thicker Arctic sea ice year-round and better captures decreasing trends in sea ice extent and volume over the satellite period. In the Antarctic, both CESM configurations have similar mean state ice extent and volume, but the ice extent trends are opposite to satellite observations. We find that differences in the Arctic sea ice between CESM2 configurations are the result of differences in liquid clouds. Over the Arctic, the CESM2 configuration without prognostic aerosol formation has fewer aerosols to form cloud condensation nuclei, leading to thinner liquid clouds. As a result, the sea ice receives much more shortwave radiation early in the melt season, driving a stronger ice albedo feedback and leading to additional sea ice loss and significantly thinner ice year-round. The aerosols necessary for the Arctic liquid cloud formation are produced from different precursor emissions and transported to the Arctic. Thus, the main reason sea ice differs in the Arctic is the transport of cloud-impacting aerosols into the region, while the Antarctic remains relatively pristine from extrapolar aerosol transport. Plain Language Summary Arctic and Antarctic sea ice has undergone significant and rapid change with the changing climate. Here we assess Arctic and Antarctic sea ice in a new state-of-the-art Earth System Model, the Community Earth System Model Version 2 (CESM2). In particular, we explore how the atmosphere impacts the sea ice. When the CESM2 model does not include chemistry of particles in the atmosphere, we find that Arctic clouds are thinner, which allows more sunlight to reach the sea ice at the surface in the spring and summer. As a result, the sea ice melts more so that it covers less of the Arctic Ocean surface and is overall thinner than in CESM2 simulations that do include chemistry of particles. In contrast, inclusion or lack of particle chemistry does not lead to large differences in the Antarctic sea ice thickness or surface area covered by sea ice. The reason for the opposite results in the hemispheres is that the particles that impact clouds are produced outside the Arctic and Antarctic. These particles are transported successfully to the Arctic, but the Antarctic remains relatively pristine from external particle transport.</t>
  </si>
  <si>
    <t>[DuVivier, Alice K.; Holland, Marika M.; Tilmes, Simone; Gettelman, Andrew; Bailey, David A.] Natl Ctr Atmospher Res, POB 3000, Boulder, CO 80307 USA; [Kay, Jennifer E.] Univ Colorado, Dept Atmospher &amp; Ocean Sci, Boulder, CO 80309 USA; [Kay, Jennifer E.] Univ Colorado, Cooperat Inst Res Environm Sci, Boulder, CO 80309 USA</t>
  </si>
  <si>
    <t>National Center Atmospheric Research (NCAR) - USA; University of Colorado System; University of Colorado Boulder; University of Colorado System; University of Colorado Boulder</t>
  </si>
  <si>
    <t>DuVivier, AK (corresponding author), Natl Ctr Atmospher Res, POB 3000, Boulder, CO 80307 USA.</t>
  </si>
  <si>
    <t>duvivier@ucar.edu</t>
  </si>
  <si>
    <t>DuVivier, Alice K./JJC-1516-2023; Tilmes, Simone/JUV-6618-2023; Gettelman, Andrew/AAY-2312-2021; KAY, JENNIFER/C-6042-2012</t>
  </si>
  <si>
    <t>DuVivier, Alice K./0000-0001-6920-5926; Tilmes, Simone/0000-0002-6557-3569; Bailey, David/0000-0002-6584-0663; KAY, JENNIFER/0000-0002-3625-5377</t>
  </si>
  <si>
    <t>National Science Foundation (NSF); National Center for Atmospheric Research (NCAR) - NSF [1852977]; NSF CAREER [1554659]; NSF [1724748]; Directorate For Geosciences; Office of Polar Programs (OPP) [1724748] Funding Source: National Science Foundation; Div Atmospheric &amp; Geospace Sciences; Directorate For Geosciences [1554659] Funding Source: National Science Foundation</t>
  </si>
  <si>
    <t>National Science Foundation (NSF)(National Science Foundation (NSF)); National Center for Atmospheric Research (NCAR) - NSF; NSF CAREER(National Science Foundation (NSF)NSF - Office of the Director (OD)); NSF(National Science Foundation (NSF)); Directorate For Geosciences; Office of Polar Programs (OPP)(National Science Foundation (NSF)NSF - Directorate for Geosciences (GEO)); Div Atmospheric &amp; Geospace Sciences; Directorate For Geosciences(National Science Foundation (NSF)NSF - Directorate for Geosciences (GEO))</t>
  </si>
  <si>
    <t>The CESM project is supported primarily by the National Science Foundation (NSF). This material is based upon work supported by the National Center for Atmospheric Research (NCAR), which is a major facility sponsored by the NSF under Cooperative Agreement 1852977. Computing and data storage resources, including the Cheyenne supercomputer (doi:10.5065/D6RX99HX), were provided by the Computational and Information Systems Laboratory (CISL) at NCAR. We thank all the scientists, software engineers, and administrators who contributed to the development of CESM2. J. E. Kay was supported by NSF CAREER (AGS #1554659). M. M. Holland acknowledges support from NSF #1724748.</t>
  </si>
  <si>
    <t>e2019JC015934</t>
  </si>
  <si>
    <t>10.1029/2019JC015934</t>
  </si>
  <si>
    <t>WOS:000577126400050</t>
  </si>
  <si>
    <t>Echevarria, ER; Hemer, MA; Holbrook, NJ; Marshall, AG</t>
  </si>
  <si>
    <t>Echevarria, E. R.; Hemer, M. A.; Holbrook, N. J.; Marshall, A. G.</t>
  </si>
  <si>
    <t>Influence of the Pacific-South American Modes on the Global Spectral Wind-Wave Climate</t>
  </si>
  <si>
    <t>wind-waves; Pacific-South American modes; spectral wave climate; climate modes; empirical orthogonal function analysis</t>
  </si>
  <si>
    <t>SEASONAL VARIABILITY; GEOPOTENTIAL HEIGHT; NORTH-ATLANTIC; OSCILLATION; SWELL; PATTERNS; AUSTRALIA; SIGNATURE; IMPACTS</t>
  </si>
  <si>
    <t>In this study, we analyze the influence of the Pacific-South American modes (PSA-1 and PSA-2) on the global wind-wave climate using wave data derived from a WAVEWATCH III global wave hindcast. We apply an empirical orthogonal function analysis to daily-averaged directional wave spectra to extract the two main patterns of interannual wave spectral variability. These are related to changes in the wave spectral density levels (variability in the wave heights) and to rotations of the wave signal (variability in wave direction). The PSA-1 mode is positively correlated with the wave height variability in the southeast Pacific and negatively correlated in the Indian Ocean sector of the Southern Ocean. The PSA-2 mode presents a strong negative correlation with wave heights in the central South Pacific. Moreover, the PSA modes are significantly correlated with changes in modeled wave direction in the South Pacific region. Composite maps of wind anomalies during positive stages of PSA-1 and PSA-2 provide a compelling explanation for the observed correlation patterns. The methodology applied in this study is also used to assess the influence of other climate modes on the global wind-wave climate (namely, the Southern Annular Mode, Arctic Oscillation, North Atlantic Oscillation, El Nino/Southern Oscillation, and the Pacific North American mode). While our results are consistent with previous studies, we provide more clarity as to how different atmospheric modes influence the variability of specific components of the wave spectrum. Importantly, we assess how these climate modes would modulate the interannual variability of wave direction. Plain Language Summary Different modes of atmospheric variability (such as El Nino/Southern Oscillation or the Southern Annular Mode) are known to influence the ocean wind-wave climate in many regions of the world and across different timescales. The Pacific-South American (PSA) patterns represent important modes of variability of the atmospheric circulation in the Southern Hemisphere. In this study we use results from an ocean wind-wave model to analyze how the PSA patterns influence the global wave field. We apply a methodology that allows us to study in detail changes in wave height and direction. Our results suggest that the PSA modes would be associated with wind anomalies that modulate the height and direction of swell waves generated in the Southern Ocean, particularly in the south Pacific. We also analyze other climate modes of variability and their influence on the wind-wave field. Our results are consistent with previous studies, and they suggest that the influence of the PSA modes on the wind-wave field is of the same order of magnitude as that of other climate modes.</t>
  </si>
  <si>
    <t>[Echevarria, E. R.; Hemer, M. A.] CSIRO Oceans &amp; Atmosphere, Hobart, Tas, Australia; [Echevarria, E. R.; Holbrook, N. J.] Univ Tasmania, Inst Marine &amp; Antarctic Studies, Hobart, Tas, Australia; [Echevarria, E. R.; Holbrook, N. J.; Marshall, A. G.] Univ Tasmania, Australian Res Council Ctr Excellence Climate Ext, Hobart, Tas, Australia; [Marshall, A. G.] Bur Meteorol, Hobart, Tas, Australia</t>
  </si>
  <si>
    <t>Commonwealth Scientific &amp; Industrial Research Organisation (CSIRO); University of Tasmania; University of Tasmania; Bureau of Meteorology - Australia</t>
  </si>
  <si>
    <t>Echevarria, ER (corresponding author), CSIRO Oceans &amp; Atmosphere, Hobart, Tas, Australia.;Echevarria, ER (corresponding author), Univ Tasmania, Inst Marine &amp; Antarctic Studies, Hobart, Tas, Australia.;Echevarria, ER (corresponding author), Univ Tasmania, Australian Res Council Ctr Excellence Climate Ext, Hobart, Tas, Australia.</t>
  </si>
  <si>
    <t>emilio.echevarria@csiro.au</t>
  </si>
  <si>
    <t>Echevarria, Emilio/AFW-5225-2022; Holbrook, Neil/M-7544-2013; Hemer, Mark/M-1905-2013</t>
  </si>
  <si>
    <t>Holbrook, Neil/0000-0002-3523-6254; Marshall, Andrew/0000-0003-4902-1462; Echevarria, Emilio/0000-0003-1267-2587; Hemer, Mark/0000-0002-7725-3474</t>
  </si>
  <si>
    <t>Australian Government Pacific-Australia Climate Change Science and Adaptation Program; UTAS-CSIRO Quantitative Marine Science Program, through an Institute for Marine and Antarctic Studies Tasmania Graduate Research Scholarship; CSIRO Office of the Chief Executive top-up scholarship; Australian Research Council Centre of Excellence for Climate Extremes [CE170100023]; Australian Government National Environmental Science Program Earth Systems and Climate Change (NESP ESCC) Hub; NESP ESCC Hub; Australian Research Council Centre of Excellence for Climate Extremes</t>
  </si>
  <si>
    <t>Australian Government Pacific-Australia Climate Change Science and Adaptation Program(Australian Government); UTAS-CSIRO Quantitative Marine Science Program, through an Institute for Marine and Antarctic Studies Tasmania Graduate Research Scholarship; CSIRO Office of the Chief Executive top-up scholarship; Australian Research Council Centre of Excellence for Climate Extremes(Australian Research Council); Australian Government National Environmental Science Program Earth Systems and Climate Change (NESP ESCC) Hub; NESP ESCC Hub; Australian Research Council Centre of Excellence for Climate Extremes(Australian Research Council)</t>
  </si>
  <si>
    <t>The authors wish to thank the three anonymous reviewers who gave detailed comments and suggestions which helped to improve the presentation and readibility of this manuscript. The authors acknowledge the availability of the CAWCR wave hindcast, funded through the Australian Government Pacific-Australia Climate Change Science and Adaptation Program. The analysis of the data was carried out with the assistance of resources from the CSIRO High Performance Computer cluster Pearcey. EE is supported by funding from the UTAS-CSIRO Quantitative Marine Science Program, through an Institute for Marine and Antarctic Studies Tasmania Graduate Research Scholarship and a CSIRO Office of the Chief Executive top-up scholarship. EE also ackowledges support from the Australian Research Council Centre of Excellence for Climate Extremes. MH is supported by the Australian Government National Environmental Science Program Earth Systems and Climate Change (NESP ESCC) Hub. NJH acknowledges support from the Australian Research Council Centre of Excellence for Climate Extremes (Grant CE170100023) and also the NESP ESCC Hub.</t>
  </si>
  <si>
    <t>e2020JC016354</t>
  </si>
  <si>
    <t>10.1029/2020JC016354</t>
  </si>
  <si>
    <t>WOS:000577126400055</t>
  </si>
  <si>
    <t>Gao, GD; Marin, M; Feng, M; Yin, BS; Yang, DZ; Feng, XR; Ding, Y; Song, DH</t>
  </si>
  <si>
    <t>Gao, Guandong; Marin, Maxime; Feng, Ming; Yin, Baoshu; Yang, Dezhou; Feng, Xingru; Ding, Yang; Song, Dehai</t>
  </si>
  <si>
    <t>Drivers of Marine Heatwaves in the East China Sea and the South Yellow Sea in Three Consecutive Summers During 2016-2018</t>
  </si>
  <si>
    <t>SURFACE TEMPERATURE; COASTAL OCEAN; WARM CURRENT; MONSOON; VARIABILITY; RAINFALL; WINTER; MODEL; WIND; FLUCTUATIONS</t>
  </si>
  <si>
    <t>In 3 consecutive years from 2016 to 2018, extreme ocean warming events, or marine heatwaves (MHWs), occurred during boreal summers in the East China Sea (ECS) and South Yellow Sea (SYS), which is unprecedented in the past four decades based on the satellite record. In this study, we used a high-resolution hydrodynamic model based on Finite Volume Community Ocean Model (FVCOM) to simulate the evolution of these warming events. An upper ocean temperature budget (0-20 m) analysis based on the model results shows that the shortwave radiation and the ocean advection anomalies jointly contributed to the anomalous warming in the three successive summers (June-August) in the SYS and the north part of the ECS. In addition, the reduction of surface wind speeds during the 2016 and 2017 summers further weakened the vertical mixing, thereby enhancing the anomalous warming in the north part of the ECS adjacent to the SYS. During the three summers, the increases of shortwave radiation were closely related to the East Asian Summer Monsoon (EASM) variability, which reduced the cloud cover in the ECS and SYS, whereas the advection anomalies were mostly associated with regional wind anomalies. In summer 2018, upper ocean heat was transported into the central trough of the SYS, accumulated in an anticyclonic eddy generated by the anomalous wind stress curls. Therefore, despite the primary driver of the MHWs is the EASM variation, regional processes are critical to driving the spatial pattern of the MHW intensity in the ECS and SYS. Plain Language Summary Marine heatwaves, known as periods of extreme warming at the sea surface, can last for days to months and cause damages to the marine environment and marine life. In the East China Sea and the South Yellow Sea, the frequent occurrences of harmful algae blooms are often associated with marine heatwaves. Satellite data reveal that marine heatwaves occurred in the East China Sea and the South Yellow Sea during the three boreal summers from 2016 to 2018, which is unprecedented in the past four decades. Using a numerical model of the ocean, we examined the marine heatwaves during these three successive summers. We show that the increased solar radiation, ocean current anomalies, and reduced vertical mixing were three critical factors for the warming events in the three summers. This study helps the fisheries and aquaculture industries in the East China Sea and the South Yellow Sea to better manage the environmental risks under a warming climate by predictions of marine heatwaves.</t>
  </si>
  <si>
    <t>[Gao, Guandong; Yin, Baoshu; Yang, Dezhou; Feng, Xingru] Chinese Acad Sci, Lab Ocean Circulat &amp; Waves, Inst Oceanol, Qingdao, Peoples R China; [Gao, Guandong; Yin, Baoshu; Yang, Dezhou; Feng, Xingru; Ding, Yang; Song, Dehai] Qingdao Natl Lab Marine Sci &amp; Technol, Qingdao, Peoples R China; [Gao, Guandong; Yin, Baoshu; Yang, Dezhou; Feng, Xingru] Chinese Acad Sci, Ctr Mega Sci, Qingdao, Peoples R China; [Marin, Maxime; Feng, Ming] CSIRO Oceans &amp; Atmosphere, Crawley, WA, Australia; [Marin, Maxime] Univ Tasmania, Inst Marine &amp; Antarctic Studies, Hobart, Tas, Australia; [Yin, Baoshu] Univ Chinese Acad Sci, Beijing, Peoples R China; [Ding, Yang; Song, Dehai] Ocean Univ China, Minist Educ, Key Lab Phys Oceanog, Qingdao, Peoples R China</t>
  </si>
  <si>
    <t>Chinese Academy of Sciences; Institute of Oceanology, CAS; Laoshan Laboratory; Chinese Academy of Sciences; Commonwealth Scientific &amp; Industrial Research Organisation (CSIRO); University of Tasmania; Chinese Academy of Sciences; University of Chinese Academy of Sciences, CAS; Ocean University of China</t>
  </si>
  <si>
    <t>Yin, BS (corresponding author), Chinese Acad Sci, Lab Ocean Circulat &amp; Waves, Inst Oceanol, Qingdao, Peoples R China.;Yin, BS (corresponding author), Qingdao Natl Lab Marine Sci &amp; Technol, Qingdao, Peoples R China.;Yin, BS (corresponding author), Chinese Acad Sci, Ctr Mega Sci, Qingdao, Peoples R China.;Feng, M (corresponding author), CSIRO Oceans &amp; Atmosphere, Crawley, WA, Australia.;Yin, BS (corresponding author), Univ Chinese Acad Sci, Beijing, Peoples R China.</t>
  </si>
  <si>
    <t>ming.feng@csiro.au; bsyin@qdio.ac.cn</t>
  </si>
  <si>
    <t>Gao, Guandong/KBD-1950-2024; Marin, Maxime/AAJ-1887-2021; Song, Dehai/N-3011-2014; Feng, Ming/F-5411-2010</t>
  </si>
  <si>
    <t>Marin, Maxime/0000-0001-7209-4454; Song, Dehai/0000-0002-7519-4423; Feng, Ming/0000-0002-2855-7092; Ding, Yang/0000-0001-9778-091X</t>
  </si>
  <si>
    <t>National Natural Science Foundation of Shandong Province [41406097]; CAS-CSIRO collaborative funding; Strategic Priority Research Program of the Chinese Academy of Sciences [XDB42000000]; NSFC-Shandong Joint Fund [U1806227]; National Natural Science Foundation of China (NSFC) [41576023, 41876019]; National Natural Science Foundation of China [41430963]</t>
  </si>
  <si>
    <t>National Natural Science Foundation of Shandong Province; CAS-CSIRO collaborative funding; Strategic Priority Research Program of the Chinese Academy of Sciences(Chinese Academy of Sciences); NSFC-Shandong Joint Fund; National Natural Science Foundation of China (NSFC)(National Natural Science Foundation of China (NSFC)); National Natural Science Foundation of China(National Natural Science Foundation of China (NSFC))</t>
  </si>
  <si>
    <t>This work was supported by the National Natural Science Foundation of Shandong Province (no. 41406097) and CAS-CSIRO collaborative funding. The work was also supported by the Strategic Priority Research Program of the Chinese Academy of Sciences (XDB42000000) and NSFC-Shandong Joint Fund (U1806227). Dezhou Yang was supported by the National Natural Science Foundation of China (NSFC) (41576023 and 41876019). Yang Ding was supported by the National Natural Science Foundation of China (no. 41430963). We thank the anonymous reviewers for commenting on the early draft of the paper.</t>
  </si>
  <si>
    <t>e2020JC016518</t>
  </si>
  <si>
    <t>10.1029/2020JC016518</t>
  </si>
  <si>
    <t>WOS:000577126400027</t>
  </si>
  <si>
    <t>Patel, RS; Llort, J; Strutton, PG; Phillips, HE; Moreau, S; Pardo, PC; Lenton, A</t>
  </si>
  <si>
    <t>Patel, Ramkrushnbhai S.; Llort, Joan; Strutton, Peter G.; Phillips, Helen E.; Moreau, Sebastien; Pardo, Paula Conde; Lenton, Andrew</t>
  </si>
  <si>
    <t>The Biogeochemical Structure of Southern Ocean Mesoscale Eddies</t>
  </si>
  <si>
    <t>mesoscale eddies; Southern Ocean; nutrient transport; biogeochemical structure; meridional transport</t>
  </si>
  <si>
    <t>GRAVEST EMPIRICAL MODE; SUB-ANTARCTIC FRONT; BIOLOGICAL IMPLICATIONS; PHYSICAL DYNAMICS; KERGUELEN PLATEAU; TRANSPORT; CARBON; EDDY; NUTRIENTS; NITRATE</t>
  </si>
  <si>
    <t>Mesoscale eddies play a key role in modulating physical and biogeochemical properties across the global ocean. They also play a central role in cross-frontal transport of heat, freshwater, and carbon, especially in the Southern Ocean. However, the role that eddies play in the biogeochemical cycles is not yet well constrained, partly due to a lack of observations below the surface. Here, we use hydrographic data from two voyages, conducted in the austral summer and autumn, to document the vertical biogeochemical structure of two mesoscale cyclonic eddies and quantify the role of these eddies in the meridional transport of nutrients across the Subantarctic Front. Our study demonstrates that the nutrient distribution is largely driven by eddy dynamics, yielding identical eddy structure below the mixed layer in both seasons. This result allowed us to relate nutrient content to dynamic height and estimate the average transport by eddies across the Subantarctic Front. We found that relative to Subantarctic Zone waters, long-lived cold-core eddies carry nitrate anomalies of 1.6 +/- 0.2x10(10) moles and silicate anomalies of -5.5 +/- 0.7x10(10) moles across the fronts each year. This cross-frontal transport of nutrients has negligible impact on Subantarctic Zone productivity; however, it has potential to modify the nutrient content of mode waters that are exported from the Southern Ocean to lower latitudes. Plain Language Summary Mesoscale eddies are rotating bodies of water with diameters between 30 and 300km that span weeks to months in the ocean. They are known to carry macronutrients (i.e., nitrate, silicate, and phosphate) across the Antarctic Circumpolar Current. Because of extremely limited direct observations of these eddies, it is difficult to calculate the actual quantity of nutrients that these eddies carry. Here we present new observations of two cold-core eddies that we sampled during austral summer and austral autumn in the Southern Ocean south of Tasmania. We found that both eddies had similar nutrient distribution over their depth, especially below the mixed layer depth. Hence, this result motivated us to combine our observation with satellite observation to calculate the quantity of nutrients carried into the Subantarctic Zone by all the similar eddies. We found that eddies carried high-nitrate and low-silicate waters into the Subantarctic Zone. This transport has negligible impact on local biological production, but it has the capacity to change the nutrient content of waters that are exported from the Southern Ocean to lower latitudes.</t>
  </si>
  <si>
    <t>[Patel, Ramkrushnbhai S.; Llort, Joan; Strutton, Peter G.; Phillips, Helen E.; Moreau, Sebastien] Univ Tasmania UTas, Inst Marine &amp; Antarctic Studies IMAS, Hobart, Tas, Australia; [Patel, Ramkrushnbhai S.] Univ Tasmania, Australian Res Council Ctr Excellence Climate Sys, Hobart, Tas, Australia; [Llort, Joan] Barcelona Supercomp Ctr, Barcelona, Spain; [Strutton, Peter G.; Phillips, Helen E.] Univ Tasmania, Australian Res Council Ctr Excellence Climate Ext, Hobart, Tas, Australia; [Moreau, Sebastien] Norwegian Polar Res Inst, Fram Ctr, Tromso, Norway; [Moreau, Sebastien] Univ Tasmania, Australian Res Council Antarctic Gateway Partners, Hobart, Tas, Australia; [Pardo, Paula Conde] Univ Tasmania, Antarctic Climate &amp; Ecosyst Cooperat Res Ctr, Hobart, Tas, Australia; [Pardo, Paula Conde; Lenton, Andrew] Commonwealth Sci &amp; Ind Res Org CSIRO Oceans &amp; Atm, Hobart, Tas, Australia; [Lenton, Andrew] CSIRO, Ctr Southern Hemisphere Oceans Res, Hobart, Tas, Australia; [Lenton, Andrew] IMAS UTas, Australian Antarctic Program Partnership, Hobart, Tas, Australia</t>
  </si>
  <si>
    <t>University of Tasmania; University of Tasmania; Universitat Politecnica de Catalunya; Barcelona Supercomputer Center (BSC-CNS); University of Tasmania; Norwegian Polar Institute; University of Tasmania; University of Tasmania; Antarctic Climate &amp; Ecosystems Cooperative Research Centre (ACE CRC); Commonwealth Scientific &amp; Industrial Research Organisation (CSIRO); Commonwealth Scientific &amp; Industrial Research Organisation (CSIRO)</t>
  </si>
  <si>
    <t>Patel, RS (corresponding author), Univ Tasmania UTas, Inst Marine &amp; Antarctic Studies IMAS, Hobart, Tas, Australia.;Patel, RS (corresponding author), Univ Tasmania, Australian Res Council Ctr Excellence Climate Sys, Hobart, Tas, Australia.</t>
  </si>
  <si>
    <t>Ramkrushnbhai.Patel@utas.edu.au</t>
  </si>
  <si>
    <t>Llort, Joan/O-2162-2017; Phillips, Helen/I-3761-2013; Patel, Ramkrushnbhai Shaileshbhai/HGD-7314-2022; C. Pardo, Paula/A-8217-2019; Strutton, Peter/C-4466-2011; Lenton, Andrew/D-2077-2012</t>
  </si>
  <si>
    <t>Llort, Joan/0000-0003-1490-4521; Phillips, Helen/0000-0002-2941-7577; Patel, Ramkrushnbhai Shaileshbhai/0000-0002-5302-6509; C. Pardo, Paula/0000-0001-6348-2332; Strutton, Peter/0000-0002-2395-9471; Lenton, Andrew/0000-0001-9437-8896; Moreau, Sebastien/0000-0001-9446-812X</t>
  </si>
  <si>
    <t>Australian Research Council [DP160102870, SR140300001]; Quantitative Marine Science PhD program; Australian Government's National Environmental Science Program; Australian Research Council [SR140300001] Funding Source: Australian Research Council</t>
  </si>
  <si>
    <t>Australian Research Council(Australian Research Council); Quantitative Marine Science PhD program; Australian Government's National Environmental Science Program(Australian Government); Australian Research Council(Australian Research Council)</t>
  </si>
  <si>
    <t>This study is a part of the EDDY project: http://southernoceaneddie.wixsite.com/eddies. This research is supported by an Australian Research Council Discovery Project (DP160102870), the Australian Research Council's Special Research Initiative for Antarctic Gateway Partnership (SR140300001), and ship time from Australia's Marine National Facility (MNF). We thank the officers, crew, and technical staff of Australia's MNF R.V. Investigator for their assistance during data collection from both voyages. R. Patel thanks Quantitative Marine Science PhD program for providing financial support to conduct his research. R. Patel also thanks Kimberlee Baldry for thoughtful insights into chlorophyll quenching correction. HP acknowledges funding from the Australian Government's National Environmental Science Program. We thank two anonymous reviewers whose constructive comments greatly improved this manuscript.</t>
  </si>
  <si>
    <t>e2020JC016115</t>
  </si>
  <si>
    <t>10.1029/2020JC016115</t>
  </si>
  <si>
    <t>WOS:000577126400016</t>
  </si>
  <si>
    <t>Schultz, C; Doney, SC; Zhang, WG; Regan, H; Holland, P; Meredith, MP; Stammerjohn, S</t>
  </si>
  <si>
    <t>Schultz, C.; Doney, S. C.; Zhang, W. G.; Regan, H.; Holland, P.; Meredith, M. P.; Stammerjohn, S.</t>
  </si>
  <si>
    <t>Modeling of the Influence of Sea Ice Cycle and Langmuir Circulation on the Upper Ocean Mixed Layer Depth and Freshwater Distribution at the West Antarctic Peninsula</t>
  </si>
  <si>
    <t>West Antarctic Peninsula; sea ice; Langmuir circulation; mixed layer depth; glacial runoff</t>
  </si>
  <si>
    <t>CONTINENTAL-SHELF; BOUNDARY-LAYER; MARGUERITE BAY; SOUTHERN-OCEAN; SURFACE; VARIABILITY; TURBULENCE; DRAG; GLACIER; CLIMATE</t>
  </si>
  <si>
    <t>The Southern Ocean is chronically undersampled due to its remoteness, harsh environment, and sea ice cover. Ocean circulation models yield significant insight into key processes and to some extent obviate the dearth of data; however, they often underestimate surface mixed layer depth (MLD), with consequences for surface water-column temperature, salinity, and nutrient concentration. In this study, a coupled circulation and sea ice model was implemented for the region adjacent to the West Antarctic Peninsula, a climatically sensitive region which has exhibited decadal trends towards higher ocean temperature, shorter sea ice season, and increasing glacial freshwater input, overlain by strong interannual variability. Hindcast simulations were conducted with different air-ice drag coefficients and Langmuir circulation parameterizations to determine the impact of these factors on MLD. Including Langmuir circulation deepened the surface mixed layer, with the deepening being more pronounced in the shelf and slope regions. Optimal selection of an air-ice drag coefficient also increased modeled MLD by similar amounts and had a larger impact in improving the reliability of the simulated MLD interannual variability. This study highlights the importance of sea ice volume and redistribution to correctly reproduce the physics of the underlying ocean, and the potential of appropriately parameterizing Langmuir circulation to help correct for biases towards shallow MLD in the Southern Ocean. The model also reproduces observed freshwater patterns in the West Antarctic Peninsula during late summer and suggests that areas of intense summertime sea ice melt can still show net annual freezing due to high sea ice formation during the winter.</t>
  </si>
  <si>
    <t>[Schultz, C.; Doney, S. C.] Univ Virginia, Dept Environm Sci, Clark Hall, Charlottesville, VA 22903 USA; [Schultz, C.; Zhang, W. G.] Woods Hole Oceanog Inst, Woods Hole, MA 02543 USA; [Schultz, C.] MIT, Dept Earth &amp; Atmospher Sci, 77 Massachusetts Ave, Cambridge, MA 02139 USA; [Regan, H.] Nansen Environm &amp; Remote Sensing Ctr, Bergen, Norway; [Regan, H.] Bjerknes Ctr Climate Res, Bergen, Norway; [Regan, H.; Holland, P.; Meredith, M. P.] British Antarctic Survey, Nat Environm Res Council, Cambridge, England; [Stammerjohn, S.] Univ Colorado, Inst Arctic &amp; Alpine Res, Boulder, CO 80309 USA</t>
  </si>
  <si>
    <t>University of Virginia; Woods Hole Oceanographic Institution; Massachusetts Institute of Technology (MIT); Nansen Environmental &amp; Remote Sensing Center (NERSC); Bjerknes Centre for Climate Research; UK Research &amp; Innovation (UKRI); Natural Environment Research Council (NERC); NERC British Antarctic Survey; University of Colorado System; University of Colorado Boulder</t>
  </si>
  <si>
    <t>Schultz, C (corresponding author), Univ Virginia, Dept Environm Sci, Clark Hall, Charlottesville, VA 22903 USA.;Schultz, C (corresponding author), Woods Hole Oceanog Inst, Woods Hole, MA 02543 USA.;Schultz, C (corresponding author), MIT, Dept Earth &amp; Atmospher Sci, 77 Massachusetts Ave, Cambridge, MA 02139 USA.</t>
  </si>
  <si>
    <t>cs3xm@virginia.edu</t>
  </si>
  <si>
    <t>Doney, Scott/F-9247-2010; Holland, Paul R/G-2796-2012</t>
  </si>
  <si>
    <t>Doney, Scott/0000-0002-3683-2437; Meredith, Michael/0000-0002-7342-7756; Regan, Heather/0000-0002-2823-2175; Zhang, Weifeng/0000-0002-2819-1780; Schultz, Cristina/0000-0003-2006-7053; STAMMERJOHN, SHARON/0000-0002-1697-8244</t>
  </si>
  <si>
    <t>U.S. National Science Foundation [OPP-1643901, PLR-1440435]; University of Virginia; NERC [bas0100033] Funding Source: UKRI</t>
  </si>
  <si>
    <t>U.S. National Science Foundation(National Science Foundation (NSF)); University of Virginia; NERC(UK Research &amp; Innovation (UKRI)Natural Environment Research Council (NERC))</t>
  </si>
  <si>
    <t>The authors thank the many scientists, students, technicians, and ship captains, officers, and crew involved in the collection of the Palmer LTER historical time-series data. C. Schultz and S. Doney acknowledge support by the U.S. National Science Foundation (grant PLR-1440435 to the Palmer Long Term Ecological Research program) and support from the University of Virginia. W. G. Zhang acknowledge support by the U.S. National Science Foundation (grant OPP-1643901). The MITgcm model is an open source model (mitgcm.org). The version used in this study, with added parameterizations and specific configurations, is on C. Schultz's github (https://github.com/crisoceano/WAP_MITgcm).A copy of the files with specific configurations for this study, the forcing files needed for the simulations, and a copy of the files used for the KPP package are in three separate records on zenodo.org, under DOIs 10.5281/zenodo.3627365, 10.5281/zenodo.3627564, and 10.5281/zenodo.3627742.</t>
  </si>
  <si>
    <t>e2020JC016109</t>
  </si>
  <si>
    <t>10.1029/2020JC016109</t>
  </si>
  <si>
    <t>WOS:000577126400052</t>
  </si>
  <si>
    <t>Zhang, XH; Nikurashin, M</t>
  </si>
  <si>
    <t>Zhang, Xihan; Nikurashin, Maxim</t>
  </si>
  <si>
    <t>Small-Scale Topographic Form Stress and Local Dynamics of the Southern Ocean</t>
  </si>
  <si>
    <t>Southern Ocean; mesoscale eddies; topographic form stress</t>
  </si>
  <si>
    <t>ANTARCTIC CIRCUMPOLAR CURRENT; EDDY DIFFUSIVITY; TRANSPORT; MODEL; BALANCE; FLOW</t>
  </si>
  <si>
    <t>The contribution of small-scale abyssal hill topography to the topographic form stress and local dynamics of the Southern Ocean is investigated using a high-resolution model of the sector of the Southern Ocean south of Tasmania and New Zealand. The results of two simulations, with and without small, O(1-100km), scale topography, confirm that the effects of small-scale topography are exerted through the generation of strong topographic form stress leading to transient eddy dissipation and changes in flow meanders. Small-scale topographic form stress is comparable in magnitude to that generated by large-scale topography, but with a pairwise distribution of positive and negative stress values upstream and downstream of the Macquarie Ridge, consistent with the meandering of the flow. In the experiment without small-scale topography, the bottom mean flow speed increases, while the surface mean speed slightly decreases, making the mean flow more barotropic. Eddy kinetic energy also greatly enhances throughout the water column after removing small-scale topography. Our results suggest that small-scale topography has strong impact on transient eddies and plays an important role for setting the vertical structure of the flow and the equilibration and position of flow meanders.</t>
  </si>
  <si>
    <t>[Zhang, Xihan; Nikurashin, Maxim] Univ Tasmania, Inst Marine &amp; Antarct Studies, Hobart, Tas, Australia; [Zhang, Xihan; Nikurashin, Maxim] ARC Ctr Excellence Climate Extremes, Hobart, Tas, Australia; [Nikurashin, Maxim] Univ Tasmania, Inst Marine &amp; Antarct Studies, Australian Antarct Program Partnership, Hobart, Tas, Australia</t>
  </si>
  <si>
    <t>Zhang, XH (corresponding author), Univ Tasmania, Inst Marine &amp; Antarct Studies, Hobart, Tas, Australia.;Zhang, XH (corresponding author), ARC Ctr Excellence Climate Extremes, Hobart, Tas, Australia.</t>
  </si>
  <si>
    <t>xihan.zhang@utas.edu.au</t>
  </si>
  <si>
    <t>Zhang, Xihan/0000-0001-9120-2086; Nikurashin, Maxim/0000-0002-5714-8343</t>
  </si>
  <si>
    <t>Australian Government; Australian Research Council Discovery Project [DP170102162]</t>
  </si>
  <si>
    <t>Australian Government(Australian Government); Australian Research Council Discovery Project(Australian Research Council)</t>
  </si>
  <si>
    <t>This research was undertaken on the NCI National Facility in Canberra, Australia, which is supported by the Australian Government. M.N. is grateful for the support from the Australian Research Council Discovery Project (DP170102162). The data used in this study are available through the NCI National Facility (project ds0 at raijin.nci.org.au) or upon request from the authors. We also thank Matthew Mazzloff and an anonymous reviewer for their comments and suggestions.</t>
  </si>
  <si>
    <t>e2019JC015420</t>
  </si>
  <si>
    <t>10.1029/2019JC015420</t>
  </si>
  <si>
    <t>WOS:000577126400004</t>
  </si>
  <si>
    <t>Rogala, MM; Gawor, J; Gromadka, R; Kowalczyk, M; Grzesiak, J</t>
  </si>
  <si>
    <t>Rogala, Malgorzata Marta; Gawor, Jan; Gromadka, Robert; Kowalczyk, Magdalena; Grzesiak, Jakub</t>
  </si>
  <si>
    <t>Biodiversity and Habitats of Polar Region Polyhydroxyalkanoic Acid-Producing Bacteria: Bioprospection by Popular Screening Methods</t>
  </si>
  <si>
    <t>psychrophiles; Nile Red; Comamonadaceae; glacier; feast; famine regime</t>
  </si>
  <si>
    <t>KING GEORGE ISLAND; NILE RED; POLYHYDROXYBUTYRATE PRODUCTION; COMMUNITY-DEVELOPMENT; ECOLOGY GLACIER; STAINING METHOD; FATTY-ACIDS; GENES; QUANTIFICATION; ADAPTATION</t>
  </si>
  <si>
    <t>Polyhydroxyalkanoates (PHAs), the intracellular polymers produced by various microorganisms as carbon and energy storage, are of great technological potential as biodegradable versions of common plastics. PHA-producing microbes are therefore in great demand and a plethora of different environments, especially extreme habitats, have been probed for the presence of PHA-accumulators. However, the polar region has been neglected in this regard, probably due to the low accessibility of the sampling material and unusual cultivation regime. Here, we present the results of a screening procedure involving 200 bacterial strains isolated from 25 habitats of both polar regions. Agar-based tests, microscopy, and genetic methods were conducted to elucidate the biodiversity and potential of polar-region PHA-accumulators. Microscopic observation of Nile Red stained cells proved to be the most reliable screening method as it allowed to confirm the characteristic bright orange glow of the Nile Red-PHA complex as well as the typical morphology of the PHA inclusions. Psychrophilic PHA-producers belonged mostly to theComamonadaceaefamily (Betaproteobacteria) although actinobacterial PHA synthesizers of the families,MicrobacteriaceaeandMicrococcaceaealso featured prominently. Glacial and postglacial habitats as well as developed polar region soils, were evaluated as promising for PHA-producer bioprospection. This study highlights the importance of psychrophiles as biodiverse and potent polyhydroxyalkanoate sources for scientific and application-aimed research.</t>
  </si>
  <si>
    <t>[Rogala, Malgorzata Marta; Grzesiak, Jakub] Polish Acad Sci, Inst Biochem &amp; Biophys, Dept Antarctic Biol, Pawinskiego 5A, PL-02106 Warsaw, Poland; [Gawor, Jan; Gromadka, Robert] Polish Acad Sci, Inst Biochem &amp; Biophys, Lab DNA Sequencing &amp; Oligonucleotide Synth, Pawinskiego 5A, PL-02106 Warsaw, Poland; [Kowalczyk, Magdalena] Polish Acad Sci, Inst Biochem &amp; Biophys, Dept Microbial Biochem, Pawinskiego 5A, PL-02106 Warsaw, Poland</t>
  </si>
  <si>
    <t>Polish Academy of Sciences; Institute of Biochemistry &amp; Biophysics - Polish Academy of Sciences; Polish Academy of Sciences; Institute of Biochemistry &amp; Biophysics - Polish Academy of Sciences; Polish Academy of Sciences; Institute of Biochemistry &amp; Biophysics - Polish Academy of Sciences</t>
  </si>
  <si>
    <t>Grzesiak, J (corresponding author), Polish Acad Sci, Inst Biochem &amp; Biophys, Dept Antarctic Biol, Pawinskiego 5A, PL-02106 Warsaw, Poland.</t>
  </si>
  <si>
    <t>m.wroblewska@ibb.waw.pl; gaworj@ibb.waw.pl; robert@ibb.waw.pl; mk@ibb.waw.pl; jgrzesiak@ibb.waw.pl</t>
  </si>
  <si>
    <t>Grzesiak, Jakub/ABD-5209-2020; Kowalczyk, Magdalena/AAX-8941-2021</t>
  </si>
  <si>
    <t>Kowalczyk, Magdalena/0000-0001-8070-2368; Rogala, Malgorzata/0000-0002-0865-8793; Grzesiak, Jakub/0000-0001-5972-2356; Gawor, Jan/0000-0003-3800-2557; Gromadka, Robert/0000-0002-9941-6692</t>
  </si>
  <si>
    <t>National Science Center, Poland [2017/24/C/NZ9/00232]</t>
  </si>
  <si>
    <t>National Science Center, Poland(National Science Centre, Poland)</t>
  </si>
  <si>
    <t>This research was funded by the National Science Center, Poland (Grant 2017/24/C/NZ9/00232).</t>
  </si>
  <si>
    <t>10.3390/genes11080873</t>
  </si>
  <si>
    <t>OA5EY</t>
  </si>
  <si>
    <t>WOS:000577809500001</t>
  </si>
  <si>
    <t>Behera, N; Swain, D; Sil, S</t>
  </si>
  <si>
    <t>Behera, Nibedita; Swain, Debadatta; Sil, Sourav</t>
  </si>
  <si>
    <t>Effect of Antarctic sea ice on chlorophyll concentration in the Southern Ocean</t>
  </si>
  <si>
    <t>Chlorophyll concentration; Antarctic sea-ice extent; Katabatic winds; Nutricline; Southern ocean; BGC-Argo</t>
  </si>
  <si>
    <t>MULTICHANNEL MICROWAVE RADIOMETER; SATELLITE-OBSERVATIONS; A CONCENTRATION; PHYTOPLANKTON; VARIABILITY; DYNAMICS; IMAGER/SOUNDER; ALGORITHMS; SUMMER; TRENDS</t>
  </si>
  <si>
    <t>Sea-ice extent is very sensitive to climate change and its minor variations can significantly affect the regional biota of the Southern Ocean (SO). Chlorophyll-a concentration (Chl-a) is a primary proxy for the understanding of phytoplankton distribution and primary productivity in the oceans. Therefore, analysing the relation between Chl-a and sea-ice extent could be significant in understanding the role of SO sea-ice extent on regional Chl-a variability. Local Chl-a variability in the SO was analysed in five major sectors, utilizing 39 years of remotely sensed sea ice and 15 years of Chl-a and Sea Surface Temperature (SST) datasets. Katabatic winds blowing offshore from the Antarctic coast were found to enhance the sea-ice extent during winter and diminish sea-ice melting in the austral summer in the SO. Thus, cold polar wind enhanced the sea-ice extent whereas warm subtropical winds reduced its formation. The Weddell Sea region showed the highest monthly averaged sea-ice extent of 6.2 x 10(6)km(2) during September (austral spring), whereas monthly averaged sea-ice extent was less than 2.9 x 10(6) km(2) for any other region. The largest sea-ice extent of 2 x 10(4)km(2) was observed in the Ross Sea during the austral summer (December, January, and February) owing to the katabatic winds. All other regions reported sea-ice extents below 1.15 x 10(4)km(2). Melting of sea ice during the austral summer was responsible for enhanced Chl-a in the SO through increased availability of nutrients in the near surface waters. Considering Chl-a as a proxy for productivity in the SO, the western sector (Weddell, Bellam and Ross Sea regions) was found to be more productive than the eastern sector (Indian and Pacific Ocean regions) during the study period. To understand the vertical variation of physical and biogeochemical variables and their influence on Chl-a variability, data from a few active Biogeochemical-Argo floats in the region were analysed. It was concluded that while the surface Chl-a was directly influenced by SST variations and sea-ice melting, the nutricline influenced the depth of Deep Chlorophyll Maximum (DCM) and Chl-a vertical distribution in the SO.</t>
  </si>
  <si>
    <t>[Behera, Nibedita; Swain, Debadatta; Sil, Sourav] Indian Inst Technol Bhubaneswar, Sch Earth Ocean &amp; Climate Sci, Argul Campus, Jatni 752050, Odisha, India</t>
  </si>
  <si>
    <t>Indian Institute of Technology System (IIT System); Indian Institute of Technology (IIT) - Bhubaneswar</t>
  </si>
  <si>
    <t>Swain, D (corresponding author), Indian Inst Technol Bhubaneswar, Sch Earth Ocean &amp; Climate Sci, Argul Campus, Jatni 752050, Odisha, India.</t>
  </si>
  <si>
    <t>dswain@iitbbs.ac.in</t>
  </si>
  <si>
    <t>Sil, Sourav/AAG-2363-2022; Sil, Sourav/AFK-3569-2022; Sil, Sourav/I-8439-2016</t>
  </si>
  <si>
    <t>Sil, Sourav/0000-0002-6846-2071; BEHERA, NIBEDITA/0000-0002-0563-8682</t>
  </si>
  <si>
    <t>Council of Scientific &amp; Industrial Research (CSIR), Govt. of India fellowship</t>
  </si>
  <si>
    <t>Council of Scientific &amp; Industrial Research (CSIR), Govt. of India fellowship(Council of Scientific &amp; Industrial Research (CSIR) - India)</t>
  </si>
  <si>
    <t>Author NB was financially supported by the Council of Scientific &amp; Industrial Research (CSIR), Govt. of India fellowship. All the data sources, namely NSIDC, GSFC, ECMWF, Coriolis and various projects contributing to it are gratefully acknowledged for making the datasets available free of cost through their websites. Infrastructure facilities provided by the Indian Institute of Technology Bhubaneswar are also thankfully acknowledged. Sincere thanks are due to the anonymous reviewers, the journal editor Prof. Kenneth Drinkwater and the entire editorial board for their very critical yet constructive comments and suggestions which have improved the manuscript significantly.</t>
  </si>
  <si>
    <t>10.1016/j.dsr2.2020.104853</t>
  </si>
  <si>
    <t>WOS:000576667900001</t>
  </si>
  <si>
    <t>Nair, A; Ghadi, P; Mohan, R; Manoj, MC; Crosta, X; Shukla, SK; Thamban, M</t>
  </si>
  <si>
    <t>Nair, Abhilash; Ghadi, Pooja; Mohan, Rahul; Manoj, M. C.; Crosta, Xavier; Shukla, Sunil K.; Thamban, Meloth</t>
  </si>
  <si>
    <t>Glacial-interglacial flux and size variability of Fragilariopsis kerguelensis and Thalassiosira lentiginosa from the Indian sector of the Southern Ocean</t>
  </si>
  <si>
    <t>Southern ocean; Indian sector; Antarctic polar front; Diatoms; Valve size; Sea-surface temperature; Terminations</t>
  </si>
  <si>
    <t>SEA-SURFACE TEMPERATURE; ATLANTIC SECTOR; LATE QUATERNARY; PHYTOPLANKTON BLOOM; CLIMATE VARIABILITY; COMMUNITY STRUCTURE; BIOGENIC OPAL; DIATOM; ICE; CIRCULATION</t>
  </si>
  <si>
    <t>The high abundances and high silicification levels of the diatoms Fragilariopsis kerguelensis (O'Meara) Hustedt and Thalassiosira lentiginosa (Janisch) Fryxell make them crucial silica carriers to the Southern Ocean (SO) seafloor. However, their efficiency as silica vectors to the ocean bottom might be modulated by important variations in their sizes, from similar to 10 mu m to similar to 100 mu m for F. kerguelensis and similar to 20 mu m- similar to 120 mu m for T. lentiginosa. Hence, it is important to understand the factors driving size variations of these key diatom species. Most studies on F. kerguelensis and T. lentiginosa size variations were conducted on fossil samples, back to 40,000 years before present (40 ka BP), and suggested climatically-controlled conditions in macro- and micro-nutrients, sea ice and sea-surface temperature (SST) as the main drivers. However, these studies were unable to document whether size variations were reproductive over several glacial-interglacial cycles. We present here the first record of F. kerguelensis and T. lentiginosa valve size and flux variations in core SK 200/33 from the Permanent Open Ocean Zone (POOZ) of the Indian sector over the last 161 ka BP (Marine Isotope Stage - MIS 1-6). Our results suggest that the smaller sizes and lower fluxes of F. kerguelensis and T. lentiginosa at the core site during glacial stages resulted from greater sea-ice extent, greater water column stratification, reduced SO upwelling, along with a northward shift of the Southern Hemisphere westerly winds. However, small differences in the sizes and fluxes of both species between the glacial stages (MIS 2 and 6) suggest slightly different environmental conditions between these two glacial periods. Our results also demonstrate large sizes and flux differences during Termination I as compared to Termination II. We relate this to a stronger SO upwelling, delivering higher amount of macroand micro-nutrients to the POOZ during Termination I as compared to Termination II. Our results therefore indicate that different factors control the sizes and fluxes of these species at different time scales.</t>
  </si>
  <si>
    <t>[Nair, Abhilash; Ghadi, Pooja; Mohan, Rahul; Thamban, Meloth] Natl Ctr Polar &amp; Ocean Res, ESSO, Vasco Da Gama 403804, Goa, India; [Manoj, M. C.; Shukla, Sunil K.] Birbal Sahni Inst Paleosci, 53 Univ Rd, Lucknow 226007, Uttar Pradesh, India; [Crosta, Xavier] Univ Bordeaux, UMR CNRS 5805 EPOC, Allee Geoffroy St Hilaire, F-33615 Pessac, France</t>
  </si>
  <si>
    <t>Ministry of Earth Sciences (MoES) - India; National Centre for Polar and Ocean Research (NCPOR); Earth System Science Organization (ESSO); Department of Science &amp; Technology (India); Birbal Sahni Institute of Palaeobotany (BSIP); Universite de Bordeaux</t>
  </si>
  <si>
    <t>Nair, A (corresponding author), Natl Ctr Polar &amp; Ocean Res, ESSO, Vasco Da Gama 403804, Goa, India.</t>
  </si>
  <si>
    <t>abhi00777@gmail.com; ghadip6@gmail.com; rahulmohangupta@gmail.com; manoj.mcm@gmail.com; xavier.crosta@u-bordeaux.fr; sunilk_shukla@bsip.res.in; tmeloth@gmail.com</t>
  </si>
  <si>
    <t>Shukla, Sunil/GLR-0323-2022</t>
  </si>
  <si>
    <t>Thamban, Meloth/0000-0003-3379-8189; Manoj, M C/0000-0001-8112-6315; Shukla, Sunil/0000-0002-7517-5564</t>
  </si>
  <si>
    <t>NCPOR; Ministry of Earth Sciences (MoES), India</t>
  </si>
  <si>
    <t>We wish to thank the Director, NCPOR, and Ministry of Earth Sciences (MoES), India, for providing the funds for the research program at NCPOR. We would also like to express our gratitude toward the members of the pilot expedition to the Southern Ocean and Polar Micropalaeontology &amp; Past Climate section, NCPOR for the contributions made toward this study. This is NCPOR contribution no. J-61/2019-20.</t>
  </si>
  <si>
    <t>10.1016/j.dsr2.2020.104746</t>
  </si>
  <si>
    <t>WOS:000576667900004</t>
  </si>
  <si>
    <t>Sabu, P; Libera, SA; Chacko, R; Anilkumar, N; Subeesh, MP; Thomas, AP</t>
  </si>
  <si>
    <t>Sabu, P.; Libera, Stephy Ann; Chacko, Racheal; Anilkumar, N.; Subeesh, M. P.; Thomas, Antony P.</t>
  </si>
  <si>
    <t>Winter water variability in the Indian Ocean sector of Southern Ocean during austral summer</t>
  </si>
  <si>
    <t>Winter Water; Anticylonic eddy; Kerguelen plateau; Southern Annular Mode; Southern Ocean</t>
  </si>
  <si>
    <t>ANTARCTIC SEA-ICE; EKMAN TRANSPORT; TEMPERATURE; CIRCULATION; FRONTS; CARBON; TRENDS; EXTENT; WIND</t>
  </si>
  <si>
    <t>Winter Water (WW) is a feature in the upper layers of the Southern Ocean during austral summer. The interaction of this cold water with surface and deeper subsurface layers can alter the heat budget as well as the carbon cycle. However, the structure and characteristics of the WW in the Southern Ocean is poorly understood due to the lack of in-situ data. In this study, hydmgraphic data collected from the Indian expeditions during 2010 and 2011 and from other expeditions during 2003, 2006 and 2007 in the Southern Ocean have been utilized to understand the WW variability and its characteristics in the region between 40 degrees E and 90 degrees E. The analysis shows large zonal variations in the distribution of WW during austral summer. East of 60 degrees E, the WW shows warmer temperature with weaker gradients than the western side, which is observed to have a larger meridional extension. The high frequency of eddies, surface warming and upwelling of the Upper Circumpolar Deep Water due to shallow bathymetric features of the Kerguelen Plateau situated in the eastern side of the study region is proposed as the major mechanisms for this variability. The direct impact of Southern Annular Mode on WW variability is investigated and a short term response is observed.</t>
  </si>
  <si>
    <t>[Sabu, P.; Chacko, Racheal; Anilkumar, N.; Subeesh, M. P.] Minist Earth Sci, Natl Ctr Polar &amp; Ocean Res, Taleigao, Goa, India; [Libera, Stephy Ann] Cochin Univ Sci Technol, Sch Marine Sci, Dept Phys Oceanog, Kochi, Kerala, India; [Thomas, Antony P.] Kerala Univ Fisheries &amp; Ocean Studies, Dept Phys Oceanog, Kochi, Kerala, India</t>
  </si>
  <si>
    <t>Ministry of Earth Sciences (MoES) - India; National Centre for Polar and Ocean Research (NCPOR); Cochin University Science &amp; Technology; Kerala University of Fisheries &amp; Ocean Studies</t>
  </si>
  <si>
    <t>Sabu, P (corresponding author), Minist Earth Sci, Natl Ctr Polar &amp; Ocean Res, Taleigao, Goa, India.</t>
  </si>
  <si>
    <t>sabu@ncpor.res.in</t>
  </si>
  <si>
    <t>Thomas, Antony/0000-0003-3609-2843; Chacko, Racheal/0000-0002-0205-776X; M. P, Subeesh/0000-0001-9051-7916; Libera, Stephy/0000-0003-1730-4572</t>
  </si>
  <si>
    <t>This work was supported by the Ministry of Earth Sciences, Government of India. We are thankful to the Director of National Centre for Polar and Ocean Research (NCPOR) for constant support and encouragement. Help rendered by cruise participants and the NCPOR staff for the implementation and successful completion of this study is acknowledged. The hydrographic data IO8S_2003 (Chief scientists-John Church and Steve Nicol) are available at https://cchdo.ucsd.edu/cruise/09AR20030103, S04I (Chief Scientist-Mark Rosenberg) are available at https://cchdo.ucsd.edu/cruise/09AR20060102 and IO8S_2007 (Chief scientists-James H. Swift and Annie Wong) are available at https://cch do.ucsd.edu/cruise/33RR20070204. We would like to acknowledge the U.S Repeat hydrography program for hydrographydata. This is NCPOR contribution number J-49/2020-21.</t>
  </si>
  <si>
    <t>10.1016/j.dsr2.2020.104852</t>
  </si>
  <si>
    <t>WOS:000576667900003</t>
  </si>
  <si>
    <t>Morozov, EG; Frey, DI; Fofanov, DV; Krechik, VA; Tarakanov, RY; Vinokurov, DL</t>
  </si>
  <si>
    <t>Morozov, E. G.; Frey, D., I; Fofanov, D., V; Krechik, V. A.; Tarakanov, R. Yu; Vinokurov, D. L.</t>
  </si>
  <si>
    <t>The extreme northern jet of the Antarctic Circumpolar Current</t>
  </si>
  <si>
    <t>Antarctic Circumpolar Current; northern jet; CTD measurements; shipborne ADCP; Drake Passage</t>
  </si>
  <si>
    <t>DRAKE PASSAGE; SECTION; SOUTH</t>
  </si>
  <si>
    <t>We analyze the location of the extreme northern jet of the Antarctic Circumpolar Current based on the measurements in cruise 79 of the R/V Akademik Mstislav Keldysh to the region of the Drake Passage in February-March 2020. The jet occupies a position over the slope of Tierra del Fuego Island over a depth range of 400-600 m based on the measurements along four sections using the shipborne SADCP and CTD/LADCP casts. The width of this coastal jet is about 15-20 km. It penetrates to the depths of 200-300 m. The jet follows the direction of isobaths. Velocities in the jet reach 40 cm/s. It is likely that this jet is a local one and does not continue along the entire circle around Antarctica, but based on the satellite data of the absolute dynamical topography (ADT) this jet continues into the shallow region between Tierra del Fuego and Falkland Islands.</t>
  </si>
  <si>
    <t>[Morozov, E. G.; Frey, D., I; Fofanov, D., V; Krechik, V. A.; Tarakanov, R. Yu; Vinokurov, D. L.] RAS, Shirshov Inst Oceanol, 36 Nakhimovsky Prospect, Moscow 117997, Russia</t>
  </si>
  <si>
    <t>Morozov, EG (corresponding author), RAS, Shirshov Inst Oceanol, 36 Nakhimovsky Prospect, Moscow 117997, Russia.</t>
  </si>
  <si>
    <t>Frey, Dmitry/AAD-3366-2021; Morozov, Eugene G/L-3023-2018; Tarakanov, Roman/R-3325-2016; Frey, Dmitry/X-9812-2018; Krechik, Viktor/J-9941-2016</t>
  </si>
  <si>
    <t>Frey, Dmitry/0000-0001-8141-9513; Tarakanov, Roman/0000-0002-8711-1859; Krechik, Viktor/0000-0001-6440-060X; Vinokurov, Dmitrii/0009-0001-1047-6139</t>
  </si>
  <si>
    <t>Russian Science Foundation [16-17-10149]; [0128-2019-0008]; Russian Science Foundation [19-17-13021] Funding Source: Russian Science Foundation</t>
  </si>
  <si>
    <t>This research was performed in the framework of the state assignment of Russia (theme No. 0128-2019-0008). The work was supported by the Russian Science Foundation (grant no. 16-17-10149).</t>
  </si>
  <si>
    <t>AUG-SEP</t>
  </si>
  <si>
    <t>ES5004</t>
  </si>
  <si>
    <t>10.2205/2020ES000717</t>
  </si>
  <si>
    <t>NY9BX</t>
  </si>
  <si>
    <t>WOS:000576680100004</t>
  </si>
  <si>
    <t>Ma, B; Hu, Y; Shang, ZH; Hu, KL; Wang, YJ; Yang, X; Ashley, MCB; Yuan, XY; Wang, LF</t>
  </si>
  <si>
    <t>Ma, Bin; Hu, Yi; Shang, Zhaohui; Hu, Keliang; Wang, Yongjiang; Yang, Xu; Ashley, Michael C. B.; Yuan, Xiangyan; Wang, Lifan</t>
  </si>
  <si>
    <t>Automation of the AST3 optical sky survey from Dome A, Antarctica</t>
  </si>
  <si>
    <t>instrumentation: miscellaneous; methods: data analysis; methods: miscellaneous; methods: observational; techniques: image processing; software: development</t>
  </si>
  <si>
    <t>SITE</t>
  </si>
  <si>
    <t>The 0.5-m Antarctic Survey Telescopes (AST3) were designed for time-domain optical/infrared astronomy. They are located in Dome A, Antarctica, where they can take advantage of the continuous dark time during winter. Since the site is unattended in winter, everything for the operation, from observing to data reduction, had to be fully automated. Here, we present a brief overview of the AST3 project and some of its unique characteristics due to its location in Antarctica. We summarize the various components of the survey, including the customized hardware and software, that make complete automation possible.</t>
  </si>
  <si>
    <t>[Ma, Bin; Hu, Yi; Shang, Zhaohui; Hu, Keliang; Wang, Yongjiang; Yang, Xu] Chinese Acad Sci, Natl Astron Observ, Beijing 100101, Peoples R China; [Shang, Zhaohui] Tianjin Normal Univ, Tianjin Astrophys Ctr, Tianjin 300387, Peoples R China; [Ashley, Michael C. B.] Univ New South Wales, Sch Phys, Kensington, NSW 2052, Australia; [Yuan, Xiangyan] Nanjing Inst Astron Opt &amp; Technol, Nanjing 210042, Peoples R China; [Wang, Lifan] Purple Mt Observ, Nanjing 210008, Peoples R China</t>
  </si>
  <si>
    <t>Chinese Academy of Sciences; National Astronomical Observatory, CAS; Tianjin Normal University; University of New South Wales Sydney; Chinese Academy of Sciences; Nanjing Institute of Astronomical Optics &amp; Technology, NAOC, CAS; Purple Mountain Observatory, CAS; Chinese Academy of Sciences; Nanjing Institute of Astronomical Optics &amp; Technology, NAOC, CAS</t>
  </si>
  <si>
    <t>Shang, ZH (corresponding author), Chinese Acad Sci, Natl Astron Observ, Beijing 100101, Peoples R China.;Shang, ZH (corresponding author), Tianjin Normal Univ, Tianjin Astrophys Ctr, Tianjin 300387, Peoples R China.</t>
  </si>
  <si>
    <t>zshang@gmail.com</t>
  </si>
  <si>
    <t>LIU, JIALIN/JXN-8034-2024; Liu, yuqing/KEI-3260-2024</t>
  </si>
  <si>
    <t>hu, yi/0000-0003-3317-4771; Shang, Zhaohui/0000-0002-6796-124X; Wang, Yongjiang/0000-0002-9476-3011</t>
  </si>
  <si>
    <t>National Basic Research Program (973 Program) of China [2013CB834900]; Chinese Polar Environment Comprehensive Investigation &amp; Assessment Program [CHINARE2016-02-03]; National Natural Science Foundation of China (NSFC) [11003027, 11203039, 11273019, 11403057, 11403048, 11733007]; Australian Antarctic Division; National Collaborative Research Infrastructure Strategy (NCRIS)</t>
  </si>
  <si>
    <t>National Basic Research Program (973 Program) of China(National Basic Research Program of China); Chinese Polar Environment Comprehensive Investigation &amp; Assessment Program; National Natural Science Foundation of China (NSFC)(National Natural Science Foundation of China (NSFC)); Australian Antarctic Division; National Collaborative Research Infrastructure Strategy (NCRIS)(Australian GovernmentDepartment of Industry, Innovation and Science)</t>
  </si>
  <si>
    <t>The authors deeply appreciate the CHINARE for their continuous support of astronomy at Dome A. This study has been supported by the National Basic Research Program (973 Program) of China (grant no. 2013CB834900), the Chinese Polar Environment Comprehensive Investigation &amp; Assessment Program (grant no. CHINARE2016-02-03), and the National Natural Science Foundation of China (NSFC) (grant nos. 11003027, 11203039, 11273019, 11403057, 11403048, and 11733007). PLATO-A is supported by a grant from the Australian Antarctic Division, and the National Collaborative Research Infrastructure Strategy (NCRIS) scheme administered by Astronomy Australia Limited.</t>
  </si>
  <si>
    <t>10.1093/mnras/staa1730</t>
  </si>
  <si>
    <t>NW3OH</t>
  </si>
  <si>
    <t>WOS:000574919300003</t>
  </si>
  <si>
    <t>Parli, BV; Dessai, DRG; Anilkumar, N; Chacko, R; Pavithran, S</t>
  </si>
  <si>
    <t>Parli, Bhaskar, V; Dessai, Deepti R. G.; Anilkumar, N.; Chacko, Racheal; Pavithran, Sini</t>
  </si>
  <si>
    <t>Meridional variations in N* and Si* along 57°30′E and 47°E transects in the indian sector of the Southern Ocean during austral summer 2011</t>
  </si>
  <si>
    <t>Nutrients; Geochemical tracers; Productivity; Fronts; Southern ocean</t>
  </si>
  <si>
    <t>ELEMENTAL STOICHIOMETRY; PRIMARY PRODUCTIVITY; NUTRIENT DEPLETION; IRON AVAILABILITY; WATER MASSES; POLAR FRONT; PHYTOPLANKTON; NITRATE; NITROGEN; RATIOS</t>
  </si>
  <si>
    <t>The variations in nutrient utilization in the euphotic layer was studied using geochemical tracers N* (NO3- -16PO(4)(3-)) and Si* (Si(OH)(4) - NO3-) along two transect 57 degrees 30'E (T1) and 47 degrees E (T2) during austral summer 2011 in the Indian Ocean sector of the Southern Ocean. Seawater samples collected from 8 depths within the euphotic zone (upper 200 m) along two meridional transects were analysed for nitrate, nitrite, silicate, phosphate and chlorophyll a (chl a). Clear meridional differences in nutrient limitation were observed along the two transects. Depletion of silicate at Antarctic Zone (AZ) stations was 1.6 times higher in T1 than in T2. Significant inverse correlations were observed for N* (p &lt; 0.0001) and Si* (p &lt; 0.001) values with temperature and salinity implying that redistribution of preformed nutrients was influenced by hydrography. However, significant variances in Si* (p &lt; 0.001 at SSTF and p &lt; 0.01 at PF-2) along the two transects could be attributed to differential uptake of silica by phytoplankton. Low Si* values were obtained at Polar Front 1 (PF1) and South Subtropical Front (SSTF) along T1 and from Sub Antarctic Front (SAF) to Polar Frontal Zone (PFZ) along T2. Although hydmgraphy did have inverse correlation with tracers, the observed values indicate high consumption of silicate. Relatively higher Si* values in the north of SSTF coincided with lower abundance of diatoms in these waters. Conversely, high Si* values and abundance of diatoms at Antarctic Zone (AZ) indicate less consumption of Si. The biological consumption of nitrate was more clearly discerned in the northern region where nitrogen strongly limits the productivity both along T1 (39 degrees S and the Agulhas Retroflection Front (ARF)) and T2 (40 degrees S). Our observations suggest that much of the tracer distribution in these waters can be explained by the dominant phytoplankton groups, but influence of other biotic components on nutrient tracer distribution cannot be ruled out.</t>
  </si>
  <si>
    <t>[Parli, Bhaskar, V; Dessai, Deepti R. G.; Anilkumar, N.; Chacko, Racheal; Pavithran, Sini] Minist Earth Sci, Natl Ctr Polar &amp; Ocean Res NCPOR, Headland Sada 403804, Goa, India</t>
  </si>
  <si>
    <t>Parli, BV (corresponding author), Minist Earth Sci, Natl Ctr Polar &amp; Ocean Res NCPOR, Headland Sada 403804, Goa, India.</t>
  </si>
  <si>
    <t>bhaskar@ncpor.res.in</t>
  </si>
  <si>
    <t>Parli, Bhaskar/D-3652-2019</t>
  </si>
  <si>
    <t>Parli, Bhaskar/0000-0002-0654-7520; Chacko, Racheal/0000-0002-0205-776X</t>
  </si>
  <si>
    <t>Ministry of Earth Sciences, Govt. of India; Kenneth Drinkwater</t>
  </si>
  <si>
    <t>We acknowledge the Ministry of Earth Sciences, Govt. of India for financial support for the project on Hydrodynamics and Biogeochemistry of the Indian sector of Southern Ocean, under which the current work was carried out. We thank the Director, National Centre for Polar and Ocean Research, for providing the necessary facilities and support. The authors are extremely grateful to the 3 anonymous reviewers whose comments and criticism helped to improve the quality of the article. The authors acknowledge the support of Kenneth Drinkwater during the review process. The authors also acknowledge the Captain and crew of TDV Sagar Nidhi for onboard support. This is NCAOR contribution no J47/2020-21.</t>
  </si>
  <si>
    <t>10.1016/j.dsr2.2020.104846</t>
  </si>
  <si>
    <t>NU6YR</t>
  </si>
  <si>
    <t>WOS:000573788300005</t>
  </si>
  <si>
    <t>Shaeb, KHB; Biswadip, G; Dutta, D; Choudhury, SB; Seshasai, MVR</t>
  </si>
  <si>
    <t>Shaeb, K. Hareef baba; Biswadip, G.; Dutta, D.; Choudhury, S. B.; Seshasai, M. V. R.</t>
  </si>
  <si>
    <t>Spatial variability of the aerosol optical thickness over Southern Ocean and coastal Antarctica: Comparison with MODIS and MERRA-2 aerosol products</t>
  </si>
  <si>
    <t>Aerosol optical thickness; Southern ocean; MODIS; Angstrom parameter; Sunphotometer; MERRA-2</t>
  </si>
  <si>
    <t>SEA-SALT; BLACK CARBON; ATMOSPHERIC AEROSOL; GLOBAL DISTRIBUTION; INDIAN-OCEAN; DEPTH; SUMMER; HETEROGENEITY; RETRIEVALS; ATLANTIC</t>
  </si>
  <si>
    <t>Aerosols scatter or absorb incoming solar radiation and alter the earth's radiation budget. The Southern Ocean provides an excellent environment to study the natural/background aerosols and teleconnection with other regions of the world through long-range transport. Measurements of Aerosol Optical Thickness (AOT) (in the wavelength range 380-1020 nm) have been carried out during a 10th Southern Ocean expedition, between 20 degrees-67 degrees S, during December 2017-February 2018, onboard chartered ice-class vessel SA Agulhas. AOT (500 nm) in the range similar to 0.04-0.17 and an Angstrom parameter (alpha) (turbidity coefficient (beta)) in the range similar to 0.03-1.29 (0.02-0.05) were observed and values decrease with the increase in latitude towards the Antarctic coast, indicative of a clean environment. AOT versus a scatter plot reveals broadly two classes, fine mode and coarse mode but exhibits different optical properties in the Southern Ocean and Antarctic coast. The HYSPLIT air mass back trajectory analysis shows that for the measurement location between 30 degrees - 60 degrees S, the origin of air masses is from the South Atlantic Ocean, whereas measurement locations between 60 degrees-70 degrees S are influenced by sources from Antarctica with no long-range transport of aerosols from other significant landmasses. The AOT data south of 30 degrees is sparse and ship-based data are the only source to validate satellite and modelled AOT. Comparison of sunphotometer AOT with collection 6.1 MODIS (TERRA) AOT reveals a Mean Bias Error (MBE) in the range -0.01 to -0.1 and Root Mean Square Error (RMSE) in the range 0.02- to 0.1. Similarly, comparison with MERRA-2 reanalysis AOT shows the MBE (RMSE) in the range 0 to -0.11 (0.02-0.11). Both the MODIS (TERRA) and MERRA-2 reanalysis are found to underestimate AOT and show maximum errors (in terms of MBE and RMSE) in the 50 degrees S-60 degrees S latitude band.</t>
  </si>
  <si>
    <t>[Shaeb, K. Hareef baba; Biswadip, G.; Dutta, D.; Choudhury, S. B.; Seshasai, M. V. R.] Govt India, Natl Remote Sensing Ctr, Earth &amp; Climate Sci Area, Dept Space, Shadnagar, India</t>
  </si>
  <si>
    <t>Department of Space (DoS), Government of India; Indian Space Research Organisation (ISRO); National Remote Sensing Centre (NRSC)</t>
  </si>
  <si>
    <t>Shaeb, KHB (corresponding author), Govt India, Natl Remote Sensing Ctr, Earth &amp; Climate Sci Area, Dept Space, Shadnagar, India.</t>
  </si>
  <si>
    <t>babaphyiway@gmail.com</t>
  </si>
  <si>
    <t>K, H/JEZ-2854-2023; K, hareef baba shaeb/ABI-7013-2020</t>
  </si>
  <si>
    <t>10.1016/j.dsr2.2020.104776</t>
  </si>
  <si>
    <t>WOS:000573788300001</t>
  </si>
  <si>
    <t>Soares, MA; Bhaskar, PV; Anilkumar, N; Naik, RK; George, JV; Mishra, RK; Dessai, DG</t>
  </si>
  <si>
    <t>Soares, Melena A.; Bhaskar, Parli, V; Anilkumar, N.; Naik, Ravidas K.; George, Jenson, V; Mishra, Rajani Kanta; Dessai, Deepti G.</t>
  </si>
  <si>
    <t>Characteristics of particulate organic matter within the photic water column: A case study across the fronts in the indian sector of the Southern Ocean</t>
  </si>
  <si>
    <t>Particulate organic matter; Autotrophy; Heterotrophy; Subtropical front; Polar front; Southern ocean</t>
  </si>
  <si>
    <t>CHLOROPHYLL MAXIMUM LAYER; CARBON ISOTOPIC COMPOSITION; ANTARCTIC SEA-ICE; AUSTRAL SUMMER; SURFACE-WATER; FOOD-WEB; SUBTROPICAL CONVERGENCE; PHYTOPLANKTON GROWTH; TROPHIC STRUCTURE; EXPORT PRODUCTION</t>
  </si>
  <si>
    <t>During austral summer 2012, seawater samples were collected from the upper 120 m of the water column, across the frontal zones in the Indian Ocean sector of the Southern Ocean. Suspended particulate organic matter from seawater was characterised, from its organic carbon and nitrogen content, and delta C-13((POM)) There was a marked difference in delta C-13((POM)) across the three frontal zones. It was depleted from the Subtropical frontal zone (-24.48 +/- 1.94 parts per thousand) to the Subantarctic frontal zone (-25.53 +/- 0.62 parts per thousand) and the Polar frontal zone (-26.69 +/- 1.22 parts per thousand). Within the water column, Particulate Organic Carbon (POC) and Particulate Nitrogen (PN) decreased with depth, especially below the deep chlorophyll maxima. Principal Component Analysis of delta C-13((POM)) and the environmental variables showed two clusters, one cluster, within the Subtropical and Subantarctic frontal zones, whereas the other cluster was in the Polar frontal zone. Statistical analysis of delta C-13 with particulate organic carbon, nitrogen, apparent oxygen utilization, chlorophyll a and phytoplankton community, indicated that biological community structure strongly influenced the particulate organic matter characteristics in the upper water column. The study also revealed that both autotrophic and heterotrophic processes play a significant role in the waters of the Subtropical and Subantarctic frontal zones. Furthermore, physical factors like eddies and advection influence the community structure and food web dynamics of the region. However, in the Polar frontal zone, autotrophic processes were dominant, supported by the abundance of nutrients and prevalence of larger phytoplankton community (diatoms).</t>
  </si>
  <si>
    <t>[Soares, Melena A.; Bhaskar, Parli, V; Anilkumar, N.; Naik, Ravidas K.; George, Jenson, V; Mishra, Rajani Kanta; Dessai, Deepti G.] Minist Earth Sci, Natl Ctr Polar &amp; Ocean Res, Vasco Da Gama, Goa, India</t>
  </si>
  <si>
    <t>Soares, MA (corresponding author), Minist Earth Sci, Natl Ctr Polar &amp; Ocean Res, Vasco Da Gama, Goa, India.</t>
  </si>
  <si>
    <t>melena@ncpor.res.in</t>
  </si>
  <si>
    <t>George, Jenson/GXH-1342-2022; Parli, Bhaskar/D-3652-2019</t>
  </si>
  <si>
    <t>Parli, Bhaskar/0000-0002-0654-7520</t>
  </si>
  <si>
    <t>The authors would like to acknowledge the Director of NCPOR for the continued support of the Indian Southern Ocean Program. Our sincere thanks to the Ministry of Earth Sciences, India for funding this program. The authors also acknowledge Dr. Manish Tiwari and Mr. Siddesh Nagoji, for facilitating and carrying out IRMS analysis at MASTIL lab in NCPOR. The authors would like to thank Dr. C.T. Achuthankutty, expedition leader of ISOE-2012, for the support and leadership during the expedition. M. Soares, thanks Dr. Rajdeep Roy (NRSC) for his help. This is NCPOR's contribution number J-46/2020-21.</t>
  </si>
  <si>
    <t>10.1016/j.dsr2.2020.104851</t>
  </si>
  <si>
    <t>WOS:000573788300003</t>
  </si>
  <si>
    <t>Mishra, RK; Naik, RK; Venkataramana, V; Jena, B; AnilKumar, N; Soares, MA; Sarkar, A; Singh, A</t>
  </si>
  <si>
    <t>Mishra, R. K.; Naik, R. K.; Venkataramana, V.; Jena, Babula; AnilKumar, N.; Soares, Melena A.; Sarkar, Amit; Singh, Archana</t>
  </si>
  <si>
    <t>Phytoplankton biomass and community composition in the frontal zones of Southern Ocean</t>
  </si>
  <si>
    <t>Phytoplankton; Chlorophyll-a; Community; Diagnostic pigments; Southern ocean</t>
  </si>
  <si>
    <t>ANTARCTIC CIRCUMPOLAR CURRENT; BASIN-SCALE VARIABILITY; SURFACE PHYTOPLANKTON; PHAEOCYSTIS BLOOMS; MEDITERRANEAN SEA; ATLANTIC-OCEAN; CHLOROPHYLL-A; PIGMENTS; LIGHT; PROCHLOROCOCCUS</t>
  </si>
  <si>
    <t>Phytoplankton biomass (chlorophyll-a) and community structure in the water column was analyzed across various frontal regions in the Subtropical Front (STF), Sub-Antarctic Front (SAF), Polar Front-1 (PF1) and Polar Front-2 (PF2) in the Indian Ocean sector of the Southern Ocean (SO) during the austral summer (January-February) of 2013 and 2015. The surface chlorophyll-a (Chl-a) was maximum in PF1 (0.77mg m(-3)) followed by the SAF (0.5 mg m(-3)), STF (0.26 mg m(-3)) and PF2 (0.21 mg m(-3)) in 2013. The Chl-a was maximum in the SAF (0.56 mg m(-3)) followed by PF1 (0.32 mg m(-3)), PF2 (0.28 mg m(-3)) and STF (0.20 mg m(-3)) during 2015, indicating that the average surface biomass was higher in 2013. The deep chlorophyll maximum (DCM) was located at 50 m in STF and SAF for 2013 and 2015 and was found at 75 m (100 m) in PF1 (PF2) during 2013. The diagnostic pigment (DP) index indicated that diatoms in the surface and water column increased from the STF to the PF. In contrast, smaller cell community flagellates and prokaryotes decreased from the STF to PF. Diatoms consistently increased from the surface to 120 m in SAF and PF, whereas flagellates were uniformly distributed throughout the water column. Prokaryotes were consistently distributed down to the DCM level and then progressively declined towards deeper regions. The nitrate (NO3 ), phosphate (PO34-) and silicate (SiO4) increased considerably from the STF to PF through SAF. Results indicate the biomass and community variation in the frontal regions were due to the influence of physical, chemical, and biological processes under varied environmental conditions.</t>
  </si>
  <si>
    <t>[Mishra, R. K.; Naik, R. K.; Venkataramana, V.; Jena, Babula; AnilKumar, N.; Soares, Melena A.; Sarkar, Amit; Singh, Archana] Minist Earth Sci, Natl Ctr Polar &amp; Ocean Res NCPOR, Vasco Da Ganma, Goa, India</t>
  </si>
  <si>
    <t>Mishra, RK (corresponding author), Minist Earth Sci, Natl Ctr Polar &amp; Ocean Res NCPOR, Vasco Da Ganma, Goa, India.</t>
  </si>
  <si>
    <t>rajanimishra@ncpor.res.in</t>
  </si>
  <si>
    <t>Singh, Archana/ABB-2205-2020</t>
  </si>
  <si>
    <t>Singh, Archana/0000-0002-4878-8429; Venkataramana, Vankara/0000-0002-3925-015X</t>
  </si>
  <si>
    <t>Ministry of Earth Sciences (MoES), Government of India</t>
  </si>
  <si>
    <t>Ministry of Earth Sciences (MoES), Government of India(Ministry of Earth Science (MoES), Government of India)</t>
  </si>
  <si>
    <t>The authors thank the Ministry of Earth Sciences (MoES), Government of India for the financial support. The authors also thank the Director, National Centre for Polar and Ocean Research (NCPOR) for continued inspiration and encouragement. We appreciate all the staff members of the vessel management cell (VMC), NIOT, officers and crew of the ORV Sagar-Nidhi, who helped in the logistic and scientific operations on-board during the Indian scientific expedition to the Southern Ocean. We thank the Editor Kenneth Drinkwater, Deep Sea Research Part II for his critical review and suggestions made to improve the language in this manuscript. NCPOR Contribution number is J-21 /2020-21.</t>
  </si>
  <si>
    <t>10.1016/j.dsr2.2020.104799</t>
  </si>
  <si>
    <t>NU2LF</t>
  </si>
  <si>
    <t>WOS:000573472600002</t>
  </si>
  <si>
    <t>Prakash, P; Prakash, S; Ravichandran, M; Bhaskar, TVSU; Kumar, NA</t>
  </si>
  <si>
    <t>Prakash, Prince; Prakash, Satya; Ravichandran, M.; Bhaskar, T. V. S. Udaya; Kumar, N. Anil</t>
  </si>
  <si>
    <t>Seasonal evolution of chlorophyll in the Indian sector of the Southern Ocean: Analyses of Bio-Argo measurements</t>
  </si>
  <si>
    <t>Chlorophyll-a; Southern ocean; Critical depth; Summer; Mixed layer depth</t>
  </si>
  <si>
    <t>SUB-ANTARCTIC ZONE; PHYTOPLANKTON BIOMASS; POLAR FRONT; MIXED-LAYER; IRON; PRODUCTIVITY; PHENOLOGY; SVERDRUP; MAXIMUM</t>
  </si>
  <si>
    <t>To better understand the impact of climate change on the Southern Ocean (SO) biogeochemistry, we must know the evolution of the seasonal cycle of biological properties. Here we present the first estimate of the seasonal evolution of chlorophyll-a (Chl-a) along oceanic fronts in the Indian sector of SO using Bio-Argo float observations. The present study is based on data collected using three such floats deployed in the frontal zones. The high productivity is usually attributed to the upwelling of nutrient-enriched subsurface water, the supply of dissolved iron to the ocean surface and their horizontal advection. Our analysis shows that the seasonal evolution of Chl-a is similar in all the three frontal regions, namely Sub-Tropical front (STF), Sub-Antarctic Front (SAF) and Polar Front (PF). We also found that shoaling of the Mixed Layer Depth (MLD) above the critical depth, owing to an increase in light exposure during spring, triggers the initiation of the spring bloom.</t>
  </si>
  <si>
    <t>[Prakash, Prince; Ravichandran, M.; Kumar, N. Anil] Minist Earth Sci, Natl Ctr Polar &amp; Ocean Res, Vasco Da Gama, Goa, India; [Prakash, Satya; Bhaskar, T. V. S. Udaya] Minist Earth Sci, Indian Natl Ctr Ocean Informat Serv, Hyderabad, India</t>
  </si>
  <si>
    <t>Ministry of Earth Sciences (MoES) - India; National Centre for Polar and Ocean Research (NCPOR); Ministry of Earth Sciences (MoES) - India; Indian National Centre for Ocean Information Services (INCOIS)</t>
  </si>
  <si>
    <t>Prakash, P (corresponding author), Minist Earth Sci, Natl Ctr Polar &amp; Ocean Res, Vasco Da Gama, Goa, India.</t>
  </si>
  <si>
    <t>prakash@ncpor.res.in</t>
  </si>
  <si>
    <t>Prakash, Satya/HNS-9397-2023; prakash, prince/HTT-2725-2023</t>
  </si>
  <si>
    <t>10.1016/j.dsr2.2020.104791</t>
  </si>
  <si>
    <t>WOS:000573472600003</t>
  </si>
  <si>
    <t>Sajikumar, KK; Ragesh, N; Sabu, P; Sasikumar, G; Mohamed, KS</t>
  </si>
  <si>
    <t>Sajikumar, Kurichithara K.; Ragesh, N.; Sabu, P.; Sasikumar, Geetha; Mohamed, Kolliyil S.</t>
  </si>
  <si>
    <t>Distribution, abundance and growth of early stages of the glass squid Galiteuthis glacialis (Cephalopoda: Cranchiidae) captured in Prydz Bay, Antarctica during austral summer</t>
  </si>
  <si>
    <t>Age and growth; Antarctica; Prydz Bay; Statolith; Glass squid; Paralarvae</t>
  </si>
  <si>
    <t>EARLY-LIFE STAGES; STATOLITH MICROSTRUCTURE; WEDDELL SEA; AGE; ICE; OMMASTREPHIDAE; PARALARVAE; OEGOPSIDA; BIOLOGY; REGION</t>
  </si>
  <si>
    <t>We describe the distribution, abundance and growth of the paralarvae and juveniles of the glass squid Galiteuthis glacialis which were collected from tows conducted at 500 m depth in Prydz Bay, Antarctica by using an Isaacs Kidd Midwater Trawl (IKMT). Paralarvae occurred in an area from 57 degrees S to 65 degrees 30' S and 57 degrees-66 degrees E. Early juveniles co-occurred with paralarvae at 57 degrees-65 degrees 30' S and 57 degrees 37' E to 64 degrees 56' E. Age of individuals was estimated based on statolith increment counts and ranged from 47 to 85 days with a daily growth rate ranging from 0.13 to 0.25 mm dorsal mantle length (DML)/day (mean 0.18 mm) for paralarvae. The early juveniles had an age of 85-103 days with a slightly faster growth rate ranging from 0.21 to 0.27 mm DML/day (mean 0.24 mm). The presence of paralarve of G. glacialis at the outer continental shelf edge of Prydz Bay during austral summer indicates a spawning site in this area.</t>
  </si>
  <si>
    <t>[Sajikumar, Kurichithara K.; Ragesh, N.; Sasikumar, Geetha; Mohamed, Kolliyil S.] ICAR Cent Marine Fisheries Res Inst, POB 1603, Kochi 682018, Kerala, India; [Sabu, P.] Govt India, ESSO Natl Ctr Polar &amp; Ocean Res, Minist Earth Sci, Vasco Da Gama, Goa, India</t>
  </si>
  <si>
    <t>Indian Council of Agricultural Research (ICAR); ICAR - Central Marine Fisheries Research Institute; Ministry of Earth Sciences (MoES) - India; National Centre for Polar and Ocean Research (NCPOR)</t>
  </si>
  <si>
    <t>Sajikumar, KK (corresponding author), ICAR Cent Marine Fisheries Res Inst, POB 1603, Kochi 682018, Kerala, India.</t>
  </si>
  <si>
    <t>sajikumar.kk@icar.gov.in</t>
  </si>
  <si>
    <t>Mohamed, Kolliyil/AAU-5142-2021</t>
  </si>
  <si>
    <t>Mohamed, Kolliyil/0000-0002-7720-4090</t>
  </si>
  <si>
    <t>National Centre for Polar and Ocean Research (NCPOR), Ministry of Earth Sciences, Goa, India; ICAR-Central Marine Fisheries Research Institute, Kochi, India</t>
  </si>
  <si>
    <t>The present investigation was carried out as part of the 10th Indian Expedition to Southern Ocean/Antarctic waters 2017-18 conducted by National Centre for Polar and Ocean Research (NCPOR), Goa, India. Authors are thankful to the Head, Ocean Science Department Dr. Anil Kumar N and Chief Scientist Dr. Rajani Kanta Mishra of the Expedition for their cooperation throughout the expedition. The authors are grateful to the Director, ICAR-Central Marine Fisheries Research Institute, Kochi, India for the encouragement and support during the study. This work was funded by the National Centre for Polar and Ocean Research (NCPOR), Ministry of Earth Sciences, Goa, India and ICAR-Central Marine Fisheries Research Institute, Kochi, India.</t>
  </si>
  <si>
    <t>10.1016/j.dsr2.2020.104783</t>
  </si>
  <si>
    <t>WOS:000573472600004</t>
  </si>
  <si>
    <t>Skogseth, R; Olivier, LLA; Nilsen, F; Falck, E; Fraser, N; Tverberg, V; Ledang, AB; Vader, A; Jonassen, MO; Soreide, J; Cottier, F; Berge, J; Ivanov, BV; Falk-Petersen, S</t>
  </si>
  <si>
    <t>Skogseth, R.; Olivier, L. L. A.; Nilsen, F.; Falck, E.; Fraser, N.; Tverberg, V; Ledang, A. B.; Vader, A.; Jonassen, M. O.; Soreide, J.; Cottier, F.; Berge, J.; Ivanov, B., V; Falk-Petersen, S.</t>
  </si>
  <si>
    <t>Variability and decadal trends in the Isfjorden (Svalbard) ocean climate and circulation - An indicator for climate change in the European Arctic</t>
  </si>
  <si>
    <t>Oceanography; TSD distribution, water masses and circulation; Ocean circulation and currents; Nearshore dynamics; Tides, surges and sea level; Atlantic Water intrusion; Arctic Ocean, Svalbard, West Spitsbergen Shelf; Isfjorden</t>
  </si>
  <si>
    <t>SEA-ICE COVER; ATLANTIC WATER; WEST SPITSBERGEN; HEAT DELIVERY; FJORD; INFLOW; DRIVEN; SHELF; ADVENTFJORDEN; KONGSFJORDEN</t>
  </si>
  <si>
    <t>Isfjorden, a broad Arctic fjord in western Spitsbergen, has shown significant changes in hydrography and inflow of Atlantic Water (AW) the last decades that only recently have been observed in the Arctic Ocean north of Svalbard. Variability and trends in this fjord's climate and circulation are therefore analysed from observational and reanalysis data during 1987 to 2017. Isfjorden experienced a shift in summer ocean structure in 2006, from AW generally in the bottom layer to AW (with increasing thickness) higher up in the water column. This shift, and a concomitant shift to less fast ice in Isfjorden are linked to positive trends in the mean sea surface temperature (SST) and volume weighted mean temperature (VT) in winter (SSTw/VTw: 0.7 +/- 0.1/0.9 +/- 0.3 degrees C 10 yr(-1)) and summer (SSTS/VTS: 0.7 +/- 0.1/0.6 +/- 0.1 degrees C 10 yr(-1)). Hence, the local mean air temperature shows similar trends in winter (1.9 +/- 0.4 degrees C 10 yr(-1)) and summer (0.7 +/- 0.1 degrees C 10 yr(-1)). Positive trends in volume weighted mean salinity in winter (0.21 +/- 0.06 10 yr(-1)) and summer (0.07 +/- 0.05 10 yr(-1)) suggest increased AW advection as a main reason for Isgorden's climate change. Local mean air temperature correlates significantly with sea ice cover, SST, and VT, revealing the fjord's impact on the local terrestrial climate. In line with the shift in summer ocean structure, Isfjorden has changed from an Arctic type fjord dominated by Winter Deep and Winter Intermediate thermal and haline convection, to a fjord dominated by deep thermal convection of Atlantic type water (Winter Open). AW indexes for the mouth and Isfjorden proper show that AW influence has been common in winter over the last decade. Alternating occurrence of Arctic and Atlantic type water at the mouth mirrors the geostrophic control imposed by the Spitsbergen Polar Current (carrying Arctic Water) relative to the strength of the Spitsbergen Trough Current (carrying AW). During high AW impact events, Atlantic type water propagates into the fjord according to the cyclonic circulation along isobaths corresponding to the winter convection. Tides play a minor role in the variance in the currents, but are important in the side fjords where exchange with the warmer Isfjorden proper occurs in winter. This study demonstrates that Isfjorden and its ocean climate can be used as an indicator for climate change in the Arctic Ocean. The used methods may constitute a set of helpful tools for future studies also outside the Svalbard Archipelago.</t>
  </si>
  <si>
    <t>[Skogseth, R.; Olivier, L. L. A.; Nilsen, F.; Falck, E.; Vader, A.; Jonassen, M. O.; Soreide, J.; Berge, J.] Univ Ctr Svalbard, Postboks 156, N-9171 Longyearbyen, Norway; [Olivier, L. L. A.] PSL Res Univ, Geosci Dept, Ecole Normale Super, Paris, France; [Nilsen, F.; Falck, E.; Jonassen, M. O.] Univ Bergen, Geophys Inst, Postboks 7803, N-5020 Bergen, Norway; [Fraser, N.; Cottier, F.] Scottish Marine Inst, Scottish Assoc Marine Sci, Oban PA37 1QA, Argyll, Scotland; [Cottier, F.; Berge, J.; Falk-Petersen, S.] Univ Tromso Arctic Univ Norway, Dept Arctic &amp; Marine Biol, N-9037 Tromso, Norway; [Tverberg, V] Nord Univ, Fac Biosci &amp; Aquaculture, Bodo, Norway; [Ledang, A. B.] Norwegian Inst Water Res, Gaustadalleen 21, NO-0349 Oslo, Norway; [Ivanov, B., V] Arctic &amp; Antarctic Res Inst, Atmosphere Sea Ice Ocean Interact Dept, St Petersburg, Russia; [Ivanov, B., V] St Petersburg State Univ, Oceanog Dept, St Petersburg, Russia; [Falk-Petersen, S.] Akvaplan Niva AS, Fram Ctr, Hjalmar Johansen Gate 14, N-9007 Tromso, Norway</t>
  </si>
  <si>
    <t>University Centre Svalbard (UNIS); Universite PSL; Ecole Normale Superieure (ENS); University of Bergen; UHI Millennium Institute; UiT The Arctic University of Tromso; Nord University; Norwegian Institute for Water Research (NIVA); Arctic &amp; Antarctic Research Institute; Saint Petersburg State University; Akvaplan-niva</t>
  </si>
  <si>
    <t>Skogseth, R (corresponding author), Univ Ctr Svalbard, POB 156, N-9171 Longyearbyen, Norway.</t>
  </si>
  <si>
    <t>Ragnheid.Skogseth@unis.no</t>
  </si>
  <si>
    <t>Tverberg, Vigdis/AAC-8801-2021; Søreide, Jon Arne/H-7518-2019; Berge, Jorgen/E-7544-2015</t>
  </si>
  <si>
    <t>Søreide, Jon Arne/0000-0001-7572-1089; Berge, Jorgen/0000-0003-0900-5679; Tverberg, Vigdis/0000-0001-8065-9988; Skogseth, Ragnheid/0000-0003-0210-4981</t>
  </si>
  <si>
    <t>Research Council of Norway (RCN) [222696/F50, 227067, RIS-ID 6700, 214271, 178766, 216537]; Svalbard Environmental Protection Fund [RIS-ID 10586]; Polish-Norwegian Research grant [PNRF-234-AI-1/07]; SAGES; RCN project Arctic ABC [244319]; NERC [NE/T008938/1, NE/K010700/1] Funding Source: UKRI</t>
  </si>
  <si>
    <t>Research Council of Norway (RCN)(Research Council of Norway); Svalbard Environmental Protection Fund; Polish-Norwegian Research grant; SAGES; RCN project Arctic ABC; NERC(UK Research &amp; Innovation (UKRI)Natural Environment Research Council (NERC))</t>
  </si>
  <si>
    <t>This study was financially supported by the projects REOCIRC (#222696/F50) and GronnBille (#227067, RIS-ID 6700) funded by the Research Council of Norway (RCN). We would like to thank all the students and colleagues at UNIS for their valuable effort in collecting data during the UNIS student and research cruises over the years. IFO was funded by the Svalbard Environmental Protection Fund through the project Blir det is pa Isfjorden i ar? (RIS-ID 10586). Arild Sundfjord at the Norwegian Polar Institute is acknowledged for the ALKE data, which were obtained through the ALKEKONGE project funded by the Polish-Norwegian Research grant PNRF-234-AI-1/07. Abdirahman Omar at the Uni Research in Bergen is acknowledged for the DF data obtained through the SKD-project BASIC at the Bjerknes Centre for Climate Research. Denis Moiseev at the Murmansk Marine Biological Institute is acknowledged for CTD data in December 2015. SAMS moorings (BF, AF and IF) were supported by the RCN projects: Circa (#214271) and Cleopatra I and II (#178766, #216537). We acknowledge the contributions of Colin Griffiths, Estelle Dumont, and Lewis Drysdale in the preparation of the SAMS data. FCs contribution to this work is supported by SAGES (www.sages.ac.uk) and RCN project Arctic ABC (#244319). We thank the two anonymous reviewers for their constructive comments that greatly improved the manuscript.</t>
  </si>
  <si>
    <t>10.1016/j.pocean.2020.102394</t>
  </si>
  <si>
    <t>NS6CU</t>
  </si>
  <si>
    <t>WOS:000572347900004</t>
  </si>
  <si>
    <t>Ziegler, AF; Cape, M; Lundesgaard, O; Smith, CR</t>
  </si>
  <si>
    <t>Ziegler, A. F.; Cape, M.; Lundesgaard, O.; Smith, C. R.</t>
  </si>
  <si>
    <t>Intense deposition and rapid processing of seafloor phytodetritus in a glaciomarine fjord, Andvord Bay (Antarctica)</t>
  </si>
  <si>
    <t>Fjord; Antarctica; Time-lapse; Pelagic-benthic coupling; Deposit feeding</t>
  </si>
  <si>
    <t>PARTICULATE ORGANIC-MATTER; ZOOPLANKTON FECAL PELLETS; CONTINENTAL-SHELF; PHYTOPLANKTON BLOOM; SEASONAL DEPOSITION; BRANSFIELD STRAIT; EUPHAUSIA-SUPERBA; PARTICLE-FLUX; CARBON BURIAL; TIME-SERIES</t>
  </si>
  <si>
    <t>The West Antarctic Peninsula (WAP) region encompasses numerous fjords known to be hotspots of benthic biodiversity and biomass. These ecosystems are undergoing rapid climate warming and oceanographic change; consequent glacial melt and retreat may dramatically alter benthic communities and ecosystem functions in WAP fjords. In addition, there is extreme variability in seasonal productivity and phytodetrital food input to the deep shelf benthos of the WAP. Here we document the flux and utilization of phytodetritus at 530 m depth in Andvord Bay, a WAP glaciomarine fjord, using seafloor time-lapse images spanning a 10-month period, from December 2015 to September 2016. To explore the relationship between sea-surface conditions and detrital export, we developed a color-based method to quantify seafloor phytodetritus cover in time-lapse images, and correlated phytodetritus cover with sea-ice cover and surface wind speed. During the most rapid period of phytodetritus accumulation in early January 2016, approximately 3 cm of phytodetritus was deposited on the fjord floor over six days, representing a large input of organic carbon to the benthos. The timing of this rapid export event was not related to overlying wind conditions and occurred when the fjord was ice-free. To assess the response of the megafaunal community, we measured fecal-pellet production by the dominant surface depositfeeder, the ampharetid polychaete Amythas membranifera. The deposit-feeding rate of A. membranifera increased substantially during high seafloor phytodetritus cover and returned to background levels for the rest of the autumn and winter. Ampharetids and mobile megafauna were observed to feed throughout the entire timeseries, including beneath winter sea ice, suggesting that the delivery of phytodetritus from surface phytoplankton blooms in spring/summer sustains these abundant populations year-round with a sediment food bank. A. membranifera can reach densities of &gt; 37 m(-2) and, as a population, processes a volume equivalent to the top 1.05 cm of sediment annually. The maximum individual feeding rates measured are comparable to some temperate intertidal deposit feeders. Nonetheless, phytodetritus on 31-73% of the seafloor was consumed by macrofauna or microbial populations not visible in time-lapse photographs, suggesting that recently deposited phytodetritus is processed primarily by these smaller size classes. This study demonstrates the seasonal coupling and subsequent decoupling of detritivore activity in response to a massive detrital deposition event in a deep, subpolar WAP fjord. This work indicates that both megafaunal deposit feeders and smaller size classes play important roles in processing labile organic matter in WAP fjord ecosystems.</t>
  </si>
  <si>
    <t>[Ziegler, A. F.; Smith, C. R.] Univ Hawaii Manoa, Dept Oceanog, Honolulu, HI 96822 USA; [Cape, M.] Univ Washington, Sch Oceanog, Seattle, WA 98195 USA; [Lundesgaard, O.] Norwegian Polar Res Inst, Tromso, Norway</t>
  </si>
  <si>
    <t>University of Hawaii System; University of Hawaii Manoa; University of Washington; University of Washington Seattle; Norwegian Polar Institute</t>
  </si>
  <si>
    <t>Ziegler, AF (corresponding author), Univ Hawaii Manoa, Dept Oceanog, Honolulu, HI 96822 USA.</t>
  </si>
  <si>
    <t>ziegler8@hawaii.edu</t>
  </si>
  <si>
    <t>Cape, Mattias/KCK-4444-2024</t>
  </si>
  <si>
    <t>Foss, Oyvind/0000-0002-3410-8904; Cape, Mattias/0000-0002-5621-1128</t>
  </si>
  <si>
    <t>National Science Foundation [OPP 1443680]</t>
  </si>
  <si>
    <t>This work was conducted in collaboration with Drs. Oyvind Lundesgaard, Mattias Cape and Craig Smith and financially supported by National Science Foundation funding for the FjordEco Project (Grant OPP 1443680 to Dr. Craig Smith). We thank USAP personnel and the Captains and crews of the RVIB Nathaniel B. Palmer and ASRV Laurence M. Gould for outstanding support during our field program. We also thank all principal investigators, students, and other participants of the FjordEco cruises (LMG15-10, NBP 16-03 and LMG 17-02) as well as additional collaborators including Dr. Maria Vernet, Dr. Andrew Sweetman, Dr. Charles Nittrouer, Dr. Emily Eidam and Dr. Andrew Thurber.</t>
  </si>
  <si>
    <t>10.1016/j.pocean.2020.102413</t>
  </si>
  <si>
    <t>NS6CX</t>
  </si>
  <si>
    <t>WOS:000572348200004</t>
  </si>
  <si>
    <t>Lopienska-Biernat, E; Stryinski, R; Polak, I; Pawlikowski, B; Pawlak, J; Podolska, M</t>
  </si>
  <si>
    <t>Lopienska-Biernat, Elzbieta; Stryinski, Robert; Polak, Iwona; Pawlikowski, Boguslaw; Pawlak, Joanna; Podolska, Magdalena</t>
  </si>
  <si>
    <t>Effect of freezing on the metabolic status of L3 larvae of Anisakis simplex s. s</t>
  </si>
  <si>
    <t>INFECTION GENETICS AND EVOLUTION</t>
  </si>
  <si>
    <t>Anisakis; Food-borne disease; Freezing; HPLC; Real-time PCR; Metabolism</t>
  </si>
  <si>
    <t>ANTARCTIC-NEMATODE; COLD-ACCLIMATION; STRESS; EXPRESSION; TOLERANCE; TREHALOSE; PROTEINS; SURVIVAL; GENE; DESICCATION</t>
  </si>
  <si>
    <t>The fish-borne parasite, Anisakis simplex s. s., triggers a disease called anisakiasis, that is associated with a gastrointestinal infection. The Anisakis is also associated with allergic response which may lead to anaphylactic shock. The A. simplex s. s. L3 larvae may be freeze tolerant despite when the nematodes will be cooled rapidly to -20 degrees C according to the sanitary authorities of the USA and the EU. The aim of this work was to study the metabolic status of A. simplex s. s. L3 larvae when frozen in terms of viability, expression of genes involved in the nematodes' survival of freezing, as well content of carbohydrates which play a cryoprotective role in thermal stress and are the main source of energy. The levels of trehalose were significantly higher after slow freezing treatment (p &lt;.0001), than the fast freezing (p &lt;.002). The lower temperatures induce changes, especially in trehalose synthesis gene expression, genes responsible for oxidative metabolism, and chaperone proteins, but we cannot state clearly whether these changes occur during freezing, or because they are already prevalent during cold acclimation. The induction of mentioned genes seems to be a common trait of both cold- and dehydration tolerance.</t>
  </si>
  <si>
    <t>[Lopienska-Biernat, Elzbieta; Stryinski, Robert; Polak, Iwona] Univ Warmia &amp; Mazury, Fac Biol &amp; Biotechnol, Dept Biochem, Oczapowskiego 1A, PL-10719 Olsztyn, Poland; [Pawlikowski, Boguslaw; Pawlak, Joanna; Podolska, Magdalena] Natl Marine Fisheries Res Inst, Dept Fisheries Resources, Kollataja 1, PL-81332 Gdynia, Poland</t>
  </si>
  <si>
    <t>University of Warmia &amp; Mazury; National Marine Fisheries Research Institute</t>
  </si>
  <si>
    <t>Lopienska-Biernat, E (corresponding author), Univ Warmia &amp; Mazury, Fac Biol &amp; Biotechnol, Dept Biochem, Oczapowskiego 1A, PL-10719 Olsztyn, Poland.</t>
  </si>
  <si>
    <t>ela.lopienska@uwm.edu.pl</t>
  </si>
  <si>
    <t>Stryiński, Robert/O-2312-2018</t>
  </si>
  <si>
    <t>Stryiński, Robert/0000-0001-5518-8854; Polak, Iwona/0000-0002-3713-2918; Pawlikowski, Boguslaw/0000-0003-1895-3507; Lopienska-Biernat, Elzbieta/0000-0003-3265-5207; Pawlak, Joanna/0000-0002-4684-9670; Podolska, Magdalena/0000-0002-3303-3787</t>
  </si>
  <si>
    <t>Dean of Faculty of Biology and Biotechnology, University of Warmia and Mazury in Olsztyn, Poland [12.610.012.300]; National Centre for Research and Development under the Strategic Program of Research and Development BIOSTRATEG [BIOSTRATEG2/296211/4/NCBR/2016]</t>
  </si>
  <si>
    <t>Dean of Faculty of Biology and Biotechnology, University of Warmia and Mazury in Olsztyn, Poland; National Centre for Research and Development under the Strategic Program of Research and Development BIOSTRATEG</t>
  </si>
  <si>
    <t>This work was supported by the Dean of Faculty of Biology and Biotechnology, University of Warmia and Mazury in Olsztyn, Poland (12.610.012.300). A part of this study (freezing experiment) was supported by The National Centre for Research and Development under the Strategic Program of Research and Development BIOSTRATEG (grant number BIOSTRATEG2/296211/4/NCBR/2016).</t>
  </si>
  <si>
    <t>1567-1348</t>
  </si>
  <si>
    <t>1567-7257</t>
  </si>
  <si>
    <t>INFECT GENET EVOL</t>
  </si>
  <si>
    <t>Infect. Genet. Evol.</t>
  </si>
  <si>
    <t>10.1016/j.meegid.2020.104312</t>
  </si>
  <si>
    <t>Infectious Diseases</t>
  </si>
  <si>
    <t>NR3JB</t>
  </si>
  <si>
    <t>WOS:000571457700014</t>
  </si>
  <si>
    <t>Scherelis, C; Penesis, I; Hemer, MA; Cossu, R; Wright, JT</t>
  </si>
  <si>
    <t>Scherelis, Constantin; Penesis, Irene; Hemer, Mark A.; Cossu, Remo; Wright, Jeffrey T.</t>
  </si>
  <si>
    <t>Dataset for concurrent echosounder and ADCP measurements at a tidal energy candidate site in Australia</t>
  </si>
  <si>
    <t>Hydroacoustic dataset; AZFP; ADCP; Concurrent measurements; Environmental monitoring; Tidal resource assessment; Fish aggregations; Australian tidal energy</t>
  </si>
  <si>
    <t>FISH; STRENGTH</t>
  </si>
  <si>
    <t>Interaction uncertainties between tidal energy devices and marine animals have the potential to impede the tidal energy industry as it moves closer towards commercial-scale array installations. Developing standardised environmental impact assessment (EIA) practices would allow for potential impact concerns to the marine environment to be identified and mitigated early during project development. In an effort to help formulate a standardised EIA framework that addresses knowledge gaps in fish-current interactions at tidal energy candidate sites, Scherelis et al. [1] presented a case study for investigating changes in fish aggregations in response to changing environmental conditions including tidal currents at a tidal energy candidate site in Australia prior to turbine installation. Here, we present the dataset utilised for this study titled Investigating biophysical linkages at tidal energy candidate sites: a case study for combining environmental assessment and resource characterisation [1] . The dataset includes tidal current information from an Acoustic Doppler Current Profiler (ADCP), volume backscattering measurements from a four-frequency biological echosounder (Acoustic Zooplankton and Fish Profiler - AZFP) as an indica tor for fish biomass, and fish aggregation metrics calculated from volume backscatter in post-processing. ADCP and AZFP were installed on a bottom-mounted mooring and engaged in a concurrent sampling plan for-2.5 months from Decem-ber 2018 to February 2019. The mooring was deployed in the Banks Strait, a tidal energy candidate site located in the northeast of Tasmania, Australia, at a location favourable for tidal turbine installations considering current speed, depth, substrate, sediment type and proximity to shore. The ADCP dataset includes current velocity and direction measurements at 1 m vertical and 1-min time intervals. The raw AZFP dataset includes volume backscattering strength collected in 4-s time intervals with a vertical resolution of 0.072 m in raw, and 0.1 m in pre-processed form. Several post-processing steps were implemented to mitigate changes in background noise due to current speed and wind stress, and to isolate acoustic fish returns from remaining scattering sources. Once isolated, volume backscatter containing fish targets under-went post-processing to determine fish aggregation metrics including density, abundance, centre of mass, dispersion,% water column occupied, evenness, and index for aggrega-tion. Each aggregation metric was then binned by minute matched with corresponding environmental conditions for current speed, shear, temperature, diel stage, and tidal stage. Raw and processed datasets for the AZFP and ADCP are pro-vided. Post-processed data includes the derived fish aggrega-tion metrics along with corresponding environmental condi-tions. The described datasets are freely available on the Aus-tralian Ocean Data Network (AODN). (C) 2020 The Authors. Published by Elsevier Inc.</t>
  </si>
  <si>
    <t>[Scherelis, Constantin; Penesis, Irene] Univ Tasmania, Australian Maritime Coll, Newnham, Tas 7248, Australia; [Hemer, Mark A.] CSIRO Oceans &amp; Atmosphere, Hobart, Tas 7001, Australia; [Cossu, Remo] Univ Queensland, Sch Civil Engn, St Lucia, Qld 4072, Australia; [Wright, Jeffrey T.] Univ Tasmania, Inst Marine &amp; Antarctic Studies, Hobart, Tas 7001, Australia</t>
  </si>
  <si>
    <t>Scherelis, C; Penesis, I (corresponding author), Univ Tasmania, Australian Maritime Coll, Newnham, Tas 7248, Australia.</t>
  </si>
  <si>
    <t>constantin.scherelis@utas.edu.au; i.penesis@utas.edu.au</t>
  </si>
  <si>
    <t>Cossu, Remo/C-6085-2016; Hemer, Mark/M-1905-2013; Wright, Jeffrey/J-7536-2014</t>
  </si>
  <si>
    <t>Cossu, Remo/0000-0002-1712-6692; Hemer, Mark/0000-0002-7725-3474; Wright, Jeffrey/0000-0002-1085-4582</t>
  </si>
  <si>
    <t>Australian Renewable Energy Agency (ARENA) through the Advancing Renewables Programme [G00902]; Australian Maritime College (University of Tasmania); University of Queensland, CSIRO</t>
  </si>
  <si>
    <t>Australian Renewable Energy Agency (ARENA) through the Advancing Renewables Programme(Australian Renewable Energy Agency (ARENA)); Australian Maritime College (University of Tasmania); University of Queensland, CSIRO</t>
  </si>
  <si>
    <t>We acknowledge the support of Camille Couzi, Dr Jean-Roch Nadar, Dr Haley A Viehman, Echoview (R) support and the Dell Richey II crew. This project is co-funded by the Australian Renewable Energy Agency (ARENA) through the Advancing Renewables Programme (grant G00902), the Australian Maritime College (University of Tasmania), the University of Queensland, CSIRO, our industry partners MAKO Tidal Turbines, Sabella, and SIMEC Atlantis Energy, and our international collaborators Prof. Richard Karstens from Acadia University, Canada, and Dr Matt Lewis from Bangor University, UK.</t>
  </si>
  <si>
    <t>10.1016/j.dib.2020.105873</t>
  </si>
  <si>
    <t>NO0ZU</t>
  </si>
  <si>
    <t>WOS:000569216000004</t>
  </si>
  <si>
    <t>Shrestha, DL; Robertson, DE; Bennett, JC; Wang, QJ</t>
  </si>
  <si>
    <t>Shrestha, Durga Lal; Robertson, D. E.; Bennett, J. C.; Wang, Q. J.</t>
  </si>
  <si>
    <t>Using the Schaake shuffle when calibrating ensemble means can be problematic</t>
  </si>
  <si>
    <t>JOURNAL OF HYDROLOGY</t>
  </si>
  <si>
    <t>Schaake shuffle; Statistical calibration; Poor man's ensemble; Ensemble forecasts; Autocorrelation; Reliability</t>
  </si>
  <si>
    <t>PRECIPITATION FORECASTS; TEMPERATURE; PREDICTION; MODELS</t>
  </si>
  <si>
    <t>The Schaake shuffle is a simple and effective method for re-ordering calibrated ensemble forecasts. It is widely used in forecast calibration methods where realistic spatial and temporal sequences are important. We illustrate a previously unidentified problem with the application of the Schaake shuffle. When the auto-correlation of uncalibrated forecasts is markedly different from observations, the Schaake shuffle cannot guarantee that the calibrated ensemble is reliable when ensemble members are accumulated through time. Accumulations in time and space are particularly important for applications that integrate rainfall over these dimensions, notably hydrological modelling. We demonstrate that ensemble means of uncalibrated forecasts tend to be more autocorrelated than observations. This can cause poor reliability if variables are accumulated across lead times under certain conditions, even if forecasts are perfectly reliable at individual lead times. Specifically, if the following conditions occur, ensemble predictions of accumulated variables tend to be too wide: 1) Forecasts are more autocorrelated than observations. 2) Forecasts are skillful; i.e., cross-correlations between forecasts and observations are high. We show with a real-world case study that these conditions can readily occur. We discuss potential solutions to this issue.</t>
  </si>
  <si>
    <t>[Shrestha, Durga Lal; Robertson, D. E.; Bennett, J. C.] Commonwealth Sci &amp; Ind Res Org CSIRO, Melbourne, Vic, Australia; [Wang, Q. J.] Univ Melbourne, Melbourne, Vic, Australia; [Bennett, J. C.] Univ Tasmania, Inst Marine &amp; Antarctic Studies, Battery Point, Australia</t>
  </si>
  <si>
    <t>Commonwealth Scientific &amp; Industrial Research Organisation (CSIRO); Melbourne Genomics Health Alliance; University of Melbourne; Melbourne Bioinformatics; University of Tasmania</t>
  </si>
  <si>
    <t>Shrestha, DL (corresponding author), CSIRO Land &amp; Water, Private Bag 10, Clayton, Vic 3169, Australia.</t>
  </si>
  <si>
    <t>durgalal.shrestha@csiro.au</t>
  </si>
  <si>
    <t>Bennett, James/C-8456-2013; Wang, Quan J/D-2674-2012; Shrestha, Durga L/B-5610-2013; Robertson, David/C-3643-2011</t>
  </si>
  <si>
    <t>Bennett, James/0000-0002-4930-2638; Wang, Quan J/0000-0002-8787-2738; Robertson, David/0000-0003-4230-8006</t>
  </si>
  <si>
    <t>Bureau of Meteorology; CSIRO Land Water</t>
  </si>
  <si>
    <t>Bureau of Meteorology(Bureau of Meteorology - Australia); CSIRO Land Water</t>
  </si>
  <si>
    <t>This research has been supported by the Water Information Research and Development Alliance (WIRADA) between the Bureau of Meteorology and CSIRO Land &amp; Water. We would like to thank Dr. Seline Ng (CSIRO) for valuable suggestions on an earlier draft and two anonymous referees for their helpful and constructive comments.</t>
  </si>
  <si>
    <t>0022-1694</t>
  </si>
  <si>
    <t>1879-2707</t>
  </si>
  <si>
    <t>J HYDROL</t>
  </si>
  <si>
    <t>J. Hydrol.</t>
  </si>
  <si>
    <t>10.1016/j.jhydrol.2020.124991</t>
  </si>
  <si>
    <t>Engineering, Civil; Geosciences, Multidisciplinary; Water Resources</t>
  </si>
  <si>
    <t>Engineering; Geology; Water Resources</t>
  </si>
  <si>
    <t>NN5HH</t>
  </si>
  <si>
    <t>WOS:000568819100091</t>
  </si>
  <si>
    <t>Bernhard, G; Stierle, S</t>
  </si>
  <si>
    <t>Bernhard, Germar; Stierle, Scott</t>
  </si>
  <si>
    <t>Trends of UV Radiation in Antarctica</t>
  </si>
  <si>
    <t>UV radiation; Antarctica; ozone hole; trends; calibration; spectral irradiance; radiative transfer modeling</t>
  </si>
  <si>
    <t>ULTRAVIOLET IRRADIANCE; SOUTH-POLE; FAST-ICE; OZONE; NETWORK; SURFACE; BARROW; ALASKA</t>
  </si>
  <si>
    <t>The success of the Montreal Protocol in curbing increases in harmful solar ultraviolet (UV) radiation at the Earth's surface has recently been demonstrated. This study also provided evidence that the UV Index (UVI) measured by SUV-100 spectroradiometers at three Antarctic sites (South Pole, Arrival Heights, and Palmer Station) is now decreasing. For example, a significant (95% confidence level) downward trend of -5.5% per decade was reported at Arrival Heights for summer (December through February). However, it was also noted that these measurements are potentially affected by long-term drifts in calibrations of approximately 1% per decade. To address this issue, we have reviewed the chain of calibrations implemented at the three sites between 1996 and 2018 and applied corrections for changes in the scales of spectral irradiance (SoSI) that have occurred over this period (Method 1). This analysis resulted in an upward correction of UVI data measured after 2012 by 1.7% to 1.8%, plus smaller adjustments for several shorter periods. In addition, we have compared measurements during clear skies with model calculations to identify and correct anomalies in the measurements (Method 2). Corrections from both methods reduced decadal trends in UVI on average by 1.7% at the South Pole, 2.1% at Arrival Heights, and 1.6% at Palmer Station. Trends in UVI calculated from the corrected dataset are consistent with concomitant trends in ozone. The decadal trend in UVI calculated from the corrected dataset for summer at Arrival Heights is -3.3% and is significant at the 90% level. Analysis of spectral irradiance measurements at 340 nm suggests that this trend is partially caused by changes in sea ice cover adjacent to the station. For the South Pole, a significant (95% level) trend in UVI of -3.9% per decade was derived for January. This trend can partly be explained by a significant positive trend in total ozone of about 3% per decade, which was calculated from SUV-100 and Dobson measurements. Our study provides further evidence that UVIs are now decreasing in Antarctica during summer months. Reductions have not yet emerged during spring when the ozone hole leads to large UVI variability.</t>
  </si>
  <si>
    <t>[Bernhard, Germar] Biospher Inc, San Diego, CA 92110 USA; [Stierle, Scott] NOAA, Global Monitoring Lab, Boulder, CO 80305 USA</t>
  </si>
  <si>
    <t>Bernhard, G (corresponding author), Biospher Inc, San Diego, CA 92110 USA.</t>
  </si>
  <si>
    <t>bernhard@biospherical.com; scott.stierle@noaa.gov</t>
  </si>
  <si>
    <t>Bernhard, Germar/AAZ-7169-2020</t>
  </si>
  <si>
    <t>Bernhard, Germar/0000-0002-1264-0756</t>
  </si>
  <si>
    <t>US National Science Foundation's Office of Polar Programs [OPP 0000373]; NOAA's Global Monitoring Laboratory; NOAA'sWestern Acquisition Division [RA133R17SE0836P19002]</t>
  </si>
  <si>
    <t>US National Science Foundation's Office of Polar Programs(National Science Foundation (NSF)); NOAA's Global Monitoring Laboratory; NOAA'sWestern Acquisition Division</t>
  </si>
  <si>
    <t>The NSF Ultraviolet Spectral Irradiance Monitoring Network (UVSIMN) was sponsored by the US National Science Foundation's Office of Polar Programs (Prime Contract Number OPP 0000373) and was operated by Biospherical Instruments Inc. The NOAA Antarctic UV Monitoring Network is funded by NOAA's Global Monitoring Laboratory. GB thanks NOAA'sWestern Acquisition Division for a sub-contract (contract number RA133R17SE0836P19002) for processing data of the NOAA Antarctic UV Monitoring Network.</t>
  </si>
  <si>
    <t>10.3390/atmos11080795</t>
  </si>
  <si>
    <t>NM5AD</t>
  </si>
  <si>
    <t>WOS:000568108200001</t>
  </si>
  <si>
    <t>Glasscock, SK; Hayes, CT; Redmond, N; Rohde, E</t>
  </si>
  <si>
    <t>Glasscock, S. K.; Hayes, C. T.; Redmond, N.; Rohde, E.</t>
  </si>
  <si>
    <t>Changes in Antarctic Bottom Water Formation During Interglacial Periods</t>
  </si>
  <si>
    <t>ATLANTIC OVERTURNING CIRCULATION; SOUTHERN-OCEAN; AGULHAS LEAKAGE; ATMOSPHERIC CO2; DEEP-WATER; SEDIMENT; SECTOR; MODES</t>
  </si>
  <si>
    <t>In the modern Southern Ocean and during the last interglacial period, Marine Isotope Stage 5e, there are observations that point to reduced Antarctic Bottom Water (AABW) formation. These reductions are believed to be driven by an increase in the strength of the Southern Ocean density stratification due to Antarctic ice melt-induced surface water freshening. Any reduction in AABW formation has important implications for global climate as AABW plays a vital role in the cycling of carbon in the world's ocean. The primary question this study seeks to answer is do these AABW reductions occur during any of the other interglacials of the past 470,000 years? To study AABW changes in the paleoceanographic record, we look at changes in the redox record. Newly formed AABW is oxygen-rich, so any reduction should lead to a decrease in oxygen concentrations in the deep Southern Ocean. The trace element uranium is useful for studying these redox changes as it is enriched in marine sediments under low-oxygen conditions. When accounting for other factors, such as paleoproductivity, that can also decrease the oxygen concentrations in sedimentary porewater, it is possible to identify changes in AABW using authigenic uranium. The survey conducted by this study found a possible AABW reduction during late Marine Isotope Stage 11 (similar to 397 ka). The cause of this event is less clear than others studied, and we explore the possibilities of ice melt-induced freshening or a change in the position or strength of the Southern Hemisphere westerly winds.</t>
  </si>
  <si>
    <t>[Glasscock, S. K.; Hayes, C. T.; Redmond, N.; Rohde, E.] Univ Southern Mississippi, Div Marine Sci, Sch Ocean Sci &amp; Engn, Stennis Space Ctr, MS 39556 USA</t>
  </si>
  <si>
    <t>University of Southern Mississippi</t>
  </si>
  <si>
    <t>Hayes, CT (corresponding author), Univ Southern Mississippi, Div Marine Sci, Sch Ocean Sci &amp; Engn, Stennis Space Ctr, MS 39556 USA.</t>
  </si>
  <si>
    <t>christopher.t.hayes@usm.edu</t>
  </si>
  <si>
    <t>; Hayes, Christopher/P-3145-2016</t>
  </si>
  <si>
    <t>Redmond, Neil/0000-0001-9810-469X; Hayes, Christopher/0000-0002-5636-2989</t>
  </si>
  <si>
    <t>U.S. National Science Foundation [1658445]; Division Of Ocean Sciences; Directorate For Geosciences [1658445] Funding Source: National Science Foundation</t>
  </si>
  <si>
    <t>U.S. National Science Foundation(National Science Foundation (NSF)); Division Of Ocean Sciences; Directorate For Geosciences(National Science Foundation (NSF)NSF - Directorate for Geosciences (GEO))</t>
  </si>
  <si>
    <t>Funding for this work from the U.S. National Science Foundation is acknowledged (Award 1658445). This work resulted from the lead authors master's thesis, and comments from Alan Shiller and Davin Wallace were appreciated. Input from two anonymous reviewers and the editorial team improved the manuscript.</t>
  </si>
  <si>
    <t>e2020PA003867</t>
  </si>
  <si>
    <t>10.1029/2020PA003867</t>
  </si>
  <si>
    <t>NL6FI</t>
  </si>
  <si>
    <t>WOS:000567508700008</t>
  </si>
  <si>
    <t>Henderiks, J; Bartol, M; Pige, N; Karatsolis, BT; Lougheed, BC</t>
  </si>
  <si>
    <t>Henderiks, J.; Bartol, M.; Pige, N.; Karatsolis, B-Th; Lougheed, B. C.</t>
  </si>
  <si>
    <t>Shifts in Phytoplankton Composition and Stepwise Climate Change During the Middle Miocene</t>
  </si>
  <si>
    <t>NORTH-ATLANTIC; EVOLUTION; PACIFIC; TEMPERATURE; PLEISTOCENE; DISSOLUTION; CIRCULATION; TRANSITION; COCCOLITHS; IMPACTS</t>
  </si>
  <si>
    <t>The abundance and composition of modern phytoplankton are primarily related to equator-to-pole temperature gradients and global ocean circulation, which in turn determine the availability of nutrients in the photic zone. The nutricline is found at greater depths in warm, tropical waters, whereas more vigorous surface mixing in higher latitudes (seasonally) enhances nutrient availability and primary productivity. Ocean temperatures were similar to 7 degrees C higher during the middle Miocene Climatic Optimum (MCO; similar to 16.9-14.7 million years ago, Ma), which was followed by Antarctic glaciation and global cooling during the middle Miocene Climate transition (MMCT; 14.7-13.8 Ma). Four decades ago, Haq (1980, ) already related migration patterns of low-latitude versus high-latitude calcareous nannoplankton in the Atlantic Ocean to major climatic fluctuations during the Miocene. Here, we detail and discuss the macroevolutionary patterns and processes across the middle Miocene (similar to 16.5-11 Ma) at five deep sea sites on a north-south transect in the Atlantic Ocean (57 degrees N to 28 degrees S). We show that the major cooling step toward the modern icehouse world impacted coccolithophore communities at all latitudes. Contrary to previous observations suggesting that tropical sites showed little change and that midlatitudes were the most sensitive recorders of climate change across the MMCT, we show that all sites recorded a marked diversification and increase in abundance of reticulofenestrids. Global cooling and related increased meridional overturning circulation are implicated as likely forcings for this macroevolutionary step toward establishing modern coccolithophore communities that are dominated by eurythermal and eurytrophic species such asEmiliania huxleyi. Plain Language Summary How will marine plankton communities respond to a much warmer world than today? How fast or slow would such changes be? We can learn valuable lessons from the fossil record of coccolithophores that represent a prominent phytoplankton group in both past and modern oceans. Changes in the composition of fossil assemblages show that species tracked past climate change on submillion year scales in the Atlantic Ocean. When ocean temperatures were similar to 7 degrees C warmer during the middle Miocene (similar to 16 million years ago), tropical species reached into the midlatitudes (42 degrees N) of the North Atlantic. When the Antarctic ice sheet grew larger and the oceans cooled after similar to 14.7 million years ago, a group known as the reticulofenestrids diversified and became the most common everywhere, also in the tropics. Apparently, this group maintained high fitness in an icehouse world with greater latitudinal temperature contrasts, more vigorous ocean circulation, and higher nutrient availability in the photic zone. Indeed, their cosmopolitan distribution implies broad temperature and other environmental tolerances, similar to the group's latest descendant, the modern species Emiliania huxleyi that also displays a wide genetic and ecophenotypic diversity.</t>
  </si>
  <si>
    <t>[Henderiks, J.; Bartol, M.; Pige, N.; Karatsolis, B-Th; Lougheed, B. C.] Uppsala Univ, Dept Earth Sci, Uppsala, Sweden; [Pige, N.] Univ Claude Bernard Lyon 1, ENS Lyon, CNRS, Lab Geol Lyon Earth Planets &amp; Environm LGLTPE, Villeurbanne, France</t>
  </si>
  <si>
    <t>Uppsala University; Ecole Normale Superieure de Lyon (ENS de LYON); Universite Claude Bernard Lyon 1; Centre National de la Recherche Scientifique (CNRS)</t>
  </si>
  <si>
    <t>Henderiks, J (corresponding author), Uppsala Univ, Dept Earth Sci, Uppsala, Sweden.</t>
  </si>
  <si>
    <t>jorijntje.henderiks@geo.uu.se</t>
  </si>
  <si>
    <t>Henderiks, Jorijntje/JGL-6527-2023; Henderiks, Jorijntje/ABB-1080-2020</t>
  </si>
  <si>
    <t>Henderiks, Jorijntje/0000-0001-9486-6275; Karatsolis, Boris- Theofanis/0000-0002-6248-2151</t>
  </si>
  <si>
    <t>Uppsala University [2011-4866, 2016-04434]; Swedish Research Council [2011-4866, 2016-04434]; International Mobility Office of the Ecole Normale Superieure de Lyon; Region Auvergne-RhoneAlpes (France); Erasmus Stage+ scholarship (EC); Swedish Research Council [2016-04434] Funding Source: Swedish Research Council</t>
  </si>
  <si>
    <t>Uppsala University; Swedish Research Council(Swedish Research Council); International Mobility Office of the Ecole Normale Superieure de Lyon; Region Auvergne-RhoneAlpes (France)(Region Auvergne-Rhone-Alpes); Erasmus Stage+ scholarship (EC); Swedish Research Council(Swedish Research Council)</t>
  </si>
  <si>
    <t>The authors are grateful to the IODP for providing the samples for this research and the staff members at the Bremen Core Repository (BCR) for help during the sampling visit. Uppsala University and the Swedish Research Council provided financial support (VR Grants 2011-4866 and 2016-04434 to J. H.). N. P.'s research contributions were made possible through a scholarship from the International Mobility Office of the Ecole Normale Superieure de Lyon and the Region Auvergne-RhoneAlpes (France) and an Erasmus Stage+ scholarship (EC). We thank Lucas Lourens for sharing unpublished data (tuned sample ages to compare age models at ODP Site 1264). Our reviewers, Isabella Raffi and Leah J. LeVay, are gratefully acknowledged for their time and helpful comments.</t>
  </si>
  <si>
    <t>e2020PA003915</t>
  </si>
  <si>
    <t>10.1029/2020PA003915</t>
  </si>
  <si>
    <t>WOS:000567508700002</t>
  </si>
  <si>
    <t>Messaoud, JH; Thibault, N; Yaich, C; Monkenbusch, J; Omar, H; Ben Jemai, HF; Watkins, DK</t>
  </si>
  <si>
    <t>Messaoud, Jihede Haj; Thibault, Nicolas; Yaich, Chokri; Monkenbusch, Johannes; Omar, Hamdi; Ben Jemai, Hela Fakhfakh; Watkins, David K.</t>
  </si>
  <si>
    <t>The Eocene-Oligocene Transition in the South-Western Neo-Tethys (Tunisia): Astronomical Calibration and Paleoenvironmental Changes</t>
  </si>
  <si>
    <t>CALCAREOUS NANNOFOSSIL BIOSTRATIGRAPHY; GLOBAL SEA-LEVEL; MIDDLE EOCENE; KERGUELEN PLATEAU; EOCENE/OLIGOCENE BOUNDARY; ANTARCTIC GLACIATION; THERMAL MAXIMUM; MAUD-RISE; CLIMATE; OCEAN</t>
  </si>
  <si>
    <t>A detailed biostratigraphic, chemostratigraphic, and chronostratigraphic study was carried out in the South-Western margin of the Neo-Tethys ocean (Tunisia) covering the Eocene-Oligocene interval to report potential paleoenvironmental and paleoclimatic changes associated with the growth of the Antarctic ice sheet (AIS). The studied section consists of marls and limestones extending from theHelicosphaera compactanannofossil Zone (CNE21) to theReticulofenestra umbilicusZone (CNO2). The Bc ofClausicoccus subdistichuscoincides in northeastern Tunisia with the extinction of hantkeninids and is thus used here to define the Eocene/Oligocene boundary (EOB) at 34.03 Ma. Calcareous nannofossil assemblages suggest a significant change from oligotrophic/warm surface waters during the late Eocene to eutrophic/cool waters during the early Oligocene. The observed changes in trophic conditions are synchronous with a shallowing trend testified by an increase in nearshore species and enhanced terrigenous input. Major environmental changes occurred at the EOB and across glaciation event Oi-1a whereas we record a poor imprint of glaciation event Oi-1. Three orbital configurations have been distinguished: (1) The late Eocene is characterized by a prominent 405-kyr cycle and a weak obliquity component; (2) the onset of cooling at 34.35 Ma coincides with the rosette-shapeddiscoasterextinction and is reflected by a shift toward enhanced obliquity and short-eccentricity cycles. The installation of a fully developed AIS (event Oi-1a, 32.75 Ma) shows the most pronounced obliquity imprint reflecting an increased influence of high-latitude climate processes; (3) after 31.75 Ma, the obliquity decreases in coincidence with the return to a dominant long-eccentricity cycle. Plain Language Summary The Eocene/Oligocene transition corresponds to one of the most important climatic shifts in the Cenozoic. This paleoclimatic shift from the greenhouse of the late Eocene to the icehouse regime in the early Oligocene triggered changes in the paleoenvironmental conditions of the Neo-Tethyan area. We used calcareous nannofossil assemblages, carbon isotopes, elemental data (X-ray fluorescence), and spectral analysis applied on magnetic susceptibility to report the possible effects of ice volume changes associated with the Antarctic glaciation on the Southern Neo-Tethyan region and on the expression of Milankovitch cycles at low latitudes. We observe a change in the calcareous nannofossil assemblages that suggests a transition from low-nutrient/warm-water conditions to more heterotrophic/cooler conditions across the Eocene/Oligocene interval associated with the shift from a dominant 405-kyr long-eccentricity cycles to a prevalent obliquity and short-eccentricity forcing. However, the situation shifted again at 31.75 Myr, with the return of dominant long-eccentricity cycles.</t>
  </si>
  <si>
    <t>[Messaoud, Jihede Haj; Thibault, Nicolas; Monkenbusch, Johannes] Univ Copenhagen, Dept Geosci &amp; Nat Resource Management, Copenhagen K, Denmark; [Messaoud, Jihede Haj; Yaich, Chokri; Omar, Hamdi] Univ Sfax, Sfax Natl Engn Sch, Sfax, Tunisia; [Messaoud, Jihede Haj; Yaich, Chokri; Monkenbusch, Johannes; Omar, Hamdi] Univ Sfax, Sfax Natl Sch Engineers, Lab Sediment Dynam &amp; Environm, Sfax, Tunisia; [Ben Jemai, Hela Fakhfakh] Tunisian Natl Oil Co ETAP, Tunis, Tunisia; [Watkins, David K.] Univ Nebraska, Dept Earth &amp; Atmospher Sci, Lincoln, NE USA</t>
  </si>
  <si>
    <t>University of Copenhagen; Universite de Sfax; Ecole Nationale dIngenieurs de Sfax (ENIS); Universite de Sfax; Ecole Nationale dIngenieurs de Sfax (ENIS); University of Nebraska System; University of Nebraska Lincoln</t>
  </si>
  <si>
    <t>Messaoud, JH (corresponding author), Univ Copenhagen, Dept Geosci &amp; Nat Resource Management, Copenhagen K, Denmark.;Messaoud, JH (corresponding author), Univ Sfax, Sfax Natl Engn Sch, Sfax, Tunisia.;Messaoud, JH (corresponding author), Univ Sfax, Sfax Natl Sch Engineers, Lab Sediment Dynam &amp; Environm, Sfax, Tunisia.</t>
  </si>
  <si>
    <t>jhm@ign.ku.dk</t>
  </si>
  <si>
    <t>Thibault, Nicolas/B-1106-2013</t>
  </si>
  <si>
    <t>Thibault, Nicolas/0000-0003-4147-5531; Monkenbusch, Johannes/0000-0002-0833-836X; Omar, Hamdi/0000-0001-8033-7401; Haj messaoud, Jihede/0000-0002-6825-7051; Haj Messaoud, Jihede/0000-0002-5605-9058</t>
  </si>
  <si>
    <t>UNESCO International Geoscience Program [IGCP 652]; Carlsberg Foundation Project [CF16-0457]</t>
  </si>
  <si>
    <t>UNESCO International Geoscience Program; Carlsberg Foundation Project(Carlsberg Foundation)</t>
  </si>
  <si>
    <t>PWe are grateful for the Department of Geoscience and Natural Resources Management, Copenhagen University, for financing the isotope and XRF analyses. We thank the UNESCO International Geoscience Program (IGCP 652) for their cyclostratigraphic courses and training. J. M. and N. T. were financed through Carlsberg Foundation Project CF16-0457. Warmly thanks to Haithem Briki and Bilel Souidi for guidance and help in the field. The anonymous reviewers are kindly acknowledged for their thoughtful comments that helped to improve the manuscript significantly. We also thank the Editor Stephen Barker for the time he dedicated in processing our manuscript.</t>
  </si>
  <si>
    <t>e2020PA003887</t>
  </si>
  <si>
    <t>10.1029/2020PA003887</t>
  </si>
  <si>
    <t>WOS:000567508700009</t>
  </si>
  <si>
    <t>Toumoulin, A; Donnadieu, Y; Ladant, JB; Batenburg, SJ; Poblete, F; Dupont-Nivet, G</t>
  </si>
  <si>
    <t>Toumoulin, A.; Donnadieu, Y.; Ladant, J-B; Batenburg, S. J.; Poblete, F.; Dupont-Nivet, G.</t>
  </si>
  <si>
    <t>Quantifying the Effect of the Drake Passage Opening on the Eocene Ocean</t>
  </si>
  <si>
    <t>Antarctic Circumpolar Current; Southern Ocean; neodymium; climate modeling; gateways; Eocene</t>
  </si>
  <si>
    <t>ANTARCTIC CIRCUMPOLAR CURRENT; DEEP-WATER PRODUCTION; ATMOSPHERIC CARBON-DIOXIDE; MERIDIONAL OVERTURNING CIRCULATION; ND ISOTOPIC STRUCTURE; NORTH PACIFIC-OCEAN; LATE-MIDDLE EOCENE; SOUTHERN-OCEAN; PALEOGEOGRAPHIC CONTROLS; PRODUCTION COINCIDENT</t>
  </si>
  <si>
    <t>The opening of the Drake Passage (DP) during the Cenozoic is a tectonic event of paramount importance for the development of modern ocean characteristics. Notably, it has been suggested that it exerts a primary role in the onset of the Antarctic Circumpolar Current (ACC) formation, in the cooling of high-latitude South Atlantic waters and in the initiation of North Atlantic Deep Water (NADW) formation. Several model studies have aimed to assess the impacts of DP opening on climate, but most of them focused on surface climate, and only few used realistic Eocene boundary conditions. Here, we revisit the impact of the DP opening on ocean circulation with the IPSL-CM5A2 Earth System Model. Using appropriate middle Eocene (40 Ma) boundary conditions, we perform and analyze simulations with different depths of the DP (0, 100, 1,000, and 2,500 m) and compare results to existing geochemical data. Our experiments show that DP opening has a strong effect on Eocene ocean structure and dynamics even for shallow depths. The DP opening notably allows the formation of a proto-ACC and induces deep ocean cooling of 1.5 degrees C to 2.5 degrees C in most of the Southern Hemisphere. There is no NADW formation in our simulations regardless of the depth of the DP, suggesting that the DP on its own is not a primary control of deepwater formation in the North Atlantic. This study elucidates how and to what extent the opening of the DP contributed to the establishment of the modern global thermohaline circulation.</t>
  </si>
  <si>
    <t>[Toumoulin, A.; Donnadieu, Y.] Aix Marseille Univ, CNRS, IRD, Coll France,INRA,CEREGE, Aix En Provence, France; [Ladant, J-B] Univ Michigan, Dept Earth &amp; Environm Sci, Ann Arbor, MI 48109 USA; [Batenburg, S. J.; Dupont-Nivet, G.] Univ Rennes, UMR CNRS 6118, Geosci Rennes, Rennes, France; [Poblete, F.; Dupont-Nivet, G.] Univ Chile, Dept Geol, Santiago, Chile; [Dupont-Nivet, G.] Potsdam Univ, Inst Geosci, Potsdam, Germany</t>
  </si>
  <si>
    <t>Institut de Recherche pour le Developpement (IRD); Universite PSL; College de France; Centre National de la Recherche Scientifique (CNRS); INRAE; Aix-Marseille Universite; University of Michigan System; University of Michigan; Universite de Rennes; Centre National de la Recherche Scientifique (CNRS); CNRS - National Institute for Earth Sciences &amp; Astronomy (INSU); Universidad de Chile; University of Potsdam</t>
  </si>
  <si>
    <t>Toumoulin, A (corresponding author), Aix Marseille Univ, CNRS, IRD, Coll France,INRA,CEREGE, Aix En Provence, France.</t>
  </si>
  <si>
    <t>agathe.toumoulin@gmail.com</t>
  </si>
  <si>
    <t>Toumoulin, Agathe/AAP-5121-2021; DUPONT-NIVET, Guillaume/HII-9066-2022; Batenburg, Sietske J./AAD-6896-2019; donnadieu, yannick/G-7546-2016</t>
  </si>
  <si>
    <t>Toumoulin, Agathe/0000-0003-2181-3732; DUPONT-NIVET, Guillaume/0000-0001-9905-9739; Batenburg, Sietske J./0000-0002-4076-1248; donnadieu, yannick/0000-0002-7315-2684; Poblete, Fernando/0000-0002-2140-5483</t>
  </si>
  <si>
    <t>ERC MAGIC [649081]; European Research Council (ERC) [649081] Funding Source: European Research Council (ERC)</t>
  </si>
  <si>
    <t>ERC MAGIC(European Research Council (ERC)); European Research Council (ERC)(European Research Council (ERC)Spanish Government)</t>
  </si>
  <si>
    <t>We sincerely thank Matthew Huber for his editorial handling and two anonymous reviewers for their interesting comments that improved the quality of this article. We thank the CEA/CCRT for providing access to the HPC resources of TGCC under the allocation 2017-A0010102212, 2018A0030102212, and 2019-A0050102212 made by GENCI. We acknowledge the support of the ERC MAGIC under Grant 649081. The authors acknowledge Michiel Baatsen for sharing his data outputs from the CESM model. We acknowledge use of Ferret (ferret.pmel.noaa.gov/Ferret/) and NCL software for analysis and figures in this paper.</t>
  </si>
  <si>
    <t>e2020PA003889</t>
  </si>
  <si>
    <t>10.1029/2020PA003889</t>
  </si>
  <si>
    <t>WOS:000567508700007</t>
  </si>
  <si>
    <t>Herman, K; Gudra, T; Opielinski, K; Banasiak, D; Budzik, T; Risso, N</t>
  </si>
  <si>
    <t>Herman, Krzysztof; Gudra, Tadeusz; Opielinski, Krzysztof; Banasiak, Dariusz; Budzik, Tomasz; Risso, Nathalie</t>
  </si>
  <si>
    <t>A Study of a Parametric Method for the Snow Reflection Coefficient Estimation Using Air-Coupled Ultrasonic Waves</t>
  </si>
  <si>
    <t>air-coupled ultrasound; snow parameters; digital signal processing</t>
  </si>
  <si>
    <t>DEPTH; ABSORPTION; SOUND</t>
  </si>
  <si>
    <t>In this paper, a method for estimating snow pressure reflection coefficient based on non-contact ultrasound examination is described. A constant frequency and air-coupled ultrasound pulses were used in this study, which incorporates a parametric method for reflected energy estimation. The experimental part was carried out in situ in the Antarctic, where the snow parameters were measured along with meteorological data. The proposed method represents a promising alternative for estimating the snow-water equivalent, since it uses a parametric approach, which does not require measurements of absolute values for acoustic pressure.</t>
  </si>
  <si>
    <t>[Herman, Krzysztof; Risso, Nathalie] Univ Bio Bio, Dept Elect &amp; Elect Engn, Concepcion 4081112, Chile; [Gudra, Tadeusz; Opielinski, Krzysztof] Wroclaw Univ Sci &amp; Technol, Fac Elect, Dept Acoust &amp; Multimedia, PL-50370 Wroclaw, Poland; [Banasiak, Dariusz] Wroclaw Univ Technol, Fac Elect, Dept Comp Engn, PL-50370 Wroclaw, Poland; [Budzik, Tomasz] Univ Silesia, Dept Earth Sci, PL-41200 Sosnowiec, Poland</t>
  </si>
  <si>
    <t>Universidad del Bio-Bio; Wroclaw University of Science &amp; Technology; Wroclaw University of Science &amp; Technology; University of Silesia in Katowice</t>
  </si>
  <si>
    <t>Herman, K (corresponding author), Univ Bio Bio, Dept Elect &amp; Elect Engn, Concepcion 4081112, Chile.</t>
  </si>
  <si>
    <t>kherman@ubiobio.cl; tadeusz.gudra@pwr.edu.pl; krzysztof.opielinski@pwr.edu.pl; dariusz.banasiak@pwr.edu.pl; tomasz.budzik@us.edu.pl; nrisso@ubiobio.cl</t>
  </si>
  <si>
    <t>Budzik, Tomasz/K-5354-2012</t>
  </si>
  <si>
    <t>Budzik, Tomasz/0000-0003-0601-6890; Opielinski, Krzysztof/0000-0001-9531-1562; Banasiak, Dariusz/0000-0003-4162-2431; Risso, Nathalie/0000-0002-0273-453X; Herman, Krzysztof/0000-0002-2798-8421</t>
  </si>
  <si>
    <t>University of the Bio Bio grant [DIUBB 167110 4/R]</t>
  </si>
  <si>
    <t>University of the Bio Bio grant</t>
  </si>
  <si>
    <t>This research was co-funded by the University of the Bio Bio grant number DIUBB 167110 4/R.</t>
  </si>
  <si>
    <t>10.3390/s20154267</t>
  </si>
  <si>
    <t>NL2NI</t>
  </si>
  <si>
    <t>WOS:000567258300001</t>
  </si>
  <si>
    <t>Maritati, A; Danisík, M; Halpin, JA; Whittaker, JM; Aitken, ARA</t>
  </si>
  <si>
    <t>Maritati, Alessandro; Danisik, Martin; Halpin, Jacqueline A.; Whittaker, Joanne M.; Aitken, Alan R. A.</t>
  </si>
  <si>
    <t>Pangea Rifting Shaped the East Antarctic Landscape</t>
  </si>
  <si>
    <t>TECTONICS</t>
  </si>
  <si>
    <t>APATITE FISSION-TRACK; GAMBURTSEV SUBGLACIAL MOUNTAINS; PRINCE-CHARLES-MOUNTAINS; PALEOZOIC ICE-AGE; (U-TH)/HE THERMOCHRONOMETRY; TRANSANTARCTIC MOUNTAINS; THERMAL HISTORY; LAMBERT GRABEN; HE DIFFUSION; EVOLUTION</t>
  </si>
  <si>
    <t>East Antarctica remains one of the few continental regions on Earth where an understanding of the origin and causal processes responsible for topographic relief is largely missing. Low-temperature thermochronology studies of exposed Precambrian basement revealed discrete episodes of cooling and denudation during the Paleozoic-Mesozoic; however, the significance of these thermal events and their relationship to topography across the continental interior remains unclear. Here we use zircon and apatite (U-Th)/He thermochronology to resolve the low-temperature thermal evolution of a poorly exposed section of East Antarctic basement in the Bunger Hills region and gain insights into the chronology and style of landscape evolution across East Antarctica. Thermal history modeling results indicate that Precambrian basement in the Bunger Hills region experienced a distinct cooling episode during the Late Paleozoic-Triassic, which we relate to similar to 2-4 km of regional exhumation associated with intracontinental rifting, followed by a second episode of localized cooling and &lt;= 1 km exhumation during the Late Jurassic-Cretaceous separation of India from East Gondwana. These findings, combined with existing thermochronological and tectonic evidence, support a continent-scale denudation event associated with uplift and exhumation of large sections of Precambrian basement during Late Paleozoic-Triassic Pangea-wide intracontinental extension. By contrast, continental extension associated with the Jurassic-Cretaceous breakup of East Gondwana resulted in significant denudation only locally in regions west of the Bunger Hills. We propose that the combined effects of these Paleozoic-Mesozoic tectonic events had a profound impact on the topography across the East Antarctic interior and influenced the long-term landscape evolution of East Antarctica.</t>
  </si>
  <si>
    <t>[Maritati, Alessandro; Halpin, Jacqueline A.; Whittaker, Joanne M.] Univ Tasmania, Inst Marine &amp; Antarctic Studies, Hobart, Tas, Australia; [Danisik, Martin] Curtin Univ, John de Laeter Ctr, Inst Geosci Res, Perth, WA, Australia; [Aitken, Alan R. A.] Univ Western Australia, Sch Earth Sci, Perth, WA, Australia</t>
  </si>
  <si>
    <t>University of Tasmania; Curtin University; University of Western Australia</t>
  </si>
  <si>
    <t>Maritati, A (corresponding author), Univ Tasmania, Inst Marine &amp; Antarctic Studies, Hobart, Tas, Australia.</t>
  </si>
  <si>
    <t>alessandro.maritati@utas.edu.au</t>
  </si>
  <si>
    <t>Danisik, Martin/GQY-6103-2022; Whittaker, Joanne/B-3695-2010; Halpin, Jacqueline/A-3776-2014</t>
  </si>
  <si>
    <t>Danisik, Martin/0000-0002-0885-4938; Whittaker, Joanne/0000-0002-3170-3935; Halpin, Jacqueline/0000-0002-4992-8681; Maritati, Alessandro/0000-0003-0587-8237; Aitken, Alan/0000-0002-6375-2504</t>
  </si>
  <si>
    <t>Australian Government's Australian Antarctic Program [4460]; Australian Research Council's Special Research Initiative for Antarctic Gateway Partnership [SR140300001]; Australian Government Research Training Program (RTP) Scholarship; ARC Discovery funding scheme [DP160102427]; AuScope NCRIS2 program; Curtin Research Fellowship</t>
  </si>
  <si>
    <t>Australian Government's Australian Antarctic Program; Australian Research Council's Special Research Initiative for Antarctic Gateway Partnership(Australian Research Council); Australian Government Research Training Program (RTP) Scholarship(Australian GovernmentDepartment of Industry, Innovation and Science); ARC Discovery funding scheme(Australian Research Council); AuScope NCRIS2 program(Australian GovernmentDepartment of Industry, Innovation and Science); Curtin Research Fellowship</t>
  </si>
  <si>
    <t>This research is supported through funding from the Australian Government's Australian Antarctic Program (Project ID 4460) and the Australian Research Council's Special Research Initiative for Antarctic Gateway Partnership (Project ID SR140300001). A. M. is supported by an Australian Government Research Training Program (RTP) Scholarship. M. D. was supported by ARC Discovery funding scheme (DP160102427), the AuScope NCRIS2 program and Curtin Research Fellowship. M. D. acknowledges the help of C. May, C. Scadding, and A. Frew with solution ICP-MS analyses, and I. Dunkl for sharing PepiFLEX software for ICP-MS data reduction. We thank Fausto Ferraccioli and an anonymous reviewer for their constructive criticism and helpful comments which greatly helped improve the manuscript.</t>
  </si>
  <si>
    <t>0278-7407</t>
  </si>
  <si>
    <t>1944-9194</t>
  </si>
  <si>
    <t>Tectonics</t>
  </si>
  <si>
    <t>e2020TC006180</t>
  </si>
  <si>
    <t>10.1029/2020TC006180</t>
  </si>
  <si>
    <t>NL3KN</t>
  </si>
  <si>
    <t>WOS:000567319100022</t>
  </si>
  <si>
    <t>Hwang, J; Bose, N; Nguyen, HD; Williams, G</t>
  </si>
  <si>
    <t>Hwang, Jimin; Bose, Neil; Nguyen, Hung Duc; Williams, Guy</t>
  </si>
  <si>
    <t>Acoustic Search and Detection of Oil Plumes Using an Autonomous Underwater Vehicle</t>
  </si>
  <si>
    <t>autonomous underwater vehicles (AUVs); oil detection; plume recognition; acoustic sensing; scanning sonar; traveling salesperson problem; biomimetic method</t>
  </si>
  <si>
    <t>We introduce an adaptive sampling method that has been developed to support the Backseat Driver control architecture of the Memorial University of Newfoundland (MUN) Explorer autonomous underwater vehicle (AUV). The design is based on an acoustic detection and in-situ analysis program that allows an AUV to perform automatic detection and autonomous tracking of an oil plume. The method contains acoustic image acquisition, autonomous triggering, and thresholding in the search stage. A new biomimetic search pattern, the bumblebee flight path, was designed to maximize the spatial coverage in the oil plume detection phase. The effectiveness of the developed algorithm was validated through simulations using a two-dimensional planar plume model and a 90-degree scanning sensor model. The results demonstrate that the bumblebee search design combined with a genetic solution for the Traveling Salesperson Problem outperformed a conventional lawnmower survey, reducing the AUV travel distance by up to 75.3%. Our plume detection strategy, using acoustic sensing, provided data of plume location, distribution, and density, over a sector in contrast with traditional chemical oil sensors that only provide readings at a point.</t>
  </si>
  <si>
    <t>[Hwang, Jimin; Nguyen, Hung Duc] Univ Tasmania, Australian Maritime Coll, Launceston, Tas 7250, Australia; [Bose, Neil] Mem Univ Newfoundland, Dept Ocean &amp; Naval Architectural Engn, St John, NF A1C 5S7, Canada; [Williams, Guy] Univ Tasmania, Autonomous Maritime Syst Lab, Launceston, Tas 7250, Australia</t>
  </si>
  <si>
    <t>University of Tasmania; Australian Maritime College; Memorial University Newfoundland; University of Tasmania; Australian Maritime College</t>
  </si>
  <si>
    <t>Hwang, J (corresponding author), Univ Tasmania, Australian Maritime Coll, Launceston, Tas 7250, Australia.</t>
  </si>
  <si>
    <t>jimin.hwang@utas.edu.au; nbose@mun.ca; h.d.nguyen@utas.edu.au; guy.williams@utas.edu.au</t>
  </si>
  <si>
    <t>Hwang, Jimin/KAZ-9921-2024; Bose, Neil/AAG-6329-2019</t>
  </si>
  <si>
    <t>Bose, Neil/0000-0002-6444-0756; Williams, Guy/0000-0002-3975-2977; Hwang, Jimin/0000-0002-9641-0631</t>
  </si>
  <si>
    <t>Fisheries and Oceans Canada through the Multi-partner Oil Spill Research Initiative (MPRI) 1.03: Oil Spill Reconnaissance and Delineation through Robotic Autonomous Underwater Vehicle Technology in Open and Iced Waters; Australian Research Council's Special Research Initiative under the Antarctic Gateway Partnership [SR140300001]; Australian Government Research Training Program Scholarship</t>
  </si>
  <si>
    <t>Fisheries and Oceans Canada through the Multi-partner Oil Spill Research Initiative (MPRI) 1.03: Oil Spill Reconnaissance and Delineation through Robotic Autonomous Underwater Vehicle Technology in Open and Iced Waters; Australian Research Council's Special Research Initiative under the Antarctic Gateway Partnership(Australian Research Council); Australian Government Research Training Program Scholarship(Australian GovernmentDepartment of Industry, Innovation and Science)</t>
  </si>
  <si>
    <t>Funding was received from Fisheries and Oceans Canada through the Multi-partner Oil Spill Research Initiative (MPRI) 1.03: Oil Spill Reconnaissance and Delineation through Robotic Autonomous Underwater Vehicle Technology in Open and Iced Waters. This research was also supported by the Australian Research Council's Special Research Initiative under the Antarctic Gateway Partnership (Project ID SR140300001) and through an Australian Government Research Training Program Scholarship to the first author.</t>
  </si>
  <si>
    <t>10.3390/jmse8080618</t>
  </si>
  <si>
    <t>NK9TY</t>
  </si>
  <si>
    <t>WOS:000567072100001</t>
  </si>
  <si>
    <t>Alekseev, I; Zverev, A; Abakumov, E</t>
  </si>
  <si>
    <t>Alekseev, Ivan; Zverev, Aleksei; Abakumov, Evgeny</t>
  </si>
  <si>
    <t>Microbial Communities in Permafrost Soils of Larsemann Hills, Eastern Antarctica: Environmental Controls and Effect of Human Impact</t>
  </si>
  <si>
    <t>extremophiles; Antarctica; soil parameters; human impact; microbial communities</t>
  </si>
  <si>
    <t>BACTERIAL DIVERSITY; VICTORIA LAND; DOMINANT BACTERIA; MICROORGANISMS; GRADIENT; CRYOSOLS; VALLEY; ISLAND; PHYLOGENY; BIOFILMS</t>
  </si>
  <si>
    <t>Although ice-free areas cover only about 0.1% of Antarctica and are characterized by harsh environmental conditions, these regions provide quite diverse conditions for the soil-forming process, having various physical and geochemical properties, and also assuring different conditions for living organisms. This study is aimed to determine existing soil microbial communities, their relationship with soil parameters and the influence of anthropogenic activity in Larsemann Hills, Eastern Antarctica. The soil microbiome was investigated at different locations using 16S rRNA gene pyrosequencing. The taxonomic analysis of the soil microbiomes revealed 12 predominant bacterial and archaeal phyla-Proteobacteria, Actinobacteria, Acidobacteria, Chloroflexi, Gemmatimonadetes, Verrucomicrobia, Planctomycetes, Bacteroidetes, Armatimonadetes, Firmicutes, Cyanobacteria, Thaumarchaeota. Some specific phyla have been also found in sub-surface horizons of soils investigated, thus providing additional evidence of the crucial role of gravel pavement in saving the favorable conditions for both soil and microbiome development. Moreover, our study also revealed that some bacterial species might be introduced into Antarctic soils by human activities. We also assessed the effect of different soil parameters on microbial community in the harsh environmental conditions of Eastern Antarctica. pH, carbon and nitrogen, as well as fine earth content, were revealed as the most accurate predictors of soil bacterial community composition.</t>
  </si>
  <si>
    <t>[Alekseev, Ivan; Zverev, Aleksei; Abakumov, Evgeny] St Petersburg State Univ, Dept Appl Ecol, Fac Biol, St Petersburg 199034, Russia; [Zverev, Aleksei] All Russian Res Inst Agr Microbiol, St Petersburg 196608, Russia</t>
  </si>
  <si>
    <t>Alekseev, I (corresponding author), St Petersburg State Univ, Dept Appl Ecol, Fac Biol, St Petersburg 199034, Russia.</t>
  </si>
  <si>
    <t>alekseevivan95@gmail.com; azver.bio@gmail.com; e_abakumov@mail.ru</t>
  </si>
  <si>
    <t>Abakumov, e_abakumov@mail.ru/ADJ-1297-2022; Zverev, Aleksei/GQZ-2682-2022; Abakumov, Evgeny/AAO-8580-2020; Alekseev, Ivan/H-5338-2016</t>
  </si>
  <si>
    <t>Abakumov, e_abakumov@mail.ru/0000-0002-5248-9018; Abakumov, Evgeny/0000-0002-5248-9018; Alekseev, Ivan/0000-0002-0512-3849</t>
  </si>
  <si>
    <t>Russian Scientific Foundation for Basic Research [19-54-18003, 19-05-50107, 18-04-00900]</t>
  </si>
  <si>
    <t>Russian Scientific Foundation for Basic Research(Russian Science Foundation (RSF))</t>
  </si>
  <si>
    <t>This research was funded by Russian Scientific Foundation for Basic Research, grants No 19-54-18003 Assessment of regional contribution of soils of Antarctic Islands into global carbon balance including degree of stabilization and humification of organic matter, 19-05-50107 The role of organic matter microparticles in degradation of glacier cover of polar regions and formation of soil-like bodies, 18-04-00900 Ornithogenic soils of Antarctica: formation, geography and biogeochemistry.</t>
  </si>
  <si>
    <t>10.3390/microorganisms8081202</t>
  </si>
  <si>
    <t>NL1ZB</t>
  </si>
  <si>
    <t>WOS:000567220900001</t>
  </si>
  <si>
    <t>dos Santos, JA; Meyer, E; Sette, LD</t>
  </si>
  <si>
    <t>dos Santos, Juliana Aparecida; Meyer, Edenilson; Sette, Lara Duraes</t>
  </si>
  <si>
    <t>Fungal Community in Antarctic Soil Along the Retreating Collins Glacier (Fildes Peninsula, King George Island)</t>
  </si>
  <si>
    <t>extremophiles; fungal diversity; glacial soil; Antarctic microbiology; glacier retraction</t>
  </si>
  <si>
    <t>BIOLOGICAL-ACTIVITIES; PRIMARY SUCCESSION; ENDOPHYTIC FUNGI; CLIMATE-CHANGE; ICE CAP; DIVERSITY; ECOLOGY; BIODIVERSITY; MACROALGAE; INFERENCE</t>
  </si>
  <si>
    <t>Glacial retreat is one of the most conspicuous signs of warming in Antarctic regions. Glacier soils harbor an active microbial community of decomposers, and under the continuous retraction of glaciers, the soil starts to present a gradient of physical, chemical, and biological factors reflecting regional changes over time. Little is known about the biological nature of fungi in Antarctic glacier soils. In this sense, this work aimed at studying the behavior of fungal community structure from samples of glacier soil collected after glacial retreat (Collins Glacier). A total of 309 fungi distributed in 19 genera were obtained from eleven soil samples. Representatives of the generaPseudogymnoascus(Ascomycota) andMortierella(Mortierellomycota) were the most abundant isolates in all samples. The data revealed the presence of filamentous fungi belonging to the phylum Basidiomycota, rarely found in Antarctica. Analysis of the generalized linear models revealed that the distance from the glacier as well as phosphorus and clay were able to modify the distribution of fungal species. Environmental variations proved to have influenced the generaPseudogymnoascusandPseudeutorium.</t>
  </si>
  <si>
    <t>[dos Santos, Juliana Aparecida; Sette, Lara Duraes] Sao Paulo State Univ UNESP, Biosci Inst, Dept Gen &amp; Appl Biol, 24A,1515, BR-13506900 Rio Claro, SP, Brazil; [Meyer, Edenilson] Univ Fed Santa Catarina, Biol Sci Ctr, Dept Microbiol Immunol &amp; Parasitol, BR-88040900 Florianopolis, SC, Brazil</t>
  </si>
  <si>
    <t>Universidade Estadual Paulista; Universidade Federal de Santa Catarina (UFSC)</t>
  </si>
  <si>
    <t>Sette, LD (corresponding author), Sao Paulo State Univ UNESP, Biosci Inst, Dept Gen &amp; Appl Biol, 24A,1515, BR-13506900 Rio Claro, SP, Brazil.</t>
  </si>
  <si>
    <t>julibio7@hotmail.com; meyer@ufsc.br; lara.sette@unesp.br</t>
  </si>
  <si>
    <t>dos Santos, Juliana Aparecida/ITW-1493-2023; Meyer, Edenilson/CAF-2177-2022; Meyer, Edenilson/O-1789-2016; Sette, Lara Durães/C-8298-2013</t>
  </si>
  <si>
    <t>dos Santos, Juliana Aparecida/0000-0003-4654-4698; Meyer, Edenilson/0000-0001-6094-0641; Sette, Lara Durães/0000-0002-5980-3786</t>
  </si>
  <si>
    <t>Coordenacao de Aperfeicoamento de Pessoal de Nivel Superior (CAPES); FAPESP [2015/25170-1]; CNPq [303218/2019-3]</t>
  </si>
  <si>
    <t>Coordenacao de Aperfeicoamento de Pessoal de Nivel Superior (CAPES)(Coordenacao de Aperfeicoamento de Pessoal de Nivel Superior (CAPES)); FAPESP(Fundacao de Amparo a Pesquisa do Estado de Sao Paulo (FAPESP)); CNPq(Conselho Nacional de Desenvolvimento Cientifico e Tecnologico (CNPQ))</t>
  </si>
  <si>
    <t>J.A.d.S. would like to thank Coordenacao de Aperfeicoamento de Pessoal de Nivel Superior (CAPES) and FAPESP (#2015/25170-1) for granting her with PhD scholarships. L.D.S. would like to thank CNPq for the Productivity Fellowships (#303218/2019-3). The authors would like to thank the MICROSFERA project (PROANTAR/CNPq) for their support with sample collection.</t>
  </si>
  <si>
    <t>10.3390/microorganisms8081145</t>
  </si>
  <si>
    <t>NL2RE</t>
  </si>
  <si>
    <t>WOS:000567268300001</t>
  </si>
  <si>
    <t>Slinger, J; Adams, MB; Wynne, JW</t>
  </si>
  <si>
    <t>Slinger, Joel; Adams, Mark B.; Wynne, James W.</t>
  </si>
  <si>
    <t>Bacteriomic Profiling of Branchial Lesions Induced byNeoparamoeba peruransChallenge Reveals Commensal Dysbiosis and an Association withTenacibaculum dicentrarchiin AGD-Affected Atlantic Salmon (Salmo salarL.)</t>
  </si>
  <si>
    <t>Neoparamoeba; AGD; Bacteria; Atlantic salmon; bacteriome; gill microbiota; Tenacibaculum; Tenacibaculosis</t>
  </si>
  <si>
    <t>AMEBIC GILL DISEASE; TENACIBACULUM-MARITIMUM; GENE-EXPRESSION; FISH; L.; IMMUNE; INFECTION; VIRULENCE; DIVERSITY; PATHOLOGY</t>
  </si>
  <si>
    <t>Amoebic gill disease is a parasitic condition that commonly affects marine farmed Atlantic salmon. The causative agent,Neoparamoeba perurans, induces a marked proliferation of the gill mucosa and focal superficial necrosis upon branchial lesions. The effect that amoebic branchialitis has upon gill associated commensal bacteria is unknown. A 16S rRNA sequencing approach was employed to profile changes in bacterial community composition, within amoebic gill disease (AGD)-affected and non-affected gill tissue. The bacterial diversity of biopsies with and without diseased tissue was significantly lower in the AGD-affected fish compared to uninfected fish. Furthermore, within the AGD-affected tissue, lesions appeared to contain a significantly higher abundance of theFlavobacterium,Tenacibaculum dicentrarchicompared to adjunct unaffected tissues. Quantitative PCR specific to bothN. peruransandT. dicentrarchiwas used to further examine the co-abundance of these known fish pathogens. A moderate positive correlation between these pathogens was observed. Taken together, the present study sheds new light on the complex interaction between the host, parasite and bacterial communities during AGD progression. The role thatT. dicentrarchimay play in this complex relationship requires further investigation.</t>
  </si>
  <si>
    <t>[Slinger, Joel] CSIRO Agr &amp; Food Aquaculture Program, Bribie Isl, Qld 4507, Australia; [Slinger, Joel; Adams, Mark B.] Univ Tasmania, Inst Marine &amp; Antarct Studies, Launceston, Tas 7250, Australia; [Wynne, James W.] CSIRO Agr &amp; Food Aquaculture Program, Hobart, Tas 7000, Australia</t>
  </si>
  <si>
    <t>Commonwealth Scientific &amp; Industrial Research Organisation (CSIRO); University of Tasmania; Commonwealth Scientific &amp; Industrial Research Organisation (CSIRO)</t>
  </si>
  <si>
    <t>Slinger, J (corresponding author), CSIRO Agr &amp; Food Aquaculture Program, Bribie Isl, Qld 4507, Australia.;Slinger, J (corresponding author), Univ Tasmania, Inst Marine &amp; Antarct Studies, Launceston, Tas 7250, Australia.</t>
  </si>
  <si>
    <t>Joel.Slinger@csiro.au; Mark.Adams@utas.edu.au; James.Wynne@csiro.au</t>
  </si>
  <si>
    <t>Wynne, James W/H-7957-2013; Slinger, Joel/AAD-6684-2022</t>
  </si>
  <si>
    <t>Wynne, James W/0000-0001-6846-757X; Slinger, Joel/0000-0003-2781-2300</t>
  </si>
  <si>
    <t>CSIRO; Tassal Group Ltd.; Institute for Marine and Antarctic Studies (University of Tasmania)</t>
  </si>
  <si>
    <t>CSIRO(Commonwealth Scientific &amp; Industrial Research Organisation (CSIRO)); Tassal Group Ltd.; Institute for Marine and Antarctic Studies (University of Tasmania)</t>
  </si>
  <si>
    <t>We gratefully thank CSIRO and Tassal Group Ltd. for supporting this study. This research was enabled by a PhD scholarship awarded to JS from the Institute for Marine and Antarctic Studies (University of Tasmania).</t>
  </si>
  <si>
    <t>10.3390/microorganisms8081189</t>
  </si>
  <si>
    <t>NK9TQ</t>
  </si>
  <si>
    <t>WOS:000567071300001</t>
  </si>
  <si>
    <t>Gupta, M; Follows, MJ; Lauderdale, JM</t>
  </si>
  <si>
    <t>Gupta, Mukund; Follows, Michael J.; Lauderdale, Jonathan Maitland</t>
  </si>
  <si>
    <t>The Effect of Antarctic Sea Ice on Southern Ocean Carbon Outgassing: Capping Versus Light Attenuation</t>
  </si>
  <si>
    <t>sea ice; carbon; Southern Ocean; Antarctica; light limitation; capping</t>
  </si>
  <si>
    <t>LAST GLACIAL MAXIMUM; TERRA-NOVA BAY; OVERTURNING CIRCULATION; SURFACE TEMPERATURE; GLOBAL OCEAN; HEAT-FLUX; ROSS SEA; CO2; VARIABILITY; MODEL</t>
  </si>
  <si>
    <t>We examine the role of sea ice in controlling air-sea carbon fluxes around Antarctica using numerical simulations and idealized theory. Upwelling of carbon and nutrient-rich deep waters in the Southern Ocean promotes outgassing of CO(2)and fuels the biological flux of sinking organic particles. Sea ice inhibits outgassing, by presenting a physical barrier to air-sea exchange (capping), and decreases biological uptake by reducing the flux of photons to the ocean surface (light attenuation). These two compensating effects suggest that changes in sea ice may have a modest impact on the air-sea flux of CO(2)in the region. Numerical simulations support this inference, showing that the net integrated flux remains nearly constant for a large range of sea ice fractions when the ice cover is uniform and time-invariant. Consequently, the outgassing flux is only significantly capped when the ice cover is nearly complete. A simple analytical model shows that the compensation strength can be uniquely characterized by a single parameter that depends on the flow residence time scale under ice, relative to the air-sea equilibration and biological time scales. When the ice is seasonal, compensation between capping and light attenuation is weakened, but still significant. The spring months are particularly important due to the co-occurrence of an extended sea ice cover and the presence of sunlight.</t>
  </si>
  <si>
    <t>[Gupta, Mukund; Follows, Michael J.; Lauderdale, Jonathan Maitland] MIT, Dept Earth Atmosphere &amp; Planetary Sci, 77 Massachusetts Ave, Cambridge, MA 02139 USA</t>
  </si>
  <si>
    <t>Massachusetts Institute of Technology (MIT)</t>
  </si>
  <si>
    <t>Follows, Michael J/G-9824-2011; Lauderdale, Jonathan Maitland/AAU-5792-2020</t>
  </si>
  <si>
    <t>Lauderdale, Jonathan Maitland/0000-0002-2993-7484; /0000-0003-0181-9504</t>
  </si>
  <si>
    <t>FESD Ozone Hole grant; NSF PIRE Project [1545859]; Office Of Internatl Science &amp;Engineering; Office Of The Director [1545859] Funding Source: National Science Foundation</t>
  </si>
  <si>
    <t>FESD Ozone Hole grant; NSF PIRE Project(National Science Foundation (NSF)NSF - Office of the Director (OD)); Office Of Internatl Science &amp;Engineering; Office Of The Director(National Science Foundation (NSF)NSF - Office of the Director (OD))</t>
  </si>
  <si>
    <t>M. G. acknowledges support from the FESD Ozone Hole grant. M. J. F. and J. M. L. acknowledge funding from NSF PIRE Project 1545859. We are grateful to Jean-Michel Campin and Hajoon Song for their help with the model setup. We also thank two anonymous reviewers and the Editor for their valuable comments on the manuscript.</t>
  </si>
  <si>
    <t>e2019GB006489</t>
  </si>
  <si>
    <t>10.1029/2019GB006489</t>
  </si>
  <si>
    <t>NJ7SK</t>
  </si>
  <si>
    <t>WOS:000566242800006</t>
  </si>
  <si>
    <t>Schlunegger, S; Rodgers, KB; Sarmiento, JL; Ilyina, T; Dunne, JP; Takano, Y; Christian, JR; Long, MC; Frölicher, TL; Slater, R; Lehner, F</t>
  </si>
  <si>
    <t>Schlunegger, Sarah; Rodgers, Keith B.; Sarmiento, Jorge L.; Ilyina, Tatiana; Dunne, John P.; Takano, Yohei; Christian, James R.; Long, Matthew C.; Frolicher, Thomas L.; Slater, Richard; Lehner, Flavio</t>
  </si>
  <si>
    <t>Time of Emergence and Large Ensemble Intercomparison for Ocean Biogeochemical Trends</t>
  </si>
  <si>
    <t>ocean biogeochemistry; Time of Emergence; Earth system models; model intercomparison; uncertainty quantification; anthropogenic trends</t>
  </si>
  <si>
    <t>EARTH SYSTEM MODEL; GLOBAL WATER CYCLE; CLIMATE-CHANGE; 21ST-CENTURY PROJECTIONS; CARBON UPTAKE; UNCERTAINTY; VARIABILITY; PREINDUSTRIAL; FORMULATION; INSIGHTS</t>
  </si>
  <si>
    <t>Anthropogenically forced changes in ocean biogeochemistry are underway and critical for the ocean carbon sink and marine habitat. Detecting such changes in ocean biogeochemistry will require quantification of the magnitude of the change (anthropogenic signal) and the natural variability inherent to the climate system (noise). Here we use Large Ensemble (LE) experiments from four Earth system models (ESMs) with multiple emissions scenarios to estimate Time of Emergence (ToE) and partition projection uncertainty for anthropogenic signals in five biogeochemically important upper-ocean variables. We find ToEs are robust across ESMs for sea surface temperature and the invasion of anthropogenic carbon; emergence time scales are 20-30 yr. For the biological carbon pump, and sea surface chlorophyll and salinity, emergence time scales are longer (50+ yr), less robust across the ESMs, and more sensitive to the forcing scenario considered. We find internal variability uncertainty, and model differences in the internal variability uncertainty, can be consequential sources of uncertainty for projecting regional changes in ocean biogeochemistry over the coming decades. In combining structural, scenario, and internal variability uncertainty, this study represents the most comprehensive characterization of biogeochemical emergence time scales and uncertainty to date. Our findings delineate critical spatial and duration requirements for marine observing systems to robustly detect anthropogenic change.</t>
  </si>
  <si>
    <t>[Schlunegger, Sarah; Rodgers, Keith B.; Sarmiento, Jorge L.; Slater, Richard] Princeton Univ, Program Atmospher &amp; Ocean Sci, Princeton, NJ 08544 USA; [Rodgers, Keith B.] Inst Basic Sci, Ctr Climate Phys, Busan, South Korea; [Rodgers, Keith B.] Pusan Natl Univ, Busan, South Korea; [Ilyina, Tatiana; Takano, Yohei] Max Plank Inst Meteorol, Hamburg, Germany; [Dunne, John P.] NOAA, Geophys Fluid Dynam Lab, Princeton, NJ USA; [Takano, Yohei] Los Alamos Natl Lab, Los Alamos, NM USA; [Christian, James R.] Canadian Ctr Climate Modeling &amp; Anal, Victoria, BC, Canada; [Long, Matthew C.; Lehner, Flavio] Natl Ctr Atmospher Res, POB 3000, Boulder, CO 80307 USA; [Frolicher, Thomas L.] Univ Bern, Phys Inst, Climate &amp; Environm Phys, Bern, Switzerland; [Frolicher, Thomas L.] Univ Bern, Oeschger Ctr Climate Change Res, Bern, Switzerland</t>
  </si>
  <si>
    <t>Princeton University; National Oceanic Atmospheric Admin (NOAA) - USA; Institute for Basic Science - Korea (IBS); Pusan National University; Max Planck Society; National Oceanic Atmospheric Admin (NOAA) - USA; United States Department of Energy (DOE); Los Alamos National Laboratory; Environment &amp; Climate Change Canada; Canadian Centre for Climate Modelling &amp; Analysis (CCCma); National Center Atmospheric Research (NCAR) - USA; University of Bern; University of Bern</t>
  </si>
  <si>
    <t>Schlunegger, S (corresponding author), Princeton Univ, Program Atmospher &amp; Ocean Sci, Princeton, NJ 08544 USA.</t>
  </si>
  <si>
    <t>sarah.schlunegger@princeton.edu</t>
  </si>
  <si>
    <t>Long, Matthew C/H-4632-2016; Froelicher, Thomas/AAG-9598-2019; Rodgers, Keith/AAL-4329-2021; Ilyina, Tatiana/ABE-9164-2020; Dunne, John/F-8086-2012</t>
  </si>
  <si>
    <t>Froelicher, Thomas/0000-0003-2348-7854; Ilyina, Tatiana/0000-0002-3475-4842; Slater, Richard/0000-0001-8868-1338; Rodgers, Keith/0000-0002-6465-8923; Long, Matthew/0000-0003-1273-2957; Dunne, John/0000-0002-8794-0489; Takano, Yohei/0000-0001-7984-8810; Lehner, Flavio/0000-0003-4632-9701; Schlunegger, Sarah/0000-0002-6668-9088</t>
  </si>
  <si>
    <t>NASA [NNX17AI75G]; NOAA Office of Climate Observations, NOAA [NA11OAR4310066, IBS-R028-D1]; NSF's Southern Ocean Carbon and Climate Observations and Modeling (SOCCOM) Project under the NSF [PLR-1425989]; NOAA; NASA; Swiss National Science Foundation [PP00P2_170687]; European Unions' Horizon 2020 research and innovation program [820989, 821003]; European Union Horizon 2020 research and innovation program [641816]; NSF [AGS-0856145, 87]; Regional and Global Model Analysis (RGMA) component of the Earth and Environmental System Modeling Program of the U.S. Department of Energy's Office of Biological and Environmental Research (BER) Cooperative Agreement [DE-FC02-97ER62402]; National Science Foundation (NSF); National Center for Atmospheric Research - NSF [1852977]; [NA17RJ2612]; [A08OAR4320752]</t>
  </si>
  <si>
    <t>NASA(National Aeronautics &amp; Space Administration (NASA)); NOAA Office of Climate Observations, NOAA; NSF's Southern Ocean Carbon and Climate Observations and Modeling (SOCCOM) Project under the NSF; NOAA(National Oceanic Atmospheric Admin (NOAA) - USA); NASA(National Aeronautics &amp; Space Administration (NASA)); Swiss National Science Foundation(Swiss National Science Foundation (SNSF)); European Unions' Horizon 2020 research and innovation program(Horizon 2020); European Union Horizon 2020 research and innovation program(Horizon 2020); NSF(National Science Foundation (NSF)); Regional and Global Model Analysis (RGMA) component of the Earth and Environmental System Modeling Program of the U.S. Department of Energy's Office of Biological and Environmental Research (BER) Cooperative Agreement; National Science Foundation (NSF)(National Science Foundation (NSF)); National Center for Atmospheric Research - NSF(National Science Foundation (NSF)NSF - Directorate for Geosciences (GEO)); ;</t>
  </si>
  <si>
    <t>S. S. and K. B. R. were supported by NASA Award NNX17AI75G. Partial support for K. B. R. was provided through Awards NA17RJ2612 and A08OAR4320752, including support through the NOAA Office of Climate Observations, NOAA Award NA11OAR4310066, and through IBS-R028-D1. J. L. S. acknowledges support by NSF's Southern Ocean Carbon and Climate Observations and Modeling (SOCCOM) Project under the NSF Award PLR-1425989, with additional support from NOAA and NASA. Logistical support for this project in the Antarctic was provided by the U.S. National Science Foundation through the U.S. Antarctic Program. T. L. F. acknowledges support from the Swiss National Science Foundation under Grant PP00P2_170687 and from the European Unions' Horizon 2020 research and innovation program under Grant Agreements 820989 (Project COMFORT) and 821003 (Project 4C). The numerical simulations for the GFDL Large Ensembles were performed with the computational resources of NOAA/GFDL. T. I. and Y. T. acknowledge funding from European Union Horizon 2020 research and innovation program under Grant Agreement 641816 (CRESCENDO). F. L. is supported by NSF AGS-0856145, Amendment 87, and the Regional and Global Model Analysis (RGMA) component of the Earth and Environmental System Modeling Program of the U.S. Department of Energy's Office of Biological and Environmental Research (BER) Cooperative Agreement DE-FC02-97ER62402. The CESM project is supported primarily by the National Science Foundation (NSF). This material is based upon work supported by the National Center for Atmospheric Research, which is a major facility sponsored by the NSF under Cooperative Agreement 1852977. Computing and data storage resources, including the Cheyenne supercomputer, were provided by the Computational and Information Systems Laboratory (CISL) at NCAR. We also wish to thank the reviewers for contributing constructive feedback on the manuscript.</t>
  </si>
  <si>
    <t>e2019GB006453</t>
  </si>
  <si>
    <t>10.1029/2019GB006453</t>
  </si>
  <si>
    <t>hybrid, Green Published, Green Submitted</t>
  </si>
  <si>
    <t>WOS:000566242800012</t>
  </si>
  <si>
    <t>Feng, R; Otto-Bliesner, BL; Brady, EC; Rosenbloom, N</t>
  </si>
  <si>
    <t>Feng, Ran; Otto-Bliesner, Bette L.; Brady, Esther C.; Rosenbloom, Nan</t>
  </si>
  <si>
    <t>Increased Climate Response and Earth System Sensitivity From CCSM4 to CESM2 in Mid-Pliocene Simulations</t>
  </si>
  <si>
    <t>PMIP4; PlioMIP2; Earth System Sensitivity; mid-Pliocene; tropical circulation; AMOC</t>
  </si>
  <si>
    <t>COMMUNITY ATMOSPHERE MODEL; SEA-SURFACE TEMPERATURES; HADLEY CIRCULATION; FEEDBACKS; WARMTH; REPRESENTATION; MICROPHYSICS; VARIABILITY; CONSISTENT; GRADIENTS</t>
  </si>
  <si>
    <t>Three new equilibrium mid-Pliocene (MP) simulations are implemented with the Community Climate System Model version 4 (CCSM4) and Community Earth System Model versions 1.2 (CESM1.2) and 2 (CESM2). All simulations are carried out with the same boundary and forcing conditions following the protocol of Pliocene Model Intercomparison Project Phase 2 (PlioMIP2). These simulations reveal amplified MP climate change relative to the preindustrial going from CCSM4 to CESM2, seen in global and polar averages of surface warming, sea ice reduction in both the Arctic and the Antarctic, and weakened Hadley circulation. The enhanced global mean warming arises from enhanced Earth system sensitivity (ESS) to not only CO(2)change but also changes in boundary conditions primarily from vegetation and ice sheets. ESS is amplified by up to 70% in CCSM4 and up to 100% in CESM1.2 and CESM2 relative to the equilibrium climate sensitivity of respective models. Simulations disagree on several climate metrics. Different from CCSM4, both CESM1.2 and CESM2 show reduction of cloud cover, and weakened Walker circulation accompanied by an El Nino-like mean state of the tropical Pacific in MP simulations relative to the preindustrial. This El Nino-like mean state is consistent with paleo-observational sea surface temperatures, suggesting an improvement upon CCSM4. The performances of MP simulations are assessed with a new compilation of observational MP sea surface temperature. The model-data comparison suggests that CCSM4 is not sensitivity enough to the MP forcings, but CESM2 is likely too sensitive, especially in the tropics.</t>
  </si>
  <si>
    <t>[Feng, Ran] Univ Connecticut, Dept Geosci, Storrs, CT 06269 USA; [Otto-Bliesner, Bette L.; Brady, Esther C.; Rosenbloom, Nan] Natl Ctr Atmospher Res, POB 3000, Boulder, CO 80307 USA</t>
  </si>
  <si>
    <t>University of Connecticut; National Center Atmospheric Research (NCAR) - USA</t>
  </si>
  <si>
    <t>Feng, R (corresponding author), Univ Connecticut, Dept Geosci, Storrs, CT 06269 USA.</t>
  </si>
  <si>
    <t>ran.feng@uconn.edu</t>
  </si>
  <si>
    <t>Feng, Ran/HPE-3363-2023</t>
  </si>
  <si>
    <t>Otto-Bliesner, Bette/0000-0003-1911-1598; Rosenbloom, Nan/0000-0001-7389-3346</t>
  </si>
  <si>
    <t>National Science Foundation [1903650, 1814029, 1418411]; NCAR - National Science Foundation [1852977]; Directorate For Geosciences; Division Of Earth Sciences [1814029] Funding Source: National Science Foundation; Division Of Ocean Sciences; Directorate For Geosciences [1903650] Funding Source: National Science Foundation</t>
  </si>
  <si>
    <t>National Science Foundation(National Science Foundation (NSF)); NCAR - National Science Foundation; Directorate For Geosciences; Division Of Earth Sciences(National Science Foundation (NSF)NSF - Directorate for Geosciences (GEO)); Division Of Ocean Sciences; Directorate For Geosciences(National Science Foundation (NSF)NSF - Directorate for Geosciences (GEO))</t>
  </si>
  <si>
    <t>The authors are grateful for the helpful insights about paleo-observation data from Harry Dowsett, PlioMIP2 boundary condition design from Alan Haywood, Aisling Dolan, and Harry Dowsett, estuary box model from Y.-H. Tseng, land model boundary conditions from Erik Kluzek, land model initialization from Keith Olson, and land model debugging from Bill Sacks. We would also like to acknowledge high-performance computing support from Cheyenne (doi:10.5065/D6RX99HX) provided by the National Center for Atmospheric Research's (NCAR's) Computational and Information Systems Laboratory, sponsored by the National Science Foundation. This research is sponsored by National Science Foundation Grants 1903650 and 1814029 to R. Feng and 1418411 to Bette L. Otto-Bliesner. The CESM project is supported primarily by the National Science Foundation. This material is based upon work supported by NCAR, which is a major facility sponsored by the National Science Foundation under Cooperative Agreement 1852977. Computing and data storage resources, including the Cheyenne supercomputer (doi:10.5065/D6RX99HX), were provided by the Computational and Information Systems Laboratory (CISL) at NCAR. Finally, we would like to thank two anonymous reviewers and the editor for their helpful comments and suggestions.</t>
  </si>
  <si>
    <t>e2019MS002033</t>
  </si>
  <si>
    <t>10.1029/2019MS002033</t>
  </si>
  <si>
    <t>NJ7FN</t>
  </si>
  <si>
    <t>WOS:000566209200010</t>
  </si>
  <si>
    <t>Lin, YL; Huang, XM; Liang, YS; Qin, Y; Xu, SM; Huang, WY; Xu, FH; Liu, L; Wang, Y; Peng, YR; Wang, LN; Xue, W; Fu, HH; Zhang, GJ; Wang, B; Li, RZ; Zhang, C; Lu, H; Yang, K; Luo, Y; Bai, YQ; Song, ZY; Wang, MQ; Zhao, WJ; Zhang, F; Xu, JH; Zhao, X; Lu, CS; Chen, YZ; Luo, YQ; Hu, Y; Tang, Q; Chen, DX; Yang, GW; Gong, P</t>
  </si>
  <si>
    <t>Lin, Yanluan; Huang, Xiaomeng; Liang, Yishuang; Qin, Yi; Xu, Shiming; Huang, Wenyu; Xu, Fanghua; Liu, Li; Wang, Yong; Peng, Yiran; Wang, Lanning; Xue, Wei; Fu, Haohuan; Zhang, Guang Jun; Wang, Bin; Li, Ruizhe; Zhang, Cheng; Lu, Hui; Yang, Kun; Luo, Yong; Bai, Yuqi; Song, Zhenya; Wang, Minqi; Zhao, Wenjie; Zhang, Feng; Xu, Jingheng; Zhao, Xi; Lu, Chunsong; Chen, Yizhao; Luo, Yiqi; Hu, Yong; Tang, Qiang; Chen, Dexun; Yang, Guangwen; Gong, Peng</t>
  </si>
  <si>
    <t>Community Integrated Earth System Model (CIESM): Description and Evaluation</t>
  </si>
  <si>
    <t>Community Integrated Earth System Model; preindustrial and historical simulations; coupled model evaluation</t>
  </si>
  <si>
    <t>HARMONIC EXPANSION APPROXIMATION; CLOUD MICROPHYSICS SCHEME; ATMOSPHERE MODEL; CLIMATE SIMULATIONS; RIMING INTENSITY; OCEAN FRONTS; PARAMETERIZATION; CONVECTION; IMPACT; TEMPERATURE</t>
  </si>
  <si>
    <t>A team effort to develop a Community Integrated Earth System Model (CIESM) was initiated in China in 2012. The model was based on NCAR Community Earth System Model (Version 1.2.1) with several novel developments and modifications aimed to overcome some persistent systematic biases, such as the double Intertropical Convergence Zone problem and underestimated marine boundary layer clouds. Aerosols' direct and indirect effects are prescribed using the MACv2-SP approach and data sets. The spin-up of a 500-year preindustrial simulation and three historical simulations are described and evaluated. Prominent improvements include alleviated double Intertropical Convergence Zone problem, increased marine boundary layer clouds, and better El Nino Southern Oscillation amplitude and periods. One deficiency of the model is the significantly underestimated Arctic and Antarctic sea ice in warm seasons. The historical warming is about 0.55 degrees C greater than observations toward 2014. CIESM has an equilibrium climate sensitivity of 5.67 K, mainly resulted from increased positive shortwave cloud feedback. Our efforts on porting and redesigning CIESM for the heterogeneous Sunway TaihuLight supercomputer are also introduced, including some ongoing developments toward a future version of the model.</t>
  </si>
  <si>
    <t>[Lin, Yanluan; Huang, Xiaomeng; Liang, Yishuang; Qin, Yi; Xu, Shiming; Huang, Wenyu; Xu, Fanghua; Liu, Li; Wang, Yong; Peng, Yiran; Xue, Wei; Fu, Haohuan; Wang, Bin; Li, Ruizhe; Zhang, Cheng; Lu, Hui; Yang, Kun; Luo, Yong; Bai, Yuqi; Wang, Minqi; Zhao, Wenjie; Xu, Jingheng; Zhao, Xi; Hu, Yong; Tang, Qiang; Gong, Peng] Tsinghua Univ, Minist Educ, Key Lab Earth Syst Modeling, Dept Earth Syst Sci, Beijing, Peoples R China; [Wang, Lanning] Beijing Normal Univ, Coll Global Change &amp; Earth Syst Sci, Beijing, Peoples R China; [Zhang, Guang Jun] Scripps Inst Oceanog, La Jolla, CA USA; [Wang, Bin] Chinese Acad Sci, Inst Atmospher Phys, Beijing, Peoples R China; [Song, Zhenya] Minist Nat Resources, Inst Oceanog 5, Qingdao, Peoples R China; [Zhang, Feng; Lu, Chunsong] Fudan Univ, Dept Atmospher &amp; Ocean Sci, Shanghai, Peoples R China; [Zhang, Feng; Lu, Chunsong] Fudan Univ, Inst Atmospher Sci, Shanghai, Peoples R China; [Chen, Yizhao] Nanjing Forestry Univ, Coll Biol &amp; Environm, Joint Innovat Ctr Modern Forestry Studies, Nanjing, Peoples R China; [Luo, Yiqi] No Arizona Univ, Dept Biol Sci, Ctr Ecosyst Sci &amp; Soc, Box 5640, Flagstaff, AZ 86011 USA; [Chen, Dexun] Jiangnan Inst Comp Technol, Wuxi, Jiangsu, Peoples R China; [Yang, Guangwen] Natl Supercomp Ctr Wuxi, Wuxi, Jiangsu, Peoples R China</t>
  </si>
  <si>
    <t>Tsinghua University; Beijing Normal University; University of California System; University of California San Diego; Scripps Institution of Oceanography; Chinese Academy of Sciences; Institute of Atmospheric Physics, CAS; Ministry of Natural Resources of the People's Republic of China; Fudan University; Fudan University; Nanjing Forestry University; Northern Arizona University</t>
  </si>
  <si>
    <t>Lin, YL (corresponding author), Tsinghua Univ, Minist Educ, Key Lab Earth Syst Modeling, Dept Earth Syst Sci, Beijing, Peoples R China.</t>
  </si>
  <si>
    <t>yanluan@tsinghua.edu.cn</t>
  </si>
  <si>
    <t>Lu, Chunsong/F-2645-2013; Lu, Hui/H-4349-2011; Wang, Bin/D-9724-2012; huang, wenyu/HTQ-5747-2023; Yang, Wei/HIA-0360-2022; LUO, Yong/AAP-3596-2021; Xu, Fanghua/H-2398-2015; Yang, Wei/JBJ-1928-2023; Keyes, Dennis/AAZ-9285-2021; Peng, Yiran/N-1461-2013; Gong, Peng/AAM-1516-2021; Yang, Wei/GWV-4107-2022; Yang, Kun/G-8390-2011; Yang, Kun/ISA-1094-2023; Qin, Yi/AAC-5477-2022; Zhao, Xi/AAN-9269-2020; Wang, Bin/P-9121-2014; Huang, Wenyu/M-7584-2014</t>
  </si>
  <si>
    <t>Lu, Hui/0000-0003-1640-239X; Xu, Fanghua/0000-0003-4057-8387; Gong, Peng/0000-0003-1513-3765; Yang, Kun/0000-0002-0809-2371; Yang, Kun/0000-0003-1335-3449; Qin, Yi/0000-0001-9045-8688; Zhao, Xi/0000-0002-4824-2231; Zhang, Guang/0000-0002-9712-5226; Huang, Wenyu/0000-0001-9722-5502; Huang, Xiaomeng/0000-0002-4158-1089; Peng, Yiran/0000-0002-3686-5458; Wang, Yong/0000-0002-5831-9466</t>
  </si>
  <si>
    <t>Tsinghua University Initiative Scientific Research Program</t>
  </si>
  <si>
    <t>This work would not be possible without the continuous coordination and encouragement of Professor Xu Guanghua, who has devoted himself to push forward the global change program and Earth system model development in China and particularly at Tsinghua University for more than 12 years. This work was supported by Tsinghua University Initiative Scientific Research Program. Computing and data storage resources were provided by National Supercomputing Center in Wuxi. We thank Qi Tang and Jean-Christophe Golaz for the help with Figure 10. We thank all the scientists and software engineers who contributed to the CESM1.2.1, which served as the base for the CIESM development. The development of CIESM benefited from a large number of people, both within and outside Tsinghua, beyond the list of authors of this work.</t>
  </si>
  <si>
    <t>e2019MS002036</t>
  </si>
  <si>
    <t>10.1029/2019MS002036</t>
  </si>
  <si>
    <t>WOS:000566209200003</t>
  </si>
  <si>
    <t>Mackie, S; Langhorne, PJ; Heorton, HDBS; Smith, IJ; Feltham, DL; Schroeder, D</t>
  </si>
  <si>
    <t>Mackie, Shona; Langhorne, Patricia J.; Heorton, Harold D. B. S.; Smith, Inga J.; Feltham, Daniel L.; Schroeder, David</t>
  </si>
  <si>
    <t>Sea Ice Formation in a Coupled Climate Model Including Grease Ice</t>
  </si>
  <si>
    <t>sea ice; climate modeling; Arctic; HadGEM3-GC3; 1; polar; Antarctic</t>
  </si>
  <si>
    <t>ARCTIC-OCEAN; LEADS; SIMULATIONS; THICKNESS; DYNAMICS; FRAZIL; BASIN; FIELD; CO2</t>
  </si>
  <si>
    <t>Sea ice formation processes occur on subgrid scales, and the detailed physics describing the processes are therefore not generally represented in climate models. One likely consequence of this is the premature closing of areas of open water in model simulations, which may result in a misrepresentation of heat and gas exchange between the ocean and atmosphere. This work demonstrates the implementation of a more realistic model of sea ice formation, introducing grease ice as a wind and oceanic stress-dependent intermediary state between water and new sea ice. We use the fully coupled land-atmosphere-ocean-sea ice model, HadGEM3-GC3.1 and perform a three-member ensemble with the new grease ice scheme from 1964 to 2013. Comparing our sea ice results with the existing ensemble without grease ice formation shows an increase in sea ice thickness and volume in the Arctic. In the Antarctic, including grease ice processes results in large local changes to both simulated sea ice concentration and thickness, but no change to the total area or volume. Plain Language Summary The way that new sea ice forms in most climate models may result in new sea ice forming more quickly than it does in reality, prematurely closing areas of open water that are important to heat and gas exchange between the ocean and atmosphere, and impacting the albedo, and therefore the radiation budget, of the planet. In this work, we implement a more realistic representation of how new sea ice forms in a fully coupled climate model, and demonstrate the effect using an ensemble of historical climate simulations.</t>
  </si>
  <si>
    <t>[Mackie, Shona; Langhorne, Patricia J.; Smith, Inga J.] Univ Otago, Dept Phys, Dunedin, New Zealand; [Heorton, Harold D. B. S.] UCL, Dept Earth Sci, London, England; [Feltham, Daniel L.; Schroeder, David] Univ Reading, Dept Meteorol, Reading, Berks, England</t>
  </si>
  <si>
    <t>University of Otago; University of London; University College London; University of Reading</t>
  </si>
  <si>
    <t>shonalmackie@gmail.com</t>
  </si>
  <si>
    <t>Feltham, Daniel/0000-0003-2289-014X; mackie, shona/0000-0002-8382-2952; Langhorne, Pat/0000-0003-0239-7657; Heorton, Harold/0000-0003-0447-7028</t>
  </si>
  <si>
    <t>New Zealand Deep South National Science Challenge, Targeted Observations and Process-informed Modelling of Antarctic Sea Ice [C01X1445]; Met Office; Natural Environment Research Council; EPSRC [EP/K032208/1]; New Zealand Ministry of Business, Innovation &amp; Employment (MBIE) [C01X1445] Funding Source: New Zealand Ministry of Business, Innovation &amp; Employment (MBIE); NERC [cpom30001] Funding Source: UKRI</t>
  </si>
  <si>
    <t>New Zealand Deep South National Science Challenge, Targeted Observations and Process-informed Modelling of Antarctic Sea Ice; Met Office; Natural Environment Research Council(UK Research &amp; Innovation (UKRI)Natural Environment Research Council (NERC)); EPSRC(UK Research &amp; Innovation (UKRI)Engineering &amp; Physical Sciences Research Council (EPSRC)); New Zealand Ministry of Business, Innovation &amp; Employment (MBIE)(New Zealand Ministry of Business, Innovation and Employment (MBIE)); NERC(UK Research &amp; Innovation (UKRI)Natural Environment Research Council (NERC))</t>
  </si>
  <si>
    <t>This work was funded by New Zealand Deep South National Science Challenge, Targeted Observations and Process-informed Modelling of Antarctic Sea Ice, Contract C01X1445. Data for STANDARD were provided by U.K. Met Office, and we acknowledge use of the Monsoon2 system, a collaborative High Performance Computing facility funded by the Met Office and the Natural Environment Research Council. P. J. L., D. S., and D. F. enjoyed support and hospitality from the Isaac Newton Institute for Mathematical Sciences, Cambridge during the Mathematics of Sea Ice Phenomena, EPSRC Grant EP/K032208/1.</t>
  </si>
  <si>
    <t>e2020MS002103</t>
  </si>
  <si>
    <t>10.1029/2020MS002103</t>
  </si>
  <si>
    <t>WOS:000566209200027</t>
  </si>
  <si>
    <t>Risi, C; Muller, C; Blossey, P</t>
  </si>
  <si>
    <t>Risi, Camille; Muller, Caroline; Blossey, Peter</t>
  </si>
  <si>
    <t>What Controls the Water Vapor Isotopic Composition Near the Surface of Tropical Oceans? Results From an Analytical Model Constrained by Large-Eddy Simulations</t>
  </si>
  <si>
    <t>water isotopes; convection; large-eddy simulation</t>
  </si>
  <si>
    <t>BOUNDARY-LAYER; DEUTERIUM EXCESS; ANTARCTIC PRECIPITATION; RAIN EVAPORATION; COLD POOLS; CONVECTION; MONSOON; SCALE; DELTA-O-18; HUMIDITY</t>
  </si>
  <si>
    <t>The goal of this study is to understand the mechanisms controlling the isotopic composition of the water vapor near the surface of tropical oceans, at the scale of about a hundred kilometers and a month. In the tropics, it has long been observed that the isotopic compositions of rain and vapor near the surface are more depleted when the precipitation rate is high. This is called the amount effect. Previous studies, based on observations or models with parameterized convection, have highlighted the roles of deep convective and mesoscale downdrafts and rain evaporation. But the relative importance of these processes has never been quantified. We hypothesize that it can be quantified using an analytical model constrained by large-eddy simulations. Results from large-eddy simulations confirm that the classical amount effect can be simulated only if precipitation rate changes result from changes in the large-scale circulation. We find that the main process depleting the water vapor compared to the equilibrium with the ocean is the fact that updrafts stem from areas where the water vapor is more enriched. The main process responsible for the amount effect is the fact that when the large-scale ascent increases, isotopic vertical gradients are steeper, so that updrafts and downdrafts deplete the subcloud layer more efficiently.</t>
  </si>
  <si>
    <t>[Risi, Camille; Muller, Caroline] PSL Res Univ, Sorbonne Univ, Ecole Normale Super, IPSL,CNRS,Lab Meteorol Dynam, Paris, France; [Blossey, Peter] Univ Washington, Dept Atmospher Sci, Seattle, WA 98195 USA</t>
  </si>
  <si>
    <t>Universite Paris Cite; Centre National de la Recherche Scientifique (CNRS); Sorbonne Universite; Universite PSL; Ecole Normale Superieure (ENS); University of Washington; University of Washington Seattle</t>
  </si>
  <si>
    <t>Risi, C (corresponding author), PSL Res Univ, Sorbonne Univ, Ecole Normale Super, IPSL,CNRS,Lab Meteorol Dynam, Paris, France.</t>
  </si>
  <si>
    <t>crlmd@lmd.jussieu.fr</t>
  </si>
  <si>
    <t>Blossey, Peter/IYJ-5220-2023</t>
  </si>
  <si>
    <t>muller, caroline/0000-0001-5836-5350; Blossey, Peter/0000-0002-0352-0840</t>
  </si>
  <si>
    <t>European Research Council (ERC) under the European Union's Horizon 2020 research and innovation program [805041]; National Science Foundation [AGS-1938108]; NASA [NNX13AN47G]; NASA [467684, NNX13AN47G] Funding Source: Federal RePORTER; European Research Council (ERC) [805041] Funding Source: European Research Council (ERC)</t>
  </si>
  <si>
    <t>European Research Council (ERC) under the European Union's Horizon 2020 research and innovation program(European Research Council (ERC)); National Science Foundation(National Science Foundation (NSF)); NASA(National Aeronautics &amp; Space Administration (NASA)); NASA(National Aeronautics &amp; Space Administration (NASA)); European Research Council (ERC)(European Research Council (ERC)Spanish Government)</t>
  </si>
  <si>
    <t>This work was granted access to the HPC resources of IDRIS under the allocation 2092 made by GENCI. We thank Giuseppe Torri, Jean-Yves Grandpeix, Sandrine Bony, and Joe Galewsky for discussions. We thank La Schmitz and Alexandre Hebre for their preliminary work on this subject during their master and bachelor internships, respectively. C. M. gratefully acknowledges funding from the European Research Council (ERC) under the European Union's Horizon 2020 research and innovation program (Project CLUSTER, Grant Agreement 805041). The contribution of P. B. was supported by the National Science Foundation under Grant AGS-1938108 and by NASA Grant NNX13AN47G.</t>
  </si>
  <si>
    <t>e2020MS002106</t>
  </si>
  <si>
    <t>10.1029/2020MS002106</t>
  </si>
  <si>
    <t>WOS:000566209200013</t>
  </si>
  <si>
    <t>Forsyth, C; Watt, CEJ; Mooney, MK; Rae, IJ; Walton, SD; Horne, RB</t>
  </si>
  <si>
    <t>Forsyth, C.; Watt, C. E. J.; Mooney, M. K.; Rae, I. J.; Walton, S. D.; Horne, R. B.</t>
  </si>
  <si>
    <t>Forecasting GOES 15&gt;2 MeV Electron Fluxes From Solar Wind Data and Geomagnetic Indices</t>
  </si>
  <si>
    <t>radiation belt; geosynchronous orbit; space radiation; forecasts; probabilistic; deterministic</t>
  </si>
  <si>
    <t>WAVE-PARTICLE INTERACTIONS; HIGH-ENERGY ELECTRONS; RADIATION BELT; QUANTITATIVE PREDICTION; ACCELERATION; MODEL; SATELLITES; SUBSTORMS; DYNAMICS</t>
  </si>
  <si>
    <t>The flux of &gt; 2 MeV electrons at geosynchronous orbit is used by space weather forecasters as a key indicator of enhanced risk of damage to spacecraft in low, medium, or geosynchronous Earth orbits. We present a methodology that uses the amount of time a single input data set (solar wind data or geomagnetic indices) exceeds a given threshold to produce deterministic and probabilistic forecasts of the&gt;2 MeV flux at GEO exceeding 1,000 or 10,000 cm(-2) s(-1) sr(-1)within up to 10 days. By comparing our forecasts with measured fluxes from GOES 15 between 2014 and 2016, we determine the optimum forecast thresholds for deterministic and probabilistic forecasts by maximizing the receiver-operating characteristic (ROC) and Brier skill scores, respectively. The training data set gives peak ROC scores of 0.71 to 0.87 and peak Brier skill scores of-0.03 to 0.32. Forecasts from AL give the highest skill scores for forecasts of up to 6 days. AL, solar wind pressure, or SYM-H give the highest skill scores over 7-10 days. Hit rates range over 56-89% with false alarm rates of 11-53%. Applied to 2012, 2013, and 2017, our best forecasts have hit rates of 56-83% and false alarm rates of 10-20%. Further tuning of the forecasts may improve these. Our hit rates are comparable to those from operational fluence forecasts, that incorporate fluence measurements, but our false alarm rates are higher. This proof-of-concept shows that the geosynchronous electron flux can be forecast with a degree of success without incorporating a persistence element into the forecasts.</t>
  </si>
  <si>
    <t>[Forsyth, C.; Mooney, M. K.; Rae, I. J.; Walton, S. D.] UCL, Mullard Space Sci Lab, Dept Space &amp; Climate Phys, London, England; [Watt, C. E. J.] Univ Reading, Dept Meteorol, Reading, Berks, England; [Mooney, M. K.] Met Off, Exeter, Devon, England; [Horne, R. B.] British Antarctic Survey, Cambridge, England</t>
  </si>
  <si>
    <t>University of London; University College London; University of Reading; Met Office - UK; UK Research &amp; Innovation (UKRI); Natural Environment Research Council (NERC); NERC British Antarctic Survey</t>
  </si>
  <si>
    <t>Forsyth, C (corresponding author), UCL, Mullard Space Sci Lab, Dept Space &amp; Climate Phys, London, England.</t>
  </si>
  <si>
    <t>colin.forsyth@ucl.ac.uk</t>
  </si>
  <si>
    <t>Rae, Jonathan/D-8132-2013; Horne, Richard B/U-3764-2019; Watt, Clare/C-5218-2008; Forsyth, Colin/E-4159-2010</t>
  </si>
  <si>
    <t>Rae, Jonathan/0000-0002-2637-4786; Horne, Richard B/0000-0002-0412-6407; Mooney, Michaela/0000-0001-8892-3675; Walton, Samuel/0000-0002-0695-7116; Watt, Clare/0000-0003-3193-8993; Forsyth, Colin/0000-0002-0026-8395</t>
  </si>
  <si>
    <t>NERC Independent Research Fellowship [NE/N014480/1]; UK NERC NPIF studentship [1926376]; Natural Environment Research Council (NERC) Highlight Topic Grant Rad-Sat [NE/P017185/1, NE/P017274/1, NE/P01738X/1]; NERC SWIMMR Grant [NE/V002554/1]; NERC [bas0100031, NE/N014480/1, NE/P017185/1, 1926376, NE/V002759/1, NE/P017274/1, NE/P01738X/1] Funding Source: UKRI; SPF [NE/V002554/1] Funding Source: UKRI; STFC [ST/R000921/1] Funding Source: UKRI</t>
  </si>
  <si>
    <t>NERC Independent Research Fellowship(UK Research &amp; Innovation (UKRI)Natural Environment Research Council (NERC)); UK NERC NPIF studentship; Natural Environment Research Council (NERC) Highlight Topic Grant Rad-Sat(UK Research &amp; Innovation (UKRI)Natural Environment Research Council (NERC)); NERC SWIMMR Grant(UK Research &amp; Innovation (UKRI)Natural Environment Research Council (NERC)); NERC(UK Research &amp; Innovation (UKRI)Natural Environment Research Council (NERC)); SPF; STFC(UK Research &amp; Innovation (UKRI)Science &amp; Technology Facilities Council (STFC))</t>
  </si>
  <si>
    <t>C. F. is supported by NERC Independent Research Fellowship NE/N014480/1. M. K. M. is supported by a UK NERC NPIF studentship 1926376. This research was supported by the Natural Environment Research Council (NERC) Highlight Topic Grant Rad-Sat NE/P017185/1 (MSSL), NE/P017274/1 (UoR), and NE/P01738X/1 (BAS) and NERC SWIMMR Grant NE/V002554/1. We thank the instrument teams, spacecraft operators, and data archives for their efforts in providing these data. Some of the figures within this paper were produced using IDL color-blind-friendly color tables (see Wright, 2017).</t>
  </si>
  <si>
    <t>e2019SW002416</t>
  </si>
  <si>
    <t>10.1029/2019SW002416</t>
  </si>
  <si>
    <t>NK1WW</t>
  </si>
  <si>
    <t>WOS:000566530400001</t>
  </si>
  <si>
    <t>Shreedevi, PR; Choudhary, RK; Thampi, SV; Yadav, S; Pant, TK; Yu, YQ; McGranaghan, R; Thomas, EG; Bhardwaj, A; Sinha, AK</t>
  </si>
  <si>
    <t>Shreedevi, P. R.; Choudhary, R. K.; Thampi, Smitha V.; Yadav, Sneha; Pant, T. K.; Yu, Yiqun; McGranaghan, Ryan; Thomas, Evan G.; Bhardwaj, Anil; Sinha, A. K.</t>
  </si>
  <si>
    <t>Geomagnetic Storm-Induced Plasma Density Enhancements in the Southern Polar Ionospheric Region: A Comparative Study Using St. Patrick's Day Storms of 2013 and 2015</t>
  </si>
  <si>
    <t>geomagnetic storms; high-mid-low latitude coupling; southern polar ionosphere; total electron content</t>
  </si>
  <si>
    <t>ELECTRON-CONTENT; MAGNETOPAUSE; CONVECTION; CURRENTS; DRIFTS; MIDDLE; PHASE; TEC</t>
  </si>
  <si>
    <t>The occurrence of St. Patrick's Day (17 March) geomagnetic storms during two different years (2013 and 2015) with similar solar flux levels but varying storm intensity provided an opportunity to compare and contrast the responses of the ionosphere-thermosphere (IT) system to different levels of geomagnetic activity. The evolution of positive ionospheric storms at the southern polar stations Bharati (76.6 degrees S MLAT) and Davis (76.2 degrees S MLAT) and its causative connection to the solar wind driving mechanisms during these storms has been investigated in this paper. During the main phase of both the storms, significant enhancements in TEC and phase scintillation were observed in the magnetic noon/ midnight period at Bharati and Davis. The TEC in the midnight sector on 17 March 2015 was significantly higher compared to that on 17 March 2013, in line with the storm intensity. The TEC enhancements during both the storm events are associated with the formation of the storm-enhanced densities (SEDs)/tongue of ionization (TOI). The strong and sustained magnetopause erosion led to the prevalence of stronger storm time electric fields (prompt penetration electric field (PPEF)/subauroral polarization streams (SAPS)) for long duration on 17 March 2015. This combined with the action of neutral winds at midlatitudes favored the formation of higher plasma densities in the regions of SED formation on this day. The same was weaker during the 17 March 2013 storm due to the fast fluctuating nature of interplanetary magnetic field (IMF)B-z. This study shows that the duration and extent of magnetopause erosion play an important role in the spatiotemporal evolution of the plasma density distribution in the high-midlatitude ionosphere.</t>
  </si>
  <si>
    <t>[Shreedevi, P. R.; Yu, Yiqun] Beihang Univ, Sch Space &amp; Environm, Beijing, Peoples R China; [Shreedevi, P. R.; Choudhary, R. K.; Thampi, Smitha V.; Yadav, Sneha; Pant, T. K.] Vikram Sarabhai Space Ctr, Space Phys Lab, Thiruvananthapuram, Kerala, India; [McGranaghan, Ryan] Atmosphere &amp; Space Technol Res Associates ASTRA L, Louisville, CO USA; [Thomas, Evan G.] Dartmouth Coll, Thayer Sch Engn, Hanover, NH 03755 USA; [Bhardwaj, Anil] Phys Res Lab, Ahmadabad, Gujarat, India; [Sinha, A. K.] Indian Inst Geomagnetism, New Bombay, India</t>
  </si>
  <si>
    <t>Beihang University; Department of Space (DoS), Government of India; Indian Space Research Organisation (ISRO); Vikram Sarabhai Space Center (VSSC); Dartmouth College; Department of Space (DoS), Government of India; Physical Research Laboratory - India; Department of Science &amp; Technology (India); Indian Institute of Geomagnetism (IIG)</t>
  </si>
  <si>
    <t>Shreedevi, PR (corresponding author), Beihang Univ, Sch Space &amp; Environm, Beijing, Peoples R China.</t>
  </si>
  <si>
    <t>shreedevipr@gmail.com</t>
  </si>
  <si>
    <t>Bhardwaj, Anil/B-4579-2011; Yu, Yiqun/E-2710-2012; yadav, sneha/HHC-7003-2022; Thomas, Evan/B-3921-2017</t>
  </si>
  <si>
    <t>Bhardwaj, Anil/0000-0003-1693-453X; P R, Shreedevi/0000-0002-0979-0833; Choudhary, Raj/0000-0002-1276-0088; Sinha, Ashwini Kumar/0000-0003-1329-6579; Pant, Tarun Kumar/0000-0002-9497-8848; McGranaghan, Ryan/0000-0002-9605-0007; Thomas, Evan/0000-0001-8036-8793</t>
  </si>
  <si>
    <t>Indian Space Research Organization (ISRO), Department of Space, Government of India; US National Science Foundation [AGS1242204]; MoES; NCAOR; National Natural Science Foundation of China [4191101142]</t>
  </si>
  <si>
    <t>Indian Space Research Organization (ISRO), Department of Space, Government of India; US National Science Foundation(National Science Foundation (NSF)); MoES; NCAOR; National Natural Science Foundation of China(National Natural Science Foundation of China (NSFC))</t>
  </si>
  <si>
    <t>This work was initiated with the supported by the Indian Space Research Organization (ISRO), Department of Space, Government of India. The GPS data from Bharati used in the paper have been collected as a part of the Polar Research Program of the Space Physics Laboratory (SPL), VSSC, ISRO. We acknowledge Seemala Gopi for providing access to the GPS-TEC analysis application (http://seemala.blogspot.com/). The authors thank NASA/GSFC CDAWeb team and the WDC-C2 (Kyoto) for the interplanetary data, auroral electrojet, and geomagnetic indices data and NASA for the GUVI data. We gratefully acknowledge the JHU/APL team for providing the DMSP SSUSI data. The authors gratefully acknowledge the use of TEC data obtained from the Madrigal database at Haystack Observatory. GPS TEC data products and access through the Madrigal distributed data system are provided to the community (http://www.openmadrigal.org) by the Massachusetts Institute of Technology (MIT) under support from US National Science Foundation grant AGS1242204. The authors acknowledge the use of SuperDARN data. SuperDARN is a collection of radars funded by national scientific funding agencies of Australia, Canada, China, France, Italy, Japan, Norway, South Africa, United Kingdom, and the United States of America. The authors thank MoES and the Director, NCAOR for their encouragement and support under the Indian Antarctic Program. The authors also thank the Leader and members of the 32nd and 34th Indian Scientific Expedition to Antarctica for their help in installation/maintenance of the GNSS receiver system at Bharati Research Base, Antarctica. This work is supported by the National Natural Science Foundation of China grants 4191101142.</t>
  </si>
  <si>
    <t>e2019SW002383</t>
  </si>
  <si>
    <t>10.1029/2019SW002383</t>
  </si>
  <si>
    <t>WOS:000566530400004</t>
  </si>
  <si>
    <t>Zhang, QH; Chen, ZS; Cui, Y; Zheng, XL; Rong, FJ; Sun, YY; Gao, L</t>
  </si>
  <si>
    <t>Zhang, Qinghua; Chen, Zhengsheng; Cui, Yang; Zheng, Xiaolong; Rong, Fengjuan; Sun, Yangyang; Gao, Lei</t>
  </si>
  <si>
    <t>A refined metric for multi-GNSS constellation availability assessment in polar regions</t>
  </si>
  <si>
    <t>Dilution of precision; Multi-GNSS; NEW WDOP; Availability; Polar regions</t>
  </si>
  <si>
    <t>DILUTION; SIGNAL; INTEGRITY; PRECISION; SYSTEM</t>
  </si>
  <si>
    <t>Human activity in the polar regions is increasing, and as a result of this, the positioning performance of global navigation satellite systems (GNSSs) in these regions is attracting more attention. Since the constellation design of GNSS systems (such as GPS, GLONASS, Galileo, and BDS) only provides superior coverage for human activity in the middle and low latitudes, the elevation angles of GNSS satellites are lower in the polar regions. In this study, the authors first analyzed the availability of GPS, GLONASS, Galileo, and BDS in the polar regions using the classic geometric dilution of precision (GDOP) metric. It was discovered that if only a stand-alone navigation system is employed, satellite visibility in the Arctic and Antarctic regions is excellent, but the GDOP is much higher than in the middle and low latitudes areas. Another interesting phenomenon is that a single navigation system other than GPS (i.e., GLONASS, Galileo, or BDS) will have some areas that cannot be located in the middle and low latitudes and will not appear in the polar regions. A simple solution of this problem is to combine multiple navigation systems to attain better GDOP. In reality, there are currently few achievable or practical solutions for the weight ratio of different satellites in the actual multi-system combined GDOP algorithm. Based on the signal-in-space analysis of different GNSS satellites, the authors propose a NEW WDOP metric for the spatial constellation configuration of multi-GNSSs, including detailed mathematical models and algorithms. The NEW WDOP metric was then used to assess the availability of multi-GNSSs in the polar regions with dual-system, three-system, and four-system combinations. This study thus draws some conclusions using the NEW WDOP model and measured data. In particular, when navigating and positioning in polar regions with a stand-alone GNSS, the mean of the NEW WDOP values is approximately 2.5, and there are many outlier values. Meanwhile, the mean of the NEW WDOP values with the dual GNSS combinations is &lt;1.5, but the value of the NEW WDOP for some combinations in the polar regions is still extremely large and contains some outliers. However, the mean of the NEW WDOP with the three-system or four-system combinations in the polar regions is approximately 1, and the number of outliers is very small; in particular, the four-system combination has no outliers. The results of this study contribute some useful information for the GNSS application of multi-system combinations and satellite selection in the polar regions. (C) 2020 COSPAR. Published by Elsevier Ltd. All rights reserved.</t>
  </si>
  <si>
    <t>[Zhang, Qinghua; Rong, Fengjuan; Sun, Yangyang; Gao, Lei] Army Engn Univ PLA, 1 Haifu Lane, Nanjing 210007, Peoples R China; [Chen, Zhengsheng; Zheng, Xiaolong] Rocket Force Univ Engn, Operat Support Coll, 2 Tongxin Rd, Xian 710025, Peoples R China; [Cui, Yang] Army Logist Univ PLA, 20 Daxuecheng Rd, Chongqing 401311, Peoples R China</t>
  </si>
  <si>
    <t>Army Engineering University of PLA; Rocket Force University of Engineering</t>
  </si>
  <si>
    <t>Chen, ZS (corresponding author), Rocket Force Univ Engn, Operat Support Coll, 2 Tongxin Rd, Xian 710025, Peoples R China.</t>
  </si>
  <si>
    <t>czsgeo@126.com</t>
  </si>
  <si>
    <t>Zhang, Qinghua/AAP-9400-2020; CHEN, Zhengsheng/AAA-3936-2019; Sun, Yangyang/KFR-5929-2024</t>
  </si>
  <si>
    <t>Zhang, Qinghua/0000-0003-3578-3749; CHEN, Zhengsheng/0000-0003-0628-3470;</t>
  </si>
  <si>
    <t>National Natural Science Foundation of China [41604024, 41804006, 41674019]; Natural Science Foundation of Chongqing [cstc2018jcyjAX0392]</t>
  </si>
  <si>
    <t>National Natural Science Foundation of China(National Natural Science Foundation of China (NSFC)); Natural Science Foundation of Chongqing(Natural Science Foundation of Chongqing)</t>
  </si>
  <si>
    <t>The work in this contribution was supported by the National Natural Science Foundation of China [Project No. 41604024, 41804006 &amp; 41674019] and the Natural Science Foundation of Chongqing [cstc2018jcyjAX0392]. The authors would like to thank the IGS for making available the GNSS mixed navigation messages, and the GNSS data processing software named GNSSer (GNSS Parallelable Data Processer) for their permission to use the GNSS data parallel processing tool (http://www.gnsser.com).We thank Ms. JiPing Liu of Kashgar Translation Company (Shenzhen, China) for her linguistic assistance during the revision of this manuscript.</t>
  </si>
  <si>
    <t>10.1016/j.asr.2020.04.033</t>
  </si>
  <si>
    <t>NK2OH</t>
  </si>
  <si>
    <t>WOS:000566575700004</t>
  </si>
  <si>
    <t>Ambrozová, K; Hrbácek, F; Láska, K</t>
  </si>
  <si>
    <t>Ambrozova, Klara; Hrbacek, Filip; Laska, Kamil</t>
  </si>
  <si>
    <t>The Summer Surface Energy Budget of the Ice-Free Area of Northern James Ross Island and Its Impact on the Ground Thermal Regime</t>
  </si>
  <si>
    <t>James Ross Island; Antarctica; ice-free area; energy budget; ground temperature; permafrost</t>
  </si>
  <si>
    <t>KING-GEORGE-ISLAND; ANTARCTIC PENINSULA; ACTIVE-LAYER; PERMAFROST SITE; BALANCE CLOSURE; TUNDRA; TEMPERATURE; RADIATION; FLUXES; DYNAMICS</t>
  </si>
  <si>
    <t>Despite the key role of the surface energy budget in the global climate system, such investigations are rare in Antarctica. In this study, the surface energy budget measurements from the largest ice-free area on northern James Ross Island, in Antarctica, were obtained. The components of net radiation were measured by a net radiometer, while sensible heat flux was measured by a sonic anemometer and ground heat flux by heat flux plates. The surface energy budget was compared with the rest of the Antarctic Peninsula Region and selected places in the Arctic and the impact of surface energy budget components on the ground thermal regime was examined. Mean net radiation on James Ross Island during January-March 2018 reached 102.5 W m(-2). The main surface energy budget component was the latent heat flux, while the sensible heat flux values were only 0.4 W m(-2)lower. Mean ground heat flux was only 0.4 Wm(-2), however, it was negative in 47% of January-March 2018, while it was positive in the rest of the time. The ground thermal regime was affected by surface energy budget components to a depth of 50 cm. The strongest relationship was found between ground heat flux and ground surface temperature. Further analysis confirmed that active layer refroze after a sequence of three days with negative ground heat flux even in summer months. Daily mean net radiation and ground heat flux were significantly reduced when cloud amount increased, while the influence of snow cover on ground surface temperature was negligible.</t>
  </si>
  <si>
    <t>[Ambrozova, Klara; Hrbacek, Filip; Laska, Kamil] Masaryk Univ, Fac Sci, Dept Geog, Kotlarska 267-2, Brno 60200, Czech Republic</t>
  </si>
  <si>
    <t>Masaryk University Brno</t>
  </si>
  <si>
    <t>Ambrozová, K (corresponding author), Masaryk Univ, Fac Sci, Dept Geog, Kotlarska 267-2, Brno 60200, Czech Republic.</t>
  </si>
  <si>
    <t>ambrozova.kl@mail.muni.cz; filiphrbacek@mail.muni.cz; laska@sci.muni.cz</t>
  </si>
  <si>
    <t>Hrbacek, Filip/ABG-4319-2020; Laska, Kamil/L-7875-2013</t>
  </si>
  <si>
    <t>Hrbacek, Filip/0000-0001-5032-9216; Laska, Kamil/0000-0002-5199-9737</t>
  </si>
  <si>
    <t>Czech Science Foundation [GC16-14122J, GA20-20240S]; Czech Polar Research Infrastructure project - Ministry of Education, Youth and Sports of the Czech Republic [LM2015078]; Masaryk University [MUNI/A/1576/2018]; ECOPOLARIS project [CZ.02.1.01/0.0/0.0/16_013/0001708]</t>
  </si>
  <si>
    <t>Czech Science Foundation(Grant Agency of the Czech Republic); Czech Polar Research Infrastructure project - Ministry of Education, Youth and Sports of the Czech Republic; Masaryk University; ECOPOLARIS project</t>
  </si>
  <si>
    <t>This study was supported by the Czech Science Foundation projects (GC16-14122J and GA20-20240S) and the Czech Polar Research Infrastructure project (LM2015078) funded by the Ministry of Education, Youth and Sports of the Czech Republic. The article also contributes to the project of Masaryk University MUNI/A/1576/2018 and ECOPOLARIS project (CZ.02.1.01/0.0/0.0/16_013/0001708).</t>
  </si>
  <si>
    <t>10.3390/atmos11080877</t>
  </si>
  <si>
    <t>NH6GK</t>
  </si>
  <si>
    <t>WOS:000564766400001</t>
  </si>
  <si>
    <t>Giongo, GA; Bageston, JV; Figueiredo, CAOB; Wrasse, CM; Kam, H; Kim, YH; Schuch, NJ</t>
  </si>
  <si>
    <t>Giongo, Gabriel Augusto; Bageston, Jose Valentin; Oliveira Barros Figueiredo, Cosme Alexandre; Wrasse, Cristiano Max; Kam, Hosik; Kim, Yong Ha; Schuch, Nelson Jorge</t>
  </si>
  <si>
    <t>Gravity Wave Investigations over Comandante Ferraz Antarctic Station in 2017: General Characteristics, Wind Filtering and Case Study</t>
  </si>
  <si>
    <t>airglow; atmospheric gravity waves; winds; blocking diagram; ray tracing</t>
  </si>
  <si>
    <t>PROPAGATION DIRECTION; MIDDLE ATMOSPHERE; UPPER MESOSPHERE; AIRGLOW; THERMOSPHERE; EQUATORIAL; PARAMETERS; IMAGERS; MODEL</t>
  </si>
  <si>
    <t>This work presents the characteristics of gravity waves observed over Comandante Ferraz Antarctic Station (EACF: 62.1 degrees S, 58.4 degrees W). A total of 122 gravity waves were observed in 34 nights from March to October 2017, and their parameters were obtained by using the Fourier Transform spectral analysis. The majority of the observed waves presented horizontal wavelength ranging from 15 to 35 km, period from 5 to 20 min, and horizontal phase speed from 10 to 70 +/- 2 m center dot s(-1). The propagation direction showed an anisotropic condition, with the slower wave propagating mainly to the west, northwest and southeast directions, while the faster waves propagate to the east, southeast and south. Blocking diagrams for the period of April-July showed a good agreement between the wave propagation direction and the blocking positions, which are eastward oriented while the waves propagate mainly westward. A case study to investigate wave sources was conducted for the night of 20-21 July, wherein eight small-scale and one medium-scale gravity waves were identified. Reverse ray tracing model was used to investigate the gravity wave source, and the results showed that six among eight small-scale gravity waves were generated in the mesosphere. On the other hand, only two small-scale waves and the medium-scale gravity wave had likely tropospheric or stratospheric origin, however, they could not be associated with any reliable source.</t>
  </si>
  <si>
    <t>[Giongo, Gabriel Augusto; Bageston, Jose Valentin] Univ Fed Santa Maria, Postgrad Program Meteorol PPGMet CCNE UFSM, BR-97105900 Santa Maria, RS, Brazil; [Giongo, Gabriel Augusto; Bageston, Jose Valentin; Schuch, Nelson Jorge] Natl Inst Space Res CRCRS COCRE INPE, Southern Reg Space Res Ctr, BR-97105900 Santa Maria, RS, Brazil; [Oliveira Barros Figueiredo, Cosme Alexandre; Wrasse, Cristiano Max] Natl Inst Space Res DIDAE CGCEA INPE, Aeron Div, BR-12227010 Sao Jose Dos Campos, Brazil; [Kam, Hosik; Kim, Yong Ha] Chungnam Natl Univ CNU, Dept Astron Space Sci &amp; Geol, Daejeon 34134, South Korea; [Kam, Hosik] Korea Polar Res Inst KOPRI, Div Polar Climate Sci, Incheon 21990, South Korea</t>
  </si>
  <si>
    <t>Universidade Federal de Santa Maria (UFSM); Korea Polar Research Institute (KOPRI)</t>
  </si>
  <si>
    <t>Giongo, GA (corresponding author), Univ Fed Santa Maria, Postgrad Program Meteorol PPGMet CCNE UFSM, BR-97105900 Santa Maria, RS, Brazil.;Giongo, GA (corresponding author), Natl Inst Space Res CRCRS COCRE INPE, Southern Reg Space Res Ctr, BR-97105900 Santa Maria, RS, Brazil.</t>
  </si>
  <si>
    <t>gabrielgiongo@hotmail.com; bageston@gmail.com; cosme.figueiredo@inpe.br; Cristiano.Wrasse@inpe.br; kamhosik@kopri.re.kr; yhkim@cnu.ac.kr; njschuch@gmail.com</t>
  </si>
  <si>
    <t>Kim, Yong Ha/AAS-9908-2021; Schuch, Nelson Jorge/K-9730-2015; Wrasse, Cristiano Max/HRA-3982-2023; Oliveira Barros Figueiredo, Cosme Alexandre/S-7218-2017</t>
  </si>
  <si>
    <t>Wrasse, Cristiano Max/0000-0001-8026-3625; Bageston, Jose V/0000-0003-2931-8488; Oliveira Barros Figueiredo, Cosme Alexandre/0000-0003-4423-5111; Kam, Hosik/0000-0002-3554-0053; Giongo, Gabriel Augusto/0000-0003-4434-7359</t>
  </si>
  <si>
    <t>Coordination for the Improvement of Higher Education Personnel (CAPES) [001]; Brazilian Antarctic Program (PROANTAR); Inter-Ministry Commission for Sea Resources (CIRM); Brazilian Ministry of Science, Technology, Innovation, and Communications (MCTIC); Conselho Nacional de Desenvolvimento Cientifico e Tecnologico (CNPq) [122389/2015-8, 114037/2016-7, 139638/2017-2]; Korea Polar Research Institute for the meteor radar grant [PE20100]; NSF/OPP [ATM-0634650, AGS-1744801]; Fundacao de Amparo a Pesquisa do Estado de Sao Paulo (FAPESP) [2018/09066-8]; Brazilian Agency-CNPq [300886/2016-0]</t>
  </si>
  <si>
    <t>Coordination for the Improvement of Higher Education Personnel (CAPES)(Coordenacao de Aperfeicoamento de Pessoal de Nivel Superior (CAPES)); Brazilian Antarctic Program (PROANTAR); Inter-Ministry Commission for Sea Resources (CIRM); Brazilian Ministry of Science, Technology, Innovation, and Communications (MCTIC); Conselho Nacional de Desenvolvimento Cientifico e Tecnologico (CNPq)(Conselho Nacional de Desenvolvimento Cientifico e Tecnologico (CNPQ)); Korea Polar Research Institute for the meteor radar grant(Korea Polar Research Institute of Marine Research Placement (KOPRI)); NSF/OPP(National Science Foundation (NSF)NSF - Directorate for Geosciences (GEO)); Fundacao de Amparo a Pesquisa do Estado de Sao Paulo (FAPESP)(Fundacao de Amparo a Pesquisa do Estado de Sao Paulo (FAPESP)); Brazilian Agency-CNPq(Conselho Nacional de Desenvolvimento Cientifico e Tecnologico (CNPQ))</t>
  </si>
  <si>
    <t>This work is part of the Graduate Program in Meteorology, Federal University of Santa Maria (UFSM), supported by Coordination for the Improvement of Higher Education Personnel (CAPES) finance code 001. The authors also acknowledge the support of the Brazilian Antarctic Program (PROANTAR), the Inter-Ministry Commission for Sea Resources (CIRM) and the Brazilian Ministry of Science, Technology, Innovation, and Communications (MCTIC). G. Giongo thanks Conselho Nacional de Desenvolvimento Cientifico e Tecnologico (CNPq) for Scientific Initiation Projects, process numbers: 122389/2015-8, and 114037/2016-7, and 139638/2017-2. Authors thanks ECMWF, for they reanalysis data set, and also GMAO/NASA and GES DISC for they useful reanalysis, and also to the TIMED/SABER and AURA/MLS satellite teams for the availability of these data at their respective websites. The high-performance all-sky airglow imager used in this work was provided by the Brazilian Study and Monitoring of Space Weather (Embrace) Program at INPE, and we appreciate the transfer of the instrument to the optical airglow facilities at EACF in 2014. Authors thank Korea Polar Research Institute for the meteor radar grant PE20100. We also should acknowledge the NSF/OPP grants ATM-0634650 and AGS-1744801 used for the installation, maintenance, and operations of the Drake Antarctic Agile MEteor Radar (DrAAMER) that was deployed at the Brazilian Antarctic Station Comandante Ferraz in 2010 and it was fully repaired during this last summer of 2020. C.A.O.B. Figueiredo thank the Fundacao de Amparo a Pesquisa do Estado de Sao Paulo (FAPESP) for kindly providing financial support through process number 2018/09066-8. Nelson Jorge Schuch thanks the Brazilian Agency-CNPq for the fellowship under grant number 300886/2016-0 and to Rodrigo Passos Marques for technical support</t>
  </si>
  <si>
    <t>10.3390/atmos11080880</t>
  </si>
  <si>
    <t>NI7ZW</t>
  </si>
  <si>
    <t>WOS:000565568200001</t>
  </si>
  <si>
    <t>Sanders, MM; Rimmer, SM</t>
  </si>
  <si>
    <t>Sanders, Margaret M.; Rimmer, Susan M.</t>
  </si>
  <si>
    <t>Revisiting the thermally metamorphosed coals of the Transantarctic Mountains, Antarctica</t>
  </si>
  <si>
    <t>INTERNATIONAL JOURNAL OF COAL GEOLOGY</t>
  </si>
  <si>
    <t>Polar Rock Repository; PPR; Intruded coals; Natural coke; Anthracites; Meta-anthracite</t>
  </si>
  <si>
    <t>PERMIAN-TRIASSIC BOUNDARY; VITRINITE REFLECTANCE; CONTACT-METAMORPHISM; TECTONIC EVOLUTION; ORGANIC MATURATION; HORLICK MOUNTAINS; IGNEOUS INTRUSION; VICTORIA-LAND; BASIN; METHANE</t>
  </si>
  <si>
    <t>Petrographic and geochemical data for Late Permian coals and carbonaceous shales from the Transantarctic Mountains, Antarctica (source: Polar Rock Repository, PRR), were used to evaluate maturation levels and assess the effects of contact metamorphism. Coals were evaluated for locations in the Southern Transantarctic Mountains, the Central Transantarctic Mountains, and South Victoria Land, including samples from the Buckley, Mt. Glossopteris, and Queen Maud formations and the Weller Coal Measures. These formations have been intruded by sills and dikes of the Jurassic Ferrar Group (177-183 Ma) associated with the breakup of Gondwanaland. Proximate (129 samples), total sulfur (69) analyses, vitrinite reflectance analysis (92), and petrographic composition (34) were determined. One third of the samples have 50% ash range from 3 to 43%. Based on VM, samples range from high volatile bituminous to anthracite; however, reflectance analysis indicates anthracite to meta-anthracite, with some reflectances 7%. Thus, VM does not reveal true rank of the Antarctic coals. Vitrinite reflectance (R-r) typically surpasses that of inertinite. The VM-R-r relationship for these coals does not follow that of coals matured by normal burial maturation, but more closely follows that of intruded coals. Coke textures, including isotropic coke and anisotropic mosaics, vacuoles, pyrolytic carbon, and coked bitumen are observed, indicating alteration by contact metamorphism and providing insights to the rank of the coal at the time of intrusion. Coarse-grained circular and fine-grained lenticular mosaic textures suggest coal rank at the time of intrusion was medium volatile bituminous coal (maximum vitrinite reflectance similar to 1.2%). This would imply a burial depth by time of intrusion of similar to 5-5.5 km (assuming 25 degrees C/km) or similar to 4 km (assuming 34 degrees C/km). Modern-day background reflectance levels of similar to 2.5% Rr indicate continued post-intrusion maturation, possibly due to exposure to higher regional heat flow. Coals and carbonaceous shales from the Polar Rock Repository (PRR) can provide reliable petrographic and maturation data (using reflectance) to help decipher the burial history for various parts of the Transantarctic Mountains. However, geochemical data must be used with caution due to the high original inorganic content, and possible formation of gypsum and changes in VM during long-term storage. HCl-treatment removes some of the neoformed minerals, but samples should be treated extensively with HCl-HF to remove all silicate minerals prior to proximate and ultimate analysis to ensure more reliable data.</t>
  </si>
  <si>
    <t>[Sanders, Margaret M.; Rimmer, Susan M.] Southern Illinois Univ Carbondale, Sch Earth Syst &amp; Sustainabil, Carbondale, IL 62901 USA; [Sanders, Margaret M.] USGS, Reston, VA USA</t>
  </si>
  <si>
    <t>Southern Illinois University System; Southern Illinois University; United States Department of the Interior; United States Geological Survey</t>
  </si>
  <si>
    <t>Rimmer, SM (corresponding author), Southern Illinois Univ Carbondale, Sch Earth Syst &amp; Sustainabil, Carbondale, IL 62901 USA.</t>
  </si>
  <si>
    <t>srimmer@siu.edu</t>
  </si>
  <si>
    <t>U.S. National Science Foundation Office of Polar Programs; NSF [ANT-0636771, ANT-1039365]; Antoinette Lierman Medlin Scholarship (Geological Society of America); Spackman Student Research Award (The Society for Organic Petrology)</t>
  </si>
  <si>
    <t>U.S. National Science Foundation Office of Polar Programs(National Science Foundation (NSF)); NSF(National Science Foundation (NSF)); Antoinette Lierman Medlin Scholarship (Geological Society of America); Spackman Student Research Award (The Society for Organic Petrology)</t>
  </si>
  <si>
    <t>This research used samples and data provided by the Polar Rock Repository (PRR). The PRR is sponsored by the U.S. National Science Foundation Office of Polar Programs. We are also indebted to Gregory Retallack (University of Oregon) for providing coal samples from Graphite Peak and Allan Hills. This research was funded by NSF grants ANT-0636771 and ANT-1039365 (to SMR), the Antoinette Lierman Medlin Scholarship (Geological Society of America) (to MMS), and the Spackman Student Research Award (The Society for Organic Petrology) (to MMS). Thanks go to Henry Francis and Jason Backus (Kentucky Geological Survey) for their assistance with proximate and sulfur analyses, and to Cortland Eble (Kentucky Geological Survey) for assistance with sample preparation. Lois Yoksoulian is thanked for her assistance in the laboratory, especially in training MMS in geochemical procedures and sample preparation. All petrography was performed at the Organic Petrology Laboratory at Southern Illinois University Carbondale. We acknowledge the Norwegian Polar Institute's Quantarctica package (base map for Fig. 1). We thank three anonymous reviewers for their helpful comments on the manuscript. Finally, we thank our colleague John C. Crelling for his insights on the petrography of high rank coals and cokes, and John Isbell (University of Wisconsin-Milwaukee) for his comments on the manuscript and insights on Antarctic geology.</t>
  </si>
  <si>
    <t>0166-5162</t>
  </si>
  <si>
    <t>1872-7840</t>
  </si>
  <si>
    <t>INT J COAL GEOL</t>
  </si>
  <si>
    <t>Int. J. Coal Geol.</t>
  </si>
  <si>
    <t>10.1016/j.coal.2020.103550</t>
  </si>
  <si>
    <t>Energy &amp; Fuels; Geosciences, Multidisciplinary</t>
  </si>
  <si>
    <t>Energy &amp; Fuels; Geology</t>
  </si>
  <si>
    <t>NH2FY</t>
  </si>
  <si>
    <t>WOS:000564492600003</t>
  </si>
  <si>
    <t>Kalyanaraman, B; Meylan, MH; Bennetts, LG; Lamichhane, BP</t>
  </si>
  <si>
    <t>Kalyanaraman, Balaje; Meylan, Michael H.; Bennetts, Luke G.; Lamichhane, Bishnu P.</t>
  </si>
  <si>
    <t>A coupled fluid-elasticity model for the wave forcing of an ice-shelf</t>
  </si>
  <si>
    <t>JOURNAL OF FLUIDS AND STRUCTURES</t>
  </si>
  <si>
    <t>Linear elasticity; Ice-shelf vibrations; Finite element method</t>
  </si>
  <si>
    <t>SHALLOW-WATER; OCEAN WAVES; ROSS</t>
  </si>
  <si>
    <t>A mathematical model for predicting the vibrations of ice-shelves based on linear elasticity for the ice-shelf motion and potential flow for the fluid motion is developed. No simplifying assumptions such as the thinness of the ice-shelf or the shallowness of the fluid are made. The ice-shelf is modelled as a two-dimensional elastic body of an arbitrary geometry under plane-strain conditions. The model is solved using a coupled finite element method incorporating an integral equation boundary condition to represent the radiation of energy in the infinite fluid. The solution is validated by comparison with thin-beam theory and by checking energy conservation. Using the analyticity of the resulting linear system, we show that the finite element solution can be extended to the complex plane using interpolation of the linear system. This analytic extension shows that the system response is governed by a series of singularities in the complex plane. The method is illustrated through time-domain simulations as well as results in the frequency domain. (C) 2020 Elsevier Ltd. All rights reserved.</t>
  </si>
  <si>
    <t>[Kalyanaraman, Balaje; Meylan, Michael H.; Lamichhane, Bishnu P.] Univ Newcastle, Sch Math &amp; Phys Sci, Callaghan, NSW 2308, Australia; [Bennetts, Luke G.] Univ Adelaide, Sch Math Sci, Adelaide, SA 5005, Australia</t>
  </si>
  <si>
    <t>University of Newcastle; University of Adelaide</t>
  </si>
  <si>
    <t>Kalyanaraman, B (corresponding author), Univ Newcastle, Sch Math &amp; Phys Sci, Callaghan, NSW 2308, Australia.</t>
  </si>
  <si>
    <t>Balaje.Kalyanaraman@uon.edu.au; mike.meylan@newcastle.edu.au; luke.bennetts@adelaide.edu.au; bishnu.lamichhane@newcastle.edu.au</t>
  </si>
  <si>
    <t>Meylan, Michael/A-7341-2010; Bennetts, Luke/F-1623-2010; Lamichhane, Bishnu/G-8168-2013</t>
  </si>
  <si>
    <t>Meylan, Michael/0000-0002-3164-1367; Bennetts, Luke/0000-0001-9386-7882; Lamichhane, Bishnu/0000-0002-9184-8941</t>
  </si>
  <si>
    <t>SPARC project [SPARC/2018-2019/P751/SL]; ARC [IC170100006]; Australian Research Council [FT190100404]; Australian Antarctic Science Program [4528]; Australian Research Council [FT190100404] Funding Source: Australian Research Council</t>
  </si>
  <si>
    <t>SPARC project; ARC(Australian Research Council); Australian Research Council(Australian Research Council); Australian Antarctic Science Program; Australian Research Council</t>
  </si>
  <si>
    <t>MHM acknowledge the partial support received from SPARC project through grant number SPARC/2018-2019/P751/SL. BK was supported in part by ARC IC170100006. LGB is supported by an Australian Research Council mid-career fellowship (FT190100404), and the Australian Antarctic Science Program (4528).</t>
  </si>
  <si>
    <t>0889-9746</t>
  </si>
  <si>
    <t>J FLUID STRUCT</t>
  </si>
  <si>
    <t>J. Fluids Struct.</t>
  </si>
  <si>
    <t>10.1016/j.jfluidstructs.2020.103074</t>
  </si>
  <si>
    <t>Engineering, Mechanical; Mechanics</t>
  </si>
  <si>
    <t>Engineering; Mechanics</t>
  </si>
  <si>
    <t>NH0AH</t>
  </si>
  <si>
    <t>WOS:000564342000001</t>
  </si>
  <si>
    <t>Kim, S; Kim, JH; Lim, JH; Jeong, JH; Heo, JM; Kim, IN</t>
  </si>
  <si>
    <t>Kim, Soyeon; Kim, Ju-Hyoung; Lim, Jae-Hyun; Jeong, Jin-Hyun; Heo, Jang-Mu; Kim, Il-Nam</t>
  </si>
  <si>
    <t>Distribution and Control of Bacterial Community Composition in Marian Cove Surface Waters, King George Island, Antarctica during the Summer of 2018</t>
  </si>
  <si>
    <t>Antarctic; Marian Cove; bacterial community composition; environmental changes</t>
  </si>
  <si>
    <t>SOUTH SHETLAND ISLANDS; CLIMATE-CHANGE; DIVERSITY; PENINSULA; IMPACTS; BACTERIOPLANKTON; SEDIMENTATION; RESPONSES; STOMACH; RETREAT</t>
  </si>
  <si>
    <t>Marian Cove is experiencing some of the most rapid environmental changes in the Antarctic region; however, little is known about the response of bacterial communities to these changes. The main purpose of this study was to investigate the spatial variation of physical-biogeochemical-bacterial community features in the Marian Cove surface waters and the environmental parameters governing the spatial variation in the bacterial community composition during the summer of 2018. The Marian Cove surface waters are largely composed of two different characteristics of water masses: relatively low-temperature, -salinity, and -nutrient surface glacier water (named SGW) and relatively high-temperature, -salinity, and -nutrient surface Maxwell Bay water (named SMBW). The SGW bacterial communities were dominated by unclassified Cryomorphaceae, Sedimenticola, and Salibacter genera, while the SMBW bacterial communities were dominated by Sulfitobacter, Arcobacter, and Odoribacter genera. Spatial variations in bacterial community composition were mainly attributed to physical and biogeochemical characteristics, suggesting that the bacterial community composition of the Marian Cove surface waters is mainly determined by environmental characteristics. These findings provide a foundation to improve the understanding of bacterial community variations in response to a rapidly changing Marian Cove in the Antarctic.</t>
  </si>
  <si>
    <t>[Kim, Soyeon; Heo, Jang-Mu; Kim, Il-Nam] Incheon Natl Univ, Dept Marine Sci, Incheon 22012, South Korea; [Kim, Ju-Hyoung] Kunsan Natl Univ, Fac Marine Appl Biosci, Gunsan 54150, South Korea; [Lim, Jae-Hyun] Natl Inst Fisheries Sci, East Sea Fisheries Res Inst, Fisheries Resources &amp; Environm Res Div, Kangnung 25435, South Korea; [Jeong, Jin-Hyun] Korea Natl Ocean Sci Museum, Uljin 36315, South Korea</t>
  </si>
  <si>
    <t>Incheon National University; Kunsan National University; National Institute of Fisheries Science</t>
  </si>
  <si>
    <t>Kim, IN (corresponding author), Incheon Natl Univ, Dept Marine Sci, Incheon 22012, South Korea.;Kim, JH (corresponding author), Kunsan Natl Univ, Fac Marine Appl Biosci, Gunsan 54150, South Korea.</t>
  </si>
  <si>
    <t>soyeonkim@inu.ac.kr; juhyoung@kunsan.ac.kr; lim900@korea.kr; pujjh@hotmail.com; jangmuheo@inu.ac.kr; ilnamkim@inu.ac.kr</t>
  </si>
  <si>
    <t>Kim, Ju-Hyoung/0000-0002-8908-0902</t>
  </si>
  <si>
    <t>National Institute of Fisheries Science [R2020026]; National Research Foundation of Korea (NRF) - Korea government (MSIT) [NRF-2019R1A4A1026423]</t>
  </si>
  <si>
    <t>National Institute of Fisheries Science; National Research Foundation of Korea (NRF) - Korea government (MSIT)</t>
  </si>
  <si>
    <t>This work was supported by a grant from the National Institute of Fisheries Science (R2020026) and the National Research Foundation of Korea (NRF) grant funded by the Korea government (MSIT) (NRF-2019R1A4A1026423).</t>
  </si>
  <si>
    <t>10.3390/microorganisms8081115</t>
  </si>
  <si>
    <t>NH6TS</t>
  </si>
  <si>
    <t>WOS:000564801300001</t>
  </si>
  <si>
    <t>Oldham, T; Dempster, T; Crosbie, P; Adams, M; Nowak, B</t>
  </si>
  <si>
    <t>Oldham, Tina; Dempster, Tim; Crosbie, Philip; Adams, Mark; Nowak, Barbara</t>
  </si>
  <si>
    <t>Cyclic Hypoxia Exposure Accelerates the Progression of Amoebic Gill Disease</t>
  </si>
  <si>
    <t>PATHOGENS</t>
  </si>
  <si>
    <t>Salmo salar; Atlantic salmon; aquaculture; dissolved oxygen; Paramoeba/Neoparamoeba perurans; stress</t>
  </si>
  <si>
    <t>SALMO-SALAR L.; FARMED ATLANTIC SALMON; NEOPARAMOEBA-PERURANS; DISSOLVED-OXYGEN; ENVIRONMENTAL HYPOXIA; IMMUNE-RESPONSE; ACID-BASE; SEA-CAGE; BEHAVIOR; SUSCEPTIBILITY</t>
  </si>
  <si>
    <t>Amoebic gill disease (AGD), caused by the amoebaNeoparamoeba perurans, has led to considerable economic losses in every major Atlantic salmon producing country, and is increasing in frequency. The most serious infections occur during summer and autumn, when temperatures are high and poor dissolved oxygen (DO) conditions are most common. Here, we tested if exposure to cyclic hypoxia at DO saturations of 40-60% altered the course of infection withN. peruranscompared to normoxic controls maintained at &gt;= 90% DO saturation. Although hypoxia exposure did not increase initial susceptibility toN. perurans, it accelerated progression of the disease. By 7 days post-inoculation, amoeba counts estimated from qPCR analysis were 1.7 times higher in the hypoxic treatment than in normoxic controls, and cumulative mortalities were twice as high (16 +/- 4% and 8 +/- 2%), respectively. At 10 days post-inoculation, however, there were no differences between amoeba counts in the hypoxic and normoxic treatments, nor in the percentage of filaments with AGD lesions (control = 74 +/- 2.8%, hypoxic = 69 +/- 3.3%), or number of lamellae per lesion (control = 30 +/- 0.9%, hypoxic = 27.9 +/- 0.9%) as determined by histological examination. Cumulative mortalities at the termination of the experiment were similarly high in both treatments (hypoxic = 60 +/- 2%, normoxic = 53 +/- 11%). These results reveal that exposure to cyclic hypoxia in a diel pattern, equivalent to what salmon are exposed to in marine aquaculture cages, accelerated the progression of AGD in post-smolts.</t>
  </si>
  <si>
    <t>[Oldham, Tina] Inst Marine Res, N-5984 Matre, Norway; [Oldham, Tina; Crosbie, Philip; Adams, Mark; Nowak, Barbara] Univ Tasmania, Inst Marine &amp; Antarctic Studies, Aqut Anim Hlth Grp, Launceston, Tas 7248, Australia; [Dempster, Tim] Univ Melbourne, Sch BioSci, Sustainable Aquaculture Lab Temp &amp; Trop SALTT, Parkville, Vic 3010, Australia</t>
  </si>
  <si>
    <t>Institute of Marine Research - Norway; University of Tasmania; University of Melbourne</t>
  </si>
  <si>
    <t>Oldham, T (corresponding author), Inst Marine Res, N-5984 Matre, Norway.;Oldham, T (corresponding author), Univ Tasmania, Inst Marine &amp; Antarctic Studies, Aqut Anim Hlth Grp, Launceston, Tas 7248, Australia.</t>
  </si>
  <si>
    <t>tina.oldham@hi.no; dempster@unimelb.edu.au; philip.crosbie@utas.edu.au; mark.adams@utas.edu.au; b.nowak@utas.edu.au</t>
  </si>
  <si>
    <t>Dempster, Tim/E-9630-2011; Nowak, Barbara/J-7261-2014; Oldham, Tina Marie Weier/E-4779-2015</t>
  </si>
  <si>
    <t>Dempster, Tim/0000-0001-8041-426X; Nowak, Barbara/0000-0002-0347-643X; Oldham, Tina Marie Weier/0000-0002-8994-0052</t>
  </si>
  <si>
    <t>Australian Research Council; Australian Government Research Training Program Scholarship</t>
  </si>
  <si>
    <t>Australian Research Council(Australian Research Council); Australian Government Research Training Program Scholarship(Australian GovernmentDepartment of Industry, Innovation and Science)</t>
  </si>
  <si>
    <t>Funding for this work was provided by an Australian Research Council Future Fellowship grant to Tim Dempster and an Australian Government Research Training Program Scholarship awarded to Tina Oldham.</t>
  </si>
  <si>
    <t>2076-0817</t>
  </si>
  <si>
    <t>Pathogens</t>
  </si>
  <si>
    <t>10.3390/pathogens9080597</t>
  </si>
  <si>
    <t>NH6AP</t>
  </si>
  <si>
    <t>WOS:000564751100001</t>
  </si>
  <si>
    <t>Barker, LDL; Jakuba, MV; Bowen, AD; German, CR; Maksym, T; Mayer, L; Boetius, A; Dutrieux, P; Whitcomb, LL</t>
  </si>
  <si>
    <t>Barker, Laughlin D. L.; Jakuba, Michael, V; Bowen, Andrew D.; German, Christopher R.; Maksym, Ted; Mayer, Larry; Boetius, Antje; Dutrieux, Pierre; Whitcomb, Louis L.</t>
  </si>
  <si>
    <t>Scientific Challenges and Present Capabilities in Underwater Robotic Vehicle Design and Navigation for Oceanographic Exploration Under-Ice</t>
  </si>
  <si>
    <t>underwater robotic vehicles; under-ice navigation; tethered vehicles; hybrid vehicles; gliders; ocean science; ocean exploration</t>
  </si>
  <si>
    <t>PINE ISLAND GLACIER; SPREADING GAKKEL RIDGE; SEA-ICE; LIGHT TRANSMISSION; BRANSFIELD STRAIT; OCEAN; AUV; VARIABILITY; THICKNESS; BASIN</t>
  </si>
  <si>
    <t>This paper reviews the scientific motivation and challenges, development, and use of underwater robotic vehicles designed for use in ice-covered waters, with special attention paid to the navigation systems employed for under-ice deployments. Scientific needs for routine access under fixed and moving ice by underwater robotic vehicles are reviewed in the contexts of geology and geophysics, biology, sea ice and climate, ice shelves, and seafloor mapping. The challenges of under-ice vehicle design and navigation are summarized. The paper reviews all known under-ice robotic vehicles and their associated navigation systems, categorizing them by vehicle type (tethered, untethered, hybrid, and glider) and by the type of ice they were designed for (fixed glacial or sea ice and moving sea ice).</t>
  </si>
  <si>
    <t>[Barker, Laughlin D. L.; Whitcomb, Louis L.] Johns Hopkins Univ, Dept Mech Engn, Baltimore, MD 21218 USA; [Barker, Laughlin D. L.] Monterey Bay Aquarium Res Inst, Dept Marine Operat, Moss Landing, CA 95039 USA; [Jakuba, Michael, V; Bowen, Andrew D.; Maksym, Ted; Whitcomb, Louis L.] Woods Hole Oceanog Inst, Dept Appl Ocean Phys &amp; Engn, Woods Hole, MA 02543 USA; [German, Christopher R.; Mayer, Larry] Woods Hole Oceanog Inst, Dept Geol &amp; Geophys, Woods Hole, MA 02543 USA; [Mayer, Larry] Univ New Hampshire, Ctr Coastal &amp; Ocean Mapping, Joint Hydrog Ctr, Durham, NH 03824 USA; [Boetius, Antje] Helmholtz Ctr Polar &amp; Marine Res, Alfred Wegener Inst, D-27570 Bremerhaven, Germany; [Dutrieux, Pierre] Columbia Univ, Lamont Doherty Earth Observ, Palisades, NY 10964 USA; [Dutrieux, Pierre] British Antarctic Survey, Cambridge CB3 0ET, England</t>
  </si>
  <si>
    <t>Johns Hopkins University; Monterey Bay Aquarium Research Institute; Woods Hole Oceanographic Institution; Woods Hole Oceanographic Institution; University System Of New Hampshire; University of New Hampshire; Helmholtz Association; Alfred Wegener Institute, Helmholtz Centre for Polar &amp; Marine Research; Columbia University; UK Research &amp; Innovation (UKRI); Natural Environment Research Council (NERC); NERC British Antarctic Survey</t>
  </si>
  <si>
    <t>Whitcomb, LL (corresponding author), Johns Hopkins Univ, Dept Mech Engn, Baltimore, MD 21218 USA.;Whitcomb, LL (corresponding author), Woods Hole Oceanog Inst, Dept Appl Ocean Phys &amp; Engn, Woods Hole, MA 02543 USA.</t>
  </si>
  <si>
    <t>laughlinbarker@gmail.com; mjakuba@whoi.edu; abowen@whoi.edu; cgerman@whoi.edu; tmaksym@whoi.edu; larry@ccom.unh.edu; Antje.Boetius@awi.de; pierred@ldeo.columbia.edu; llw@jhu.edu</t>
  </si>
  <si>
    <t>Whitcomb, Louis L/A-3322-2010; Dutrieux, Pierre/GVS-2890-2022; Boetius, Antje/D-5459-2013</t>
  </si>
  <si>
    <t>Dutrieux, Pierre/0000-0002-8066-934X; Mayer, Larry/0000-0003-1846-5140; Whitcomb, Louis/0000-0003-2398-1000; Boetius, Antje/0000-0003-2117-4176; jakuba, michael/0000-0002-0440-0074; Bowen, Andrew/0000-0002-6542-7932; German, Christopher/0000-0002-3417-6413</t>
  </si>
  <si>
    <t>National Science Foundation [1319667, 1909182, CMMI-1839063]; Johns Hopkins Department of Mechanical Engineering; National Aeronautics and Space Administration under Planetary Science and Technology through Analog Research (PSTAR) award [NNX16AL04G]; Center for Climate and Life Fellowship from the Earth Institute of Columbia University; Helmholtz Association; ERC Adv. Grant ABYSS [294757]; NOAA Grant [NA15NOS4000200]; Div Of Information &amp; Intelligent Systems; Direct For Computer &amp; Info Scie &amp; Enginr [1909182] Funding Source: National Science Foundation; Div Of Information &amp; Intelligent Systems; Direct For Computer &amp; Info Scie &amp; Enginr [1319667] Funding Source: National Science Foundation</t>
  </si>
  <si>
    <t>National Science Foundation(National Science Foundation (NSF)); Johns Hopkins Department of Mechanical Engineering; National Aeronautics and Space Administration under Planetary Science and Technology through Analog Research (PSTAR) award; Center for Climate and Life Fellowship from the Earth Institute of Columbia University; Helmholtz Association(Helmholtz Association); ERC Adv. Grant ABYSS; NOAA Grant(National Oceanic Atmospheric Admin (NOAA) - USA); Div Of Information &amp; Intelligent Systems; Direct For Computer &amp; Info Scie &amp; Enginr(National Science Foundation (NSF)NSF - Directorate for Computer &amp; Information Science &amp; Engineering (CISE)); Div Of Information &amp; Intelligent Systems; Direct For Computer &amp; Info Scie &amp; Enginr(National Science Foundation (NSF)NSF - Directorate for Computer &amp; Information Science &amp; Engineering (CISE))</t>
  </si>
  <si>
    <t>Barker and Whitcomb gratefully acknowledge the support of the National Science Foundation under Award 1319667 and 1909182, and support of the first author under a Graduate Fellowship from the Johns Hopkins Department of Mechanical Engineering. Jakuba, Bowen, and German gratefully acknowledge the support of the National Aeronautics and Space Administration under Planetary Science and Technology through Analog Research (PSTAR) award NNX16AL04G. Maksym was supported by National Science Foundation Award CMMI-1839063. Dutrieux was supported by his Center for Climate and Life Fellowship from the Earth Institute of Columbia University. Boetius acknowledges funding from the Helmholtz Association for the FRAM infrastructure, and from her ERC Adv. Grant ABYSS (294757). Mayer's work is supported by NOAA Grant NA15NOS4000200.</t>
  </si>
  <si>
    <t>10.3390/rs12162588</t>
  </si>
  <si>
    <t>NI6DF</t>
  </si>
  <si>
    <t>WOS:000565440800001</t>
  </si>
  <si>
    <t>Grytsai, A; Evtushevsky, O; Klekociuk, A; Milinevsky, G; Yampolsky, Y; Ivaniha, O; Wang, YK</t>
  </si>
  <si>
    <t>Grytsai, Asen; Evtushevsky, Oleksandr; Klekociuk, Andrew; Milinevsky, Gennadi; Yampolsky, Yuri; Ivaniha, Oksana; Wang, Yuke</t>
  </si>
  <si>
    <t>Investigation of the Vertical Influence of the 11-Year Solar Cycle on Ozone Using SBUV and Antarctic Ground-Based Measurements and CMIP6 Forcing Data</t>
  </si>
  <si>
    <t>11-year solar cycle; wavelet; seasonal dependency; hemispheric asymmetry; ozone</t>
  </si>
  <si>
    <t>STRATOSPHERIC OZONE; ATMOSPHERIC OZONE; MODEL; REPRESENTATION; MINIMUM; SIGNALS</t>
  </si>
  <si>
    <t>The 11-year solar activity cycle in the vertical ozone distribution over the Antarctic station Faraday/Vernadsky in the Antarctic Peninsula region (65.25 degrees S, 64.27 degrees W) was analyzed using the Solar Backscatter Ultra Violet (SBUV) radiometer data Version 8.6 Merged Ozone Data Sets (MOD) over the 40-year period 1979-2018. The SBUV MOD ozone profiles are presented as partial column ozone in layers with approximately 3-km altitude increments from the surface to the lower mesosphere (1000-0.1 hPa, or 0-64 km). Periodicities in the ozone time series of the layer data were studied using wavelet transforms. A statistically significant signal with a quasi-11-year period consistent with solar activity forcing was found in the lower-middle stratosphere at 22-31 km in ozone over Faraday/Vernadsky, although signals with similar periods were not significant in the total column measurements made by the Dobson spectrophotometer at the site. For comparison with other latitudinal zones, the relative contribution of the wavelet spectral power of the quasi-11-year periods to the 2-33-year period range on the global scale was estimated. While a significant solar activity signal exists in the tropical lower and upper stratosphere and in the lower mesosphere in SBUV MOD, we did not find evidence of similar signals in the ozone forcing data for the Coupled Model Intercomparison Project Phase 6 (CMIP6). In the extratropical lower-middle stratosphere and lower mesosphere, there is a strong hemispheric asymmetry in solar activity-ozone response, which is dominant in the Southern Hemisphere. In general, the results are consistent with other studies and highlight the sensitivity of ozone in the lower-middle stratosphere over the Antarctic Peninsula region to the 11-year solar cycle.</t>
  </si>
  <si>
    <t>[Grytsai, Asen; Evtushevsky, Oleksandr; Milinevsky, Gennadi; Ivaniha, Oksana] Taras Shevchenko Natl Univ Kyiv, Phys Fac, UA-01601 Kiev, Ukraine; [Klekociuk, Andrew] Australian Antarctic Div, Antarct &amp; Global Syst, Kingston 7050, Australia; [Klekociuk, Andrew] Univ Melbourne, Sch Earth Sci, Melbourne, Vic 3053, Australia; [Milinevsky, Gennadi; Wang, Yuke] Jilin Univ, Coll Phys, Int Ctr Future Sci, Changchun 130012, Peoples R China; [Milinevsky, Gennadi] Natl Antarctic Sci Ctr, Dept Atmosphere Phys &amp; Geospace, UA-01601 Kiev, Ukraine; [Yampolsky, Yuri] NAS Ukraine, Inst Radio Astron, Dept Radio Phys Geospace, UA-61002 Kharkiv, Ukraine</t>
  </si>
  <si>
    <t>Ministry of Education &amp; Science of Ukraine; Taras Shevchenko National University of Kyiv; Australian Antarctic Division; Melbourne Genomics Health Alliance; University of Melbourne; Jilin University; Ministry of Education &amp; Science of Ukraine; State Institution National Antarctic Scientific Center; National Academy of Sciences Ukraine; Institute of Radio Astronomy of the National Academy of Sciences of Ukraine</t>
  </si>
  <si>
    <t>Milinevsky, G (corresponding author), Taras Shevchenko Natl Univ Kyiv, Phys Fac, UA-01601 Kiev, Ukraine.;Milinevsky, G (corresponding author), Jilin Univ, Coll Phys, Int Ctr Future Sci, Changchun 130012, Peoples R China.;Milinevsky, G (corresponding author), Natl Antarctic Sci Ctr, Dept Atmosphere Phys &amp; Geospace, UA-01601 Kiev, Ukraine.</t>
  </si>
  <si>
    <t>a.grytsai@gmail.com; o.m.evtush@gmail.com; Andrew.Klekociuk@awe.gov.au; genmilinevsky@gmail.com; yampol@rian.kharkov.ua; ivaoksi94@gmail.com; wangyk16@mails.jlu.edu.cn</t>
  </si>
  <si>
    <t>Grytsai, Asen/AAS-7114-2020; Evtushevsky, Oleksandr O.M./F-2065-2017; Klekociuk, Andrew R/A-4498-2015; Yampolski, Yuri/AAU-3037-2021; Milinevsky, Gennadi/AAD-8801-2019</t>
  </si>
  <si>
    <t>Evtushevsky, Oleksandr O.M./0000-0003-0582-559X; Milinevsky, Gennadi/0000-0002-2342-2615; Yampolski, Yuri/0000-0002-6142-5753; Grytsai, Asen/0000-0002-2545-9833; Ivaniha, Oksana/0000-0003-2897-2736</t>
  </si>
  <si>
    <t>Ministry of Education and Science of Ukraine of the Taras Shevchenko National University of Kyiv [19BF051-08, 20BF051-02]; National Academy of Sciences of Ukraine of the Institute of Radio Astronomy, NAS of Ukraine [0116U000035, 0119U10180]; Australian Antarctic Program [4293]</t>
  </si>
  <si>
    <t>Ministry of Education and Science of Ukraine of the Taras Shevchenko National University of Kyiv; National Academy of Sciences of Ukraine of the Institute of Radio Astronomy, NAS of Ukraine; Australian Antarctic Program</t>
  </si>
  <si>
    <t>We acknowledge the Royal Observatory of Belgium SILSO World Data Center (http://www.sidc.be/silso/), the Natural Resources Canada (https://spaceweather.gc.ca/solarflux/sx-5-en.php) and LASP Interactive Solar Irradiance Datacenter (https://lasp.colorado.edu/lisird/data/penticton_radio_flux/) for free access to the monthly solar activity data. The authors also thank the team of the Goddard Space Flight Center NASA for free access to the SBUV Merged Ozone Data Set (MOD) 1970-2018 Profile and Total Column Ozone from the SBUV Instrument Series available at https://acd-ext.gsfc.nasa.gov/Data_services/merged/.We thank Goddard Earth Sciences Data and Information Services Center (GES DISC), Greenbelt, Maryland, USA, for MERRA-2 data, Copernicus Climate Change Service (https://cds.climate.copernicus.eu/cdsapp#!/home) for ERA-5 data and the WCRP Coupled Model Intercomparison Project (Phase 6) team for CMIP6 data. This work was partly supported by the Ministry of Education and Science of Ukraine through the projects 19BF051-08 and 20BF051-02 of the Taras Shevchenko National University of Kyiv, and by the National Academy of Sciences of Ukraine through the projects 0116U000035 and 0119U10180 of the Institute of Radio Astronomy, NAS of Ukraine. This work contributed to the National Antarctic Scientific Center of Ukraine research objectives, partly performed in College of Physics, International Center of Future Science of Jilin University, China, and contributed to Project 4293 of the Australian Antarctic Program.</t>
  </si>
  <si>
    <t>10.3390/atmos11080873</t>
  </si>
  <si>
    <t>NH6ZO</t>
  </si>
  <si>
    <t>WOS:000564816500001</t>
  </si>
  <si>
    <t>Pacelli, C; Cassaro, A; Aureli, L; Moeller, R; Fujimori, A; Onofri, S</t>
  </si>
  <si>
    <t>Pacelli, Claudia; Cassaro, Alessia; Aureli, Lorenzo; Moeller, Ralf; Fujimori, Akira; Onofri, Silvano</t>
  </si>
  <si>
    <t>The Responses of the Black FungusCryomyces Antarcticusto High Doses of Accelerated Helium Ions Radiation within Martian Regolith Simulants and Their Relevance for Mars</t>
  </si>
  <si>
    <t>LIFE-BASEL</t>
  </si>
  <si>
    <t>Galactic Cosmic Rays (GCRs); Mars environment; black fungi; survival; UV-vis spectroscopy; resistance; melanin</t>
  </si>
  <si>
    <t>TRANSIENT LIQUID WATER; FUNGI; SURVIVAL; ENVIRONMENTS; ATMOSPHERE; SURFACE; LIFE; SOIL</t>
  </si>
  <si>
    <t>One of the primary current astrobiological goals is to understand the limits of microbial resistance to extraterrestrial conditions. Much attention is paid to ionizing radiation, since it can prevent the preservation and spread of life outside the Earth. The aim of this research was to study the impact of accelerated He ions (150 MeV/n, up to 1 kGy) as a component of the galactic cosmic rays on the black fungusC. antarcticuswhen mixed with Antarctic sandstones-the substratum of its natural habitat-and two Martian regolith simulants, which mimics two different evolutionary stages of Mars. The high dose of 1 kGy was used to assess the effect of dose accumulation in dormant cells within minerals, under long-term irradiation estimated on a geological time scale. The data obtained suggests that viable Earth-like microorganisms can be preserved in the dormant state in the near-surface scenario for approximately 322.000 and 110.000 Earth years within Martian regolith that mimic early and present Mars environmental conditions, respectively. In addition, the results of the study indicate the possibility of maintaining traces within regolith, as demonstrated by the identification of melanin pigments through UltraViolet-visible (UV-vis) spectrophotometric approach.</t>
  </si>
  <si>
    <t>[Pacelli, Claudia] Italian Space Agcy, Via Politecn Snc, I-00133 Rome, Italy; [Pacelli, Claudia; Cassaro, Alessia; Aureli, Lorenzo; Onofri, Silvano] Univ Tuscia, Dept Ecol &amp; Biol Sci, Largo Univ Snc, I-01100 Viterbo, Italy; [Moeller, Ralf] German Aerosp Ctr, Inst Aerosp Med, Radiat Biol Dept, Space Microbiol Res Grp,DLR, D-51147 Cologne, Germany; [Moeller, Ralf] Univ Appl Sci Bonn Rhein Sieg BRSU, Dept Nat Sci, Liebig Str 20, D-53359 Rheinbach, Germany; [Fujimori, Akira] NIRS QST, Dept Basic Med Sci Radiat Damages, Mol &amp; Cellular Radiat Biol Grp, Chiba 2638555, Japan</t>
  </si>
  <si>
    <t>Agenzia Spaziale Italiana (ASI); Tuscia University; Helmholtz Association; German Aerospace Centre (DLR)</t>
  </si>
  <si>
    <t>Cassaro, A (corresponding author), Univ Tuscia, Dept Ecol &amp; Biol Sci, Largo Univ Snc, I-01100 Viterbo, Italy.</t>
  </si>
  <si>
    <t>claudia.pacelli@asi.it; cassaro@unitus.it; Lorenzo.aureli@unitus.it; ralf.moeller@dlr.de; fujimori.akira@qst.go.jp; onofri@unitus.it</t>
  </si>
  <si>
    <t>Cassaro, Alessia/0000-0003-2228-9004; Pacelli, Claudia/0000-0001-5113-4293</t>
  </si>
  <si>
    <t>Italian Space Agency; Italian National Program of Antarctic Researches (PNRA); Italian National Antarctic Museum Felice Ippolito (MNA); Grants-in-Aid for Scientific Research [20H05615] Funding Source: KAKEN</t>
  </si>
  <si>
    <t>Italian Space Agency(Agenzia Spaziale Italiana (ASI)); Italian National Program of Antarctic Researches (PNRA); Italian National Antarctic Museum Felice Ippolito (MNA); Grants-in-Aid for Scientific Research(Ministry of Education, Culture, Sports, Science and Technology, Japan (MEXT)Japan Society for the Promotion of ScienceGrants-in-Aid for Scientific Research (KAKENHI))</t>
  </si>
  <si>
    <t>The authors acknowledge Italian Space Agency for financial support. The Italian National Program of Antarctic Researches (PNRA) and the Italian National Antarctic Museum Felice Ippolito (MNA) are also acknowledged for funding the collection of Antarctic samples CCFEE.</t>
  </si>
  <si>
    <t>2075-1729</t>
  </si>
  <si>
    <t>Life-Basel</t>
  </si>
  <si>
    <t>10.3390/life10080130</t>
  </si>
  <si>
    <t>Biology; Microbiology</t>
  </si>
  <si>
    <t>Life Sciences &amp; Biomedicine - Other Topics; Microbiology</t>
  </si>
  <si>
    <t>NH5MO</t>
  </si>
  <si>
    <t>WOS:000564714100001</t>
  </si>
  <si>
    <t>Trudgeon, B; Dieser, M; Balasubramanian, N; Messmer, M; Foreman, CM</t>
  </si>
  <si>
    <t>Trudgeon, Benjamin; Dieser, Markus; Balasubramanian, Narayanaganesh; Messmer, Mitch; Foreman, Christine M.</t>
  </si>
  <si>
    <t>Low-Temperature Biosurfactants from Polar Microbes</t>
  </si>
  <si>
    <t>biosurfactant; di-rhamnolipid; bioremediation; Antarctic bacteria; cold temperature</t>
  </si>
  <si>
    <t>PSEUDOMONAS-AERUGINOSA; RHAMNOLIPID PRODUCTION; GLYCOLIPID BIOSURFACTANT; SURFACTANTS; OIL; SERRATIA; PSYCHROBACTER; DIVERSITY; BACTERIA; ENVIRONMENTS</t>
  </si>
  <si>
    <t>Surfactants, both synthetic and natural, are used in a wide range of industrial applications, including the degradation of petroleum hydrocarbons. Organisms from extreme environments are well-adapted to the harsh conditions and represent an exciting avenue of discovery of naturally occurring biosurfactants, yet microorganisms from cold environments have been largely overlooked for their biotechnological potential as biosurfactant producers. In this study, four cold-adapted bacterial isolates from Antarctica are investigated for their ability to produce biosurfactants. Here we report on the physical properties and chemical structure of biosurfactants from the generaJanthinobacterium,Psychrobacter, andSerratia. These organisms were able to grow on diesel, motor oil, and crude oil at 4 degrees C. Putative identification showed the presence of sophorolipids and rhamnolipids. Emulsion index test (E-24) activity ranged from 36.4-66.7%. Oil displacement tests were comparable to 0.1-1.0% sodium dodecyl sulfate (SDS) solutions. Data presented herein are the first report of organisms of the genusJanthinobacteriumto produce biosurfactants and their metabolic capabilities to degrade diverse petroleum hydrocarbons. The organisms' ability to produce biosurfactants and grow on different hydrocarbons as their sole carbon and energy source at low temperatures (4 degrees C) makes them suitable candidates for the exploration of hydrocarbon bioremediation in low-temperature environments.</t>
  </si>
  <si>
    <t>[Trudgeon, Benjamin; Dieser, Markus; Messmer, Mitch; Foreman, Christine M.] Montana State Univ, Ctr Biofilm Engn, Bozeman, MT 59717 USA; [Trudgeon, Benjamin] Montana State Univ, Dept Civil &amp; Environm Engn, Bozeman, MT 59715 USA; [Dieser, Markus; Foreman, Christine M.] Montana State Univ, Dept Chem &amp; Biol Engn, Bozeman, MT 59715 USA; [Balasubramanian, Narayanaganesh; Messmer, Mitch] Montana State Univ, Dept Chem &amp; Biochem, Bozeman, MT 59717 USA</t>
  </si>
  <si>
    <t>Montana State University System; Montana State University Bozeman; Montana State University System; Montana State University Bozeman; Montana State University System; Montana State University Bozeman; Montana State University System; Montana State University Bozeman</t>
  </si>
  <si>
    <t>Dieser, M (corresponding author), Montana State Univ, Ctr Biofilm Engn, Bozeman, MT 59717 USA.;Dieser, M (corresponding author), Montana State Univ, Dept Chem &amp; Biol Engn, Bozeman, MT 59715 USA.</t>
  </si>
  <si>
    <t>benjamintrudgeon@gmail.com; markus.dieser@montana.edu; b.narayanaganesh@gmail.com; mitchmessmer@montana.edu; cforeman@montana.edu</t>
  </si>
  <si>
    <t>Montana State University; NASA [80NSSC18K0814]; National Science Foundation (NSF) [0338342, 0838970]; MJ Murdock Charitable Trust; National Institute of General Medical Sciences of the National Institutes of Health [P20GM103474]</t>
  </si>
  <si>
    <t>Montana State University; NASA(National Aeronautics &amp; Space Administration (NASA)); National Science Foundation (NSF)(National Science Foundation (NSF)); MJ Murdock Charitable Trust; National Institute of General Medical Sciences of the National Institutes of Health(United States Department of Health &amp; Human ServicesNational Institutes of Health (NIH) - USANIH National Institute of General Medical Sciences (NIGMS))</t>
  </si>
  <si>
    <t>B.T. was supported by Montana State University's Undergraduate Scholars Program. M.M. and M.D. were supported by NASA Exobiology grant 80NSSC18K0814 to C.M.F. Initial support for collection of the polar microbial isolates came from National Science Foundation (NSF) grants 0338342 and 0838970 to C.M.F. Funding for the proteomics, metabolomics, and mass spectrometry facility used in this publication was made possible in part by the MJ Murdock Charitable Trust and the National Institute of General Medical Sciences of the National Institutes of Health, under award number P20GM103474. The content is solely the responsibility of the authors and does not necessarily represent the official views of the National Institutes of Health, NASA, and the National Science Foundation.</t>
  </si>
  <si>
    <t>10.3390/microorganisms8081183</t>
  </si>
  <si>
    <t>NH7XR</t>
  </si>
  <si>
    <t>WOS:000564879200001</t>
  </si>
  <si>
    <t>Qi, MZ; Liu, Y; Lin, YJ; Hui, FM; Li, T; Cheng, X</t>
  </si>
  <si>
    <t>Qi, Mengzhen; Liu, Yan; Lin, Yijing; Hui, Fengming; Li, Teng; Cheng, Xiao</t>
  </si>
  <si>
    <t>Efficient Location and Extraction of the Iceberg Calved Areas of the Antarctic Ice Shelves</t>
  </si>
  <si>
    <t>Antarctica; ice shelves; iceberg calving; coastline; ice velocity; remote sensing</t>
  </si>
  <si>
    <t>GLACIERS; RETREAT; PENINSULA; GREENLAND</t>
  </si>
  <si>
    <t>Continuous, rapid, and precise monitoring of calving events contributes to an in-depth understanding of calving mechanisms, which have the potential to cause significant mass loss from the Antarctic ice sheet. The difficulties in the precise monitoring of iceberg calving lie with the coexistence of ice shelf advances and calving. The manual location of iceberg calving is time-consuming and painstaking, while achieving precise extraction has mostly relied on the surface textural characteristics of the ice shelves and the quality of the images. Here, we propose a new and efficient method of separating the expansion and calving processes of ice shelves. We visualized the extension process by simulating a new coastline, based on the ice velocity, and detected the calved area using the simulated coastline and single-temporal post-calving images. We extensively tested the validity of this method by extracting four annual calving datasets (from August 2015 to August 2019) from the Sentinel-1 synthetic aperture radar mosaic of the Antarctic coastline. A total of 2032 annual Antarctic calving events were detected, with areas ranging from 0.05 km(2)to 6141.0 km(2), occurring on almost every Antarctic ice shelf. The extraction accuracy of the calved area depends on the positioning accuracy of the simulated coastline and the spatial resolution of the images. The positioning error of the simulated coastline is less than one pixel, and the determined minimum valid extraction area is 0.05 km(2), when based on 75 m resolution images. Our method effectively avoids repetition and omission errors during the calved area extraction process. Furthermore, its efficiency is not affected by the surface textural characteristics of the calving fronts and the various changes in the frontal edge velocity, which makes it fully applicable to the rapid and accurate extraction of different calving types.</t>
  </si>
  <si>
    <t>[Qi, Mengzhen; Liu, Yan; Lin, Yijing; Li, Teng] Beijing Normal Univ, Coll Global Change &amp; Earth Syst Sci, State Key Lab Remote Sensing Sci, Beijing 100875, Peoples R China; [Qi, Mengzhen; Liu, Yan; Hui, Fengming; Li, Teng; Cheng, Xiao] Southern Marine Sci &amp; Engn Guangdong Lab, Zhuhai 519082, Peoples R China; [Qi, Mengzhen; Liu, Yan; Lin, Yijing; Hui, Fengming; Li, Teng; Cheng, Xiao] Univ Corp Polar Res, Beijing 100875, Peoples R China; [Hui, Fengming; Cheng, Xiao] Sun Yat Sen Univ, Sch Geospatial Engn &amp; Sci, Zhuhai 519082, Peoples R China</t>
  </si>
  <si>
    <t>Beijing Normal University; Southern Marine Science &amp; Engineering Guangdong Laboratory; Sun Yat Sen University</t>
  </si>
  <si>
    <t>Cheng, X (corresponding author), Southern Marine Sci &amp; Engn Guangdong Lab, Zhuhai 519082, Peoples R China.;Cheng, X (corresponding author), Univ Corp Polar Res, Beijing 100875, Peoples R China.;Cheng, X (corresponding author), Sun Yat Sen Univ, Sch Geospatial Engn &amp; Sci, Zhuhai 519082, Peoples R China.</t>
  </si>
  <si>
    <t>201921490035@mail.bnu.edu.cn; liuyan2013@bnu.edu.cn; 201921490033@mail.bnu.edu.cn; huifm@mail.sysu.edu.cn; 201531490018@mail.bnu.edu.cn; chengxiao9@mail.sysu.edu.cn</t>
  </si>
  <si>
    <t>lu, kai/KBB-4008-2024; Li, Teng/E-9284-2018; Qi, Mengzhen/AAT-5417-2020</t>
  </si>
  <si>
    <t>Qi, Mengzhen/0000-0003-2337-5713; Li, Teng/0000-0002-5620-3662</t>
  </si>
  <si>
    <t>National key research and development Program of China [2018YFA0605403]; National Natural Science Foundation of China [41925027, Qian Xuesen Lab.-DFH]; Joint Research and Development Fund</t>
  </si>
  <si>
    <t>National key research and development Program of China; National Natural Science Foundation of China(National Natural Science Foundation of China (NSFC)); Joint Research and Development Fund</t>
  </si>
  <si>
    <t>This research was funded by the National key research and development Program of China (Grant No. 2018YFA0605403), National Natural Science Foundation of China (Grant No. 41925027), and Qian Xuesen Lab.-DFH Sat. Co. Joint Research and Development Fund.</t>
  </si>
  <si>
    <t>10.3390/rs12162658</t>
  </si>
  <si>
    <t>NI6FN</t>
  </si>
  <si>
    <t>WOS:000565446800001</t>
  </si>
  <si>
    <t>Núñez-Pons, L; Shilling, A; Verde, C; Baker, BJ; Giordano, D</t>
  </si>
  <si>
    <t>Nunez-Pons, Laura; Shilling, Andrew; Verde, Cinzia; Baker, Bill J.; Giordano, Daniela</t>
  </si>
  <si>
    <t>Marine Terpenoids from Polar Latitudes and Their Potential Applications in Biotechnology</t>
  </si>
  <si>
    <t>Arctic; Antarctic; marine bioprospecting; marine natural product; terpene; terpenoid; biotechnological application; drug discovery</t>
  </si>
  <si>
    <t>SEA-DERIVED FUNGUS; SPONGE KIRKPATRICKIA-VARIALOSA; NATURAL-PRODUCTS; ANTIMICROBIAL ACTIVITY; TRITERPENE GLYCOSIDES; BACTERIAL EXOPOLYSACCHARIDES; SULFATED POLYHYDROXYSTEROIDS; EREMOPHILANE SESQUITERPENES; ILLUDALANE SESQUITERPENOIDS; TRICYCLIC SESQUITERPENES</t>
  </si>
  <si>
    <t>Polar marine biota have adapted to thrive under one of the ocean's most inhospitable scenarios, where extremes of temperature, light photoperiod and ice disturbance, along with ecological interactions, have selected species with a unique suite of secondary metabolites. Organisms of Arctic and Antarctic oceans are prolific sources of natural products, exhibiting wide structural diversity and remarkable bioactivities for human applications. Chemical skeletons belonging to terpene families are the most commonly found compounds, whereas cytotoxic antimicrobial properties, the capacity to prevent infections, are the most widely reported activities from these environments. This review firstly summarizes the regulations on access and benefit sharing requirements for research in polar environments. Then it provides an overview of the natural product arsenal from Antarctic and Arctic marine organisms that displays promising uses for fighting human disease. Microbes, such as bacteria and fungi, and macroorganisms, such as sponges, macroalgae, ascidians, corals, bryozoans, echinoderms and mollusks, are the main focus of this review. The biological origin, the structure of terpenes and terpenoids, derivatives and their biotechnological potential are described. This survey aims to highlight the chemical diversity of marine polar life and the versatility of this group of biomolecules, in an effort to encourage further research in drug discovery.</t>
  </si>
  <si>
    <t>[Nunez-Pons, Laura] Stn Zool Anton Dohrn SZN, Dept Integrated Marine Ecol EMI, I-80121 Naples, Italy; [Shilling, Andrew; Baker, Bill J.] Univ S Florida, Dept Chem, Tampa, FL 33620 USA; [Verde, Cinzia; Giordano, Daniela] CNR, Inst Biosci &amp; BioResources IBBR, Via Pietro Castellino 111, I-80131 Naples, Italy; [Verde, Cinzia; Giordano, Daniela] Stn Zool Anton Dohrn SZN, Dept Marine Biotechnol, I-80121 Naples, Italy</t>
  </si>
  <si>
    <t>Stazione Zoologica Anton Dohrn di Napoli; State University System of Florida; University of South Florida; Consiglio Nazionale delle Ricerche (CNR); Istituto di Bioscienze e Biorisorse (IBBR-CNR); Stazione Zoologica Anton Dohrn di Napoli</t>
  </si>
  <si>
    <t>Baker, BJ (corresponding author), Univ S Florida, Dept Chem, Tampa, FL 33620 USA.;Giordano, D (corresponding author), CNR, Inst Biosci &amp; BioResources IBBR, Via Pietro Castellino 111, I-80131 Naples, Italy.;Giordano, D (corresponding author), Stn Zool Anton Dohrn SZN, Dept Marine Biotechnol, I-80121 Naples, Italy.</t>
  </si>
  <si>
    <t>laura.nunezpons@szn.it; ashillin@mail.usf.edu; cinzia.verde@ibbr.cnr.it; bjbaker@usf.edu; daniela.giordano@ibbr.cnr.it</t>
  </si>
  <si>
    <t>Baker, Bill/N-4312-2019; Giordano, Daniela/AFK-7772-2022</t>
  </si>
  <si>
    <t>Giordano, Daniela/0000-0002-8891-6245; Baker, Bill/0000-0003-3033-5779; VERDE, Cinzia/0000-0001-6185-282X</t>
  </si>
  <si>
    <t>Italian National Programme for Antarctic Research (PNRA) [2016/AZ1.06, PNRA16_00043, 2016/AZ1.20, PNRA16_00128]; CNR project Green&amp;CircularEconomy (FOE-2019) [DBA.AD003.139]</t>
  </si>
  <si>
    <t>Italian National Programme for Antarctic Research (PNRA); CNR project Green&amp;CircularEconomy (FOE-2019)</t>
  </si>
  <si>
    <t>This study was funded by the Italian National Programme for Antarctic Research (PNRA) (2016/AZ1.06-Project PNRA16_00043 and 2016/AZ1.20-Project PNRA16_00128) and by CNR project Green&amp;CircularEconomy (FOE-2019, DBA.AD003.139). It was carried out in the framework of the SCAR Programme Antarctic Thresholds-Ecosystem Resilience and Adaptation (AnT-ERA).</t>
  </si>
  <si>
    <t>10.3390/md18080401</t>
  </si>
  <si>
    <t>NG6RX</t>
  </si>
  <si>
    <t>WOS:000564109900001</t>
  </si>
  <si>
    <t>Xiao, C; Li, F; Yan, JG; Hao, WF; Harada, Y; Ye, M; Barriot, JP</t>
  </si>
  <si>
    <t>Xiao, Chi; Li, Fei; Yan, Jian-Guo; Hao, Wei-Feng; Harada, Yuji; Ye, Mao; Barriot, Jean-Pierre</t>
  </si>
  <si>
    <t>Inversion of Venus internal structure based on geodetic data</t>
  </si>
  <si>
    <t>RESEARCH IN ASTRONOMY AND ASTROPHYSICS</t>
  </si>
  <si>
    <t>planets and satellites: interiors; planets and satellites: terrestrial planets; planets and satellites: physical evolution; planets and satellites: fundamental parameters</t>
  </si>
  <si>
    <t>UPPER-MANTLE; INTERIOR; CONSTRAINTS; VISCOSITY; CRUST; TOPOGRAPHY; GRAVITY; SURFACE; EARTH</t>
  </si>
  <si>
    <t>Understanding the internal structure of Venus promotes the exploration of the evolutionary history of this planet. However, the existing research concerning the internal structure of Venus has not used any inversion methods. In this work we employed an inversion method to determine the internal structure of Venus using observational or hypothetical geodetic data; these data include mass, mean radius, mean moment of inertia and second degree tidal Love number k(2). To determine the core state of Venus, we created two models of Venus, an isotropic 3-layer model with entire liquid core and an isotropic 4-layer model with liquid outer core and a solid inner core, assuming that the interior of Venus is spherically symmetric and in hydrostatic equilibrium. A series of the sensitivity analysis of interior structure parameters to the geodetic data considered in here shows that not all of the parameters can be constrained by the geodetic data from Venus. On this basis, a Markov Chain Monte Carlo algorithm was used to determine the posterior probability distribution and the optimal values of the internal structure parameters of Venus with the geodetic data. We found that the 3-layer model is more credible than the 4-layer model via currently geodetic data. For the assumption of the 3-layer model with the k(2)= 0.295 +/- 0.066, I/MR2 = 0.33 +/- 0.0165, and (rho) over bar = 5242.7 +/- 2.6 kg m(-3), the liquid iron-rich core of Venus has a radius of 3294(-261)(+215) km, which suggests a larger core than previous research has indicated. The average density of the mantle and liquid core of Venus are 4101(-375)(+325) and 11885(-1242)(+955) kg m(-3), respectively.</t>
  </si>
  <si>
    <t>[Xiao, Chi; Li, Fei; Hao, Wei-Feng] Wuhan Univ, Chinese Antarctic Ctr Surveying &amp; Mapping, Wuhan 430079, Peoples R China; [Li, Fei; Yan, Jian-Guo; Ye, Mao] Wuhan Univ, State Key Lab Informat Engn Surveying Mapping &amp; R, Wuhan 430079, Peoples R China; [Harada, Yuji] Macau Univ Sci &amp; Technol, Space Sci Inst, Ave Wailong, Taipa, Macao, Peoples R China; [Barriot, Jean-Pierre] Observ Geodet Tahiti, BP 6570, F-98702 Tahiti, French Polynesi, France</t>
  </si>
  <si>
    <t>Wuhan University; Wuhan University; Macau University of Science &amp; Technology</t>
  </si>
  <si>
    <t>Li, F (corresponding author), Wuhan Univ, Chinese Antarctic Ctr Surveying &amp; Mapping, Wuhan 430079, Peoples R China.;Li, F; Yan, JG (corresponding author), Wuhan Univ, State Key Lab Informat Engn Surveying Mapping &amp; R, Wuhan 430079, Peoples R China.</t>
  </si>
  <si>
    <t>Harada, Yuji/K-2647-2017; Barriot, Jean-Pierre/AAD-6709-2021; Xiao, Chi/AFD-1063-2022</t>
  </si>
  <si>
    <t>Harada, Yuji/0000-0001-5691-3851; Barriot, Jean-Pierre/0000-0002-2112-9685; Xiao, Chi/0000-0002-1589-0486</t>
  </si>
  <si>
    <t>National Natural Science Foundation of China [U1831132, 41874010]; Innovation Group of Natural Fund of Hubei Province [2018CFA087]; Science and Technology Development Fund of Macau Special Administrative Region [FDCT 007/2016/A1, 119/2017/A3, 187/2017/A3]; Guizhou Provincial Key Laboratory of Radio Astronomy and Data Processing [KF201813]</t>
  </si>
  <si>
    <t>National Natural Science Foundation of China(National Natural Science Foundation of China (NSFC)); Innovation Group of Natural Fund of Hubei Province; Science and Technology Development Fund of Macau Special Administrative Region; Guizhou Provincial Key Laboratory of Radio Astronomy and Data Processing</t>
  </si>
  <si>
    <t>We thank an anonymous reviewer for a careful review and constructive comments. This work is supported by the National Natural Science Foundation of China (U1831132, 41874010), Innovation Group of Natural Fund of Hubei Province (2018CFA087), the Science and Technology Development Fund of Macau Special Administrative Region (FDCT 007/2016/A1, 119/2017/A3, 187/2017/A3), and Guizhou Provincial Key Laboratory of Radio Astronomy and Data Processing (KF201813).</t>
  </si>
  <si>
    <t>NATL ASTRONOMICAL OBSERVATORIES, CHIN ACAD SCIENCES</t>
  </si>
  <si>
    <t>20A DATUN RD, CHAOYANG, BEIJING, 100012, PEOPLES R CHINA</t>
  </si>
  <si>
    <t>1674-4527</t>
  </si>
  <si>
    <t>2397-6209</t>
  </si>
  <si>
    <t>RES ASTRON ASTROPHYS</t>
  </si>
  <si>
    <t>Res. Astron. Astrophys.</t>
  </si>
  <si>
    <t>10.1088/1674-4527/20/8/127</t>
  </si>
  <si>
    <t>NF6WA</t>
  </si>
  <si>
    <t>WOS:000563435200001</t>
  </si>
  <si>
    <t>Hubbard, B; Philippe, M; Pattyn, F; Drews, R; Young, TJ; Bruyninx, C; Bergeot, N; Fjosne, K; Tison, JL</t>
  </si>
  <si>
    <t>Hubbard, Bryn; Philippe, Morgane; Pattyn, Frank; Drews, Reinhard; Young, Tun Jan; Bruyninx, Carine; Bergeot, Nicolas; Fjosne, Karen; Tison, Jean-Louis</t>
  </si>
  <si>
    <t>High-resolution distributed vertical strain and velocity from repeat borehole logging by optical televiewer: Derwael Ice Rise, Antarctica</t>
  </si>
  <si>
    <t>Accumulation; ice shelves; ice thickness measurements; mass-balance reconstruction; polar firn</t>
  </si>
  <si>
    <t>MASS-BALANCE; SIPLE DOME; SHEET; FIRN; DEFORMATION; GLACIER; RATES</t>
  </si>
  <si>
    <t>Direct measurements of spatially distributed vertical strain within ice masses are scientifically valuable but challenging to acquire. We use manual marker tracking and automatic cross correlation between two repeat optical televiewer (OPTV) images of an similar to 100 m-long borehole at Derwael Ice Rise (DIR), Antarctica, to reconstruct discretised, vertical strain rate and velocity at millimetre resolution. The resulting profiles decay with depth, from -0.07 a(-1) at the surface to similar to-0.002 a(-1) towards the base in strain and from -1.3 m a(-1) at the surface to similar to-0.5 m a(-1) towards the base in velocity. Both profiles also show substantial local variability. Three coffee-can markers installed at different depths into adjacent boreholes record consistent strain rates and velocities, although averaged over longer depth ranges and subject to greater uncertainty. Measured strain-rate profiles generally compare closely with output from a 2-D ice-flow model, while the former additionally reveal substantial high-resolution variability. We conclude that repeat OPTV borehole logging represents an effective means of measuring distributed vertical strain at millimetre scale, revealing high-resolution variability along the uppermost similar to 100 m of DIR, Antarctica.</t>
  </si>
  <si>
    <t>[Hubbard, Bryn] Aberystwyth Univ, Dept Geog &amp; Earth Sci, Ctr Glaciol, Aberystwyth, Dyfed, Wales; [Philippe, Morgane; Pattyn, Frank; Fjosne, Karen; Tison, Jean-Louis] Univ Libre Bruxelles, Lab Glaciol, Dept Sci Terre &amp; Environm, Brussels, Belgium; [Drews, Reinhard] Univ Tubingen, Dept Geosci, Tubingen, Germany; [Young, Tun Jan] Univ Cambridge, Scott Polar Res Inst, Cambridge, England; [Bruyninx, Carine; Bergeot, Nicolas] Observ Royal Belgique, Brussels, Belgium</t>
  </si>
  <si>
    <t>Aberystwyth University; Universite Libre de Bruxelles; Eberhard Karls University of Tubingen; University of Cambridge</t>
  </si>
  <si>
    <t>Hubbard, B (corresponding author), Aberystwyth Univ, Dept Geog &amp; Earth Sci, Ctr Glaciol, Aberystwyth, Dyfed, Wales.</t>
  </si>
  <si>
    <t>byh@aber.ac.uk</t>
  </si>
  <si>
    <t>Pattyn, Frank/AAA-9640-2019; Drews, reinhard/AAP-4134-2021</t>
  </si>
  <si>
    <t>Pattyn, Frank/0000-0003-4805-5636; Drews, reinhard/0000-0002-2328-294X; Young, Tun Jan/0000-0001-5865-3459; Hubbard, Bryn/0000-0002-3565-3875</t>
  </si>
  <si>
    <t>Belgian Research Programme on the Antarctic (Belgian Federal Science Policy Office) [SD/SA/06A, BR/165/A2]; Higher Education Funding Council for Wales Capital Equipment grant; UK Natural Environment Research Council [NE/J013544/1]; Fonds David et Alice Van Buuren; DFG Emmy Noether Grant [DR 822/3-1]; NERC [NE/J013544/1, NE/L006707/1] Funding Source: UKRI</t>
  </si>
  <si>
    <t>Belgian Research Programme on the Antarctic (Belgian Federal Science Policy Office); Higher Education Funding Council for Wales Capital Equipment grant; UK Natural Environment Research Council(UK Research &amp; Innovation (UKRI)Natural Environment Research Council (NERC)); Fonds David et Alice Van Buuren; DFG Emmy Noether Grant(German Research Foundation (DFG)); NERC(UK Research &amp; Innovation (UKRI)Natural Environment Research Council (NERC))</t>
  </si>
  <si>
    <t>This paper forms a contribution to the Belgian Research Programme on the Antarctic (Belgian Federal Science Policy Office Projects SD/SA/06A and BR/165/A2). Borehole drilling and OPTV instrumentation was supported by a Higher Education Funding Council for Wales Capital Equipment grant to Aberystwyth University and UK Natural Environment Research Council Grant (NE/J013544/1) to BH. The authors wish to thank the International Polar Foundation for logistical support in the field. MP was partly funded by a grant from Fonds David et Alice Van Buuren. RD was partially supported by the DFG Emmy Noether Grant DR 822/3-1. The authors thank Sophie Berger for compiling Figure 1. The data presented herein are available from https://figshare.com/articles/Data_sets/11799090/1.</t>
  </si>
  <si>
    <t>10.1017/jog.2020.18</t>
  </si>
  <si>
    <t>NE2UT</t>
  </si>
  <si>
    <t>WOS:000562453600001</t>
  </si>
  <si>
    <t>Mosbeux, C; Wagner, TJW; Becker, MK; Fricker, HA</t>
  </si>
  <si>
    <t>Mosbeux, Cyrille; Wagner, Till J. W.; Becker, Maya K.; Fricker, Helen A.</t>
  </si>
  <si>
    <t>Viscous and elastic buoyancy stresses as drivers of ice-shelf calving</t>
  </si>
  <si>
    <t>Calving; glacial rheology; glaciological model experiments; ice-sheet modeling; ice shelves</t>
  </si>
  <si>
    <t>SEA-LEVEL RISE; FRACTURE-MECHANICS; TIDAL FLEXURE; MODEL; INFILTRATION; CREVASSES; GREENLAND; DYNAMICS; MARGINS; DAMAGE</t>
  </si>
  <si>
    <t>The Antarctic Ice Sheet loses mass via its ice shelves predominantly through two processes: basal melting and iceberg calving. Iceberg calving is episodic and infrequent, and not well parameterized in ice-sheet models. Here, we investigate the impact of hydrostatic forces on calving. We develop two-dimensional elastic and viscous numerical frameworks to model the 'footloose' calving mechanism. This mechanism is triggered by submerged ice protrusions at the ice front, which induce unbalanced buoyancy forces that can lead to fracturing. We compare the results to identify the different roles that viscous and elastic deformations play in setting the rate and magnitude of calving events. Our results show that, although the bending stresses in both frameworks share some characteristics, their differences have important implications for modeling the calving process. In particular, the elastic model predicts that maximum stresses arise farther from the ice front than in the viscous model, leading to larger calving events. We also find that the elastic model would likely lead to more frequent events than the viscous one. Our work provides a theoretical framework for the development of a better understanding of the physical processes that govern glacier and ice-shelf calving cycles.</t>
  </si>
  <si>
    <t>[Mosbeux, Cyrille; Becker, Maya K.; Fricker, Helen A.] Scripps Inst Oceanog, Inst Geophys &amp; Planetary Phys, La Jolla, CA 92037 USA; [Wagner, Till J. W.] Univ N Carolina, Dept Phys &amp; Phys Oceanog, Wilmington, NC USA</t>
  </si>
  <si>
    <t>University of California System; University of California San Diego; Scripps Institution of Oceanography; University of North Carolina; University of North Carolina Wilmington</t>
  </si>
  <si>
    <t>Mosbeux, C (corresponding author), Scripps Inst Oceanog, Inst Geophys &amp; Planetary Phys, La Jolla, CA 92037 USA.</t>
  </si>
  <si>
    <t>cmosbeux@ucsd.edu</t>
  </si>
  <si>
    <t>Mosbeux, Cyrille/0009-0005-3075-7754</t>
  </si>
  <si>
    <t>National Science Foundation [TG-DPP170004, TG-DPP190003]; National Science Foundation project ROSETTA-Ice, NSF [PLR 144353]; NSF OPP award [1744835]</t>
  </si>
  <si>
    <t>National Science Foundation(National Science Foundation (NSF)); National Science Foundation project ROSETTA-Ice, NSF(National Science Foundation (NSF)); NSF OPP award</t>
  </si>
  <si>
    <t>We thank the scientific editor Sergio H Faria, an anonymous reviewer and Julia Christmann for very helpful and insightful reviews. We also thank Matt Trevers for valuable comments and discussions on the original version of the manuscript. This work used the Extreme Science and Engineering Discovery Environment (XSEDE), which is supported by National Science Foundation grant number TG-DPP170004 and TG-DPP190003. The work is part of the National Science Foundation project ROSETTA-Ice, NSF PLR 144353. TJWW was supported by NSF OPP award 1744835.</t>
  </si>
  <si>
    <t>PII S0022143020000350</t>
  </si>
  <si>
    <t>10.1017/jog.2020.35</t>
  </si>
  <si>
    <t>WOS:000562453600011</t>
  </si>
  <si>
    <t>Chircop, A</t>
  </si>
  <si>
    <t>Chircop, Aldo</t>
  </si>
  <si>
    <t>The Polar Code and the Arctic Marine Environment: Assessing the Regulation of the Environmental Risks of Shipping</t>
  </si>
  <si>
    <t>INTERNATIONAL JOURNAL OF MARINE AND COASTAL LAW</t>
  </si>
  <si>
    <t>Arctic waters; environmental impacts; International Maritime Organization (IMO); International Convention for the Prevention of Pollution from Ships (MARPOL); Polar Code; vessel-source pollution; International Convention for the Safety of Life at Sea (SOLAS)</t>
  </si>
  <si>
    <t>The Polar Code adopted by the International Maritime Organization (IMO) has established a new vessel-source pollution prevention standard for Arctic waters, as well as the Antarctic area. The Polar Code consists of mandatory rules and guidance provisions supplementing international rules to address a range of environmental risks posed by ships in polar operations. This article explores the scope of application of the Polar Code and its interface with other pertinent IMO instruments. The article comments on the limits of application of Polar Code standards in addressing pollution prevention and how they are further nourished, supplemented or facilitated by other IMO instruments, both with respect to pollution prevention as well as other environmental risks posed by shipping in the Arctic context. The article identifies shortcomings and gaps and concludes with possible options for Arctic coastal States that may wish to raise environmental standards to mitigate particular risks.</t>
  </si>
  <si>
    <t>[Chircop, Aldo] Dalhousie Univ, Schulich Sch Law, Marine &amp; Environm Law Inst, Maritime Law &amp; Policy, Halifax, NS, Canada</t>
  </si>
  <si>
    <t>Dalhousie University</t>
  </si>
  <si>
    <t>Chircop, A (corresponding author), Dalhousie Univ, Schulich Sch Law, Marine &amp; Environm Law Inst, Maritime Law &amp; Policy, Halifax, NS, Canada.</t>
  </si>
  <si>
    <t>Aldo.Chircop@Dal.Ca</t>
  </si>
  <si>
    <t>MARTINUS NIJHOFF PUBL</t>
  </si>
  <si>
    <t>PO BOX 9000, LEIDEN, 2300 PA, NETHERLANDS</t>
  </si>
  <si>
    <t>0927-3522</t>
  </si>
  <si>
    <t>1571-8085</t>
  </si>
  <si>
    <t>INT J MAR COAST LAW</t>
  </si>
  <si>
    <t>Int. J. Mar. Coast. Law</t>
  </si>
  <si>
    <t>10.1163/15718085-BJA10033</t>
  </si>
  <si>
    <t>Law</t>
  </si>
  <si>
    <t>Government &amp; Law</t>
  </si>
  <si>
    <t>NC5SZ</t>
  </si>
  <si>
    <t>WOS:000561277100005</t>
  </si>
  <si>
    <t>Shishido, CM; Woods, HA; Tobalske, BW; Lane, SJ; Moran, AL</t>
  </si>
  <si>
    <t>Shishido, Caitlin M.; Woods, H. Arthur; Tobalske, Bret W.; Lane, Steven J.; Moran, Amy L.</t>
  </si>
  <si>
    <t>Body Size of Temperate Sea Spiders: No Evidence of Oxygen-Temperature Limitations</t>
  </si>
  <si>
    <t>BIOLOGICAL BULLETIN</t>
  </si>
  <si>
    <t>POLAR GIGANTISM; LIMITS; PYCNOGONIDA; PHYSIOLOGY; EVOLUTION; ULTRASTRUCTURE; CONSUMPTION; ARTHROPODA; SHRINKING; INSIGHTS</t>
  </si>
  <si>
    <t>Oxygen limitation has been proposed as one of the key factors that limits body size at high temperatures (the oxygen-temperature hypothesis). Geographic patterns in body size are thought to be driven in part by the effects of temperature on oxygen supply and demand, particularly when the increased oxygen demand of tissues at higher temperatures outpaces the ability of large organisms to supply internal tissues with oxygen. We tested the effects of temperature on the rate of oxygen consumption of two temperate sea spider (Pycnogonida) species,Achelia chelataandAchelia gracilipes, across a range of body sizes. We measured oxygen consumption at 5 temperatures: 12, 16, 20, 24, and 28 degrees C. Oxygen consumption of both species increased significantly with temperature, but the effect did not depend on body size; thus, we found no evidence to support the oxygen-temperature hypothesis. While previous interspecific studies on Antarctic pycnogonids have found that larger-bodied animals have more porous cuticles, thus potentially offsetting their higher aerobic metabolic demand by increasing oxygen diffusivity, the pore area of the cuticle of the two temperate species did not change with body size. This suggests that the generally small size of warm-water sea spiders may be due to selective factors other than oxygen limitation.</t>
  </si>
  <si>
    <t>[Shishido, Caitlin M.; Moran, Amy L.] Univ Hawaii Manoa, Dept Biol, Honolulu, HI 96822 USA; [Woods, H. Arthur; Tobalske, Bret W.] Univ Montana, Div Biol Sci, Missoula, MT 59812 USA; [Lane, Steven J.] Loyola Univ Maryland, Dept Biol, Baltimore, MD 21210 USA</t>
  </si>
  <si>
    <t>University of Hawaii System; University of Hawaii Manoa; University of Montana System; University of Montana; Loyola University Maryland</t>
  </si>
  <si>
    <t>Shishido, CM (corresponding author), Univ Hawaii Manoa, Dept Biol, Honolulu, HI 96822 USA.</t>
  </si>
  <si>
    <t>csmariko@hawaii.edu</t>
  </si>
  <si>
    <t>Moran, Amy L/F-7072-2011</t>
  </si>
  <si>
    <t>Moran, Amy/0000-0002-0604-5096</t>
  </si>
  <si>
    <t>National Science Foundation [PLR-1341476, PLR-1341485]</t>
  </si>
  <si>
    <t>We thank the staff and directors of Friday Harbor Laboratories and the Oregon Institute of Marine Biology (OIMB) for field and technical support and especially Pema Kitaeff for scuba support. A special thank you to Richard Emlet at OIMB for generously letting us use his lab space and sea tables. Thank you to Claudia Arango from the Queensland Museum for help with pycnogonid identification. And a big thank you to Robert Toonen, Celia Smith, and Amber Wright for their insightful comments on the manuscript. We also thank an anonymous reviewer for comments that greatly improved the manuscript. Funding was provided by National Science Foundation grants PLR-1341476 to ALM and PLR-1341485 to HAW and BWT.</t>
  </si>
  <si>
    <t>UNIV CHICAGO PRESS</t>
  </si>
  <si>
    <t>CHICAGO</t>
  </si>
  <si>
    <t>1427 E 60TH ST, CHICAGO, IL 60637-2954 USA</t>
  </si>
  <si>
    <t>0006-3185</t>
  </si>
  <si>
    <t>1939-8697</t>
  </si>
  <si>
    <t>BIOL BULL-US</t>
  </si>
  <si>
    <t>Biol. Bull.</t>
  </si>
  <si>
    <t>10.1086/709831</t>
  </si>
  <si>
    <t>Biology; Marine &amp; Freshwater Biology</t>
  </si>
  <si>
    <t>Life Sciences &amp; Biomedicine - Other Topics; Marine &amp; Freshwater Biology</t>
  </si>
  <si>
    <t>NC0VI</t>
  </si>
  <si>
    <t>WOS:000560929900005</t>
  </si>
  <si>
    <t>Zhan, QP; Tian, YY; Han, LH; Wang, K; Wang, JF; Xue, CH</t>
  </si>
  <si>
    <t>Zhan, Qiping; Tian, Yingying; Han, Lihua; Wang, Kai; Wang, Jingfeng; Xue, Changhu</t>
  </si>
  <si>
    <t>The opposite effects ofAntarctic krilloil and arachidonic acid-rich oil on bone resorption in ovariectomized mice</t>
  </si>
  <si>
    <t>FOOD &amp; FUNCTION</t>
  </si>
  <si>
    <t>POLYUNSATURATED FATTY-ACIDS; ALTERING GUT MICROBIOTA; NF-KAPPA-B; ANTARCTIC KRILL; ACAUDINA-MOLPADIOIDES; DIETARY RATIO; OSTEOPOROSIS; PUFAS; EGGS; OSTEOCLASTOGENESIS</t>
  </si>
  <si>
    <t>Osteoporosis, a chronic disease that affects over 200 million people worldwide, presents a substantial medical and socioeconomic burden on the modern society. However, long-term intake of diets supplemented with different polyunsaturated fatty acids (PUFAs) can affect bone metabolism; thus, this study investigated the comparative effects of Antarctic krill oil (AKO, containing n-3 PUFAs) and arachidonic acid-rich oil (AAO, containing n-6 PUFAs) on bone resorption in a mice model of postmenopausal osteoporosis. Mice were orally administered with AKO (200 mg kg(-1)) or AAO (220 mg kg(-1)) once daily for 30 days, ovariectomized, followed by the continued administration of the respective samples for 90 days. Biomechanical and histomorphometric analyses revealed that AKO increased the bone mineral density (BMD) to enhance the biomechanical properties by increasing the mineral apposition rate and repairing the microstructure of the trabecular bone, whereas AAO had the opposite effect. The fatty acid analysis of the vertebra showed that AKO increased the n-3 PUFA (especially for DHA) content, thereby decreasing the ratio of n-6/n-3 PUFAs, which was negatively correlated with the BMD. However, AAO had the opposite effect due to high amounts of arachidonic acid. To explore the underlying mechanism responsible for these observations, we compared the classical bone resorption OPG/RANKL/NF-kappa B pathway mediated by PGE(2)/EP4. The ratio of n-6/n-3 PUFAs in the bone affected the production of PGE(2), a factor regulating the OPG/RANKL pathway, thereby regulating osteoclastogenesis by stimulating the NF-kappa B pathway. The results of ELISA, qRT-PCR, and western blot demonstrated that AKO reduced the secretion of PGE(2)and the expression of EP4, upregulating the ratio of OPG/RANKL in the bone, thereby decreasing TRAF6 expression to inhibit the activation of the NF-kappa B signaling pathway, and finally inhibiting the expression of nuclear transcription factors (c-fos and NFATc1) to prevent excessive osteoclastogenesis (TRACP, MMP-9, and Cath-K). Arachidonic acid is a precursor of PGE(2)synthesis. AAO showed the opposite trend through the same pathway. Thus, AKO could significantly improve osteoporosisviathe OPG/RANKL/NF-kappa B pathway mediated by PGE(2)/EP(4)to inhibit osteoclastogenesis, whereas AAO aggravated osteoporosisviathe same pathway. This is the first study to systematically compare the effects and mechanism of AKO and AAO in regulating bone resorption in osteoporotic mice to support recommendations on fatty acid types in dietary oils for an osteoporotic population.</t>
  </si>
  <si>
    <t>[Zhan, Qiping; Tian, Yingying; Han, Lihua; Wang, Kai; Wang, Jingfeng; Xue, Changhu] Ocean Univ China, Coll Food Sci &amp; Engn, Qingdao 266003, Peoples R China; [Zhan, Qiping] South China Univ Technol, Coll Food Sci &amp; Engn, Guangzhou 510641, Guangdong, Peoples R China; [Tian, Yingying] Marine Biomed Res Inst Qingdao, Qingdao 266100, Peoples R China</t>
  </si>
  <si>
    <t>Ocean University of China; South China University of Technology</t>
  </si>
  <si>
    <t>Wang, K; Xue, CH (corresponding author), Ocean Univ China, Coll Food Sci &amp; Engn, Qingdao 266003, Peoples R China.</t>
  </si>
  <si>
    <t>jfwang@ouc.edu.cn; xuech@ouc.edu.cn</t>
  </si>
  <si>
    <t>wang, jie/HTQ-4920-2023; wang, jing/GVT-8700-2022; wang, jing/HJA-5384-2022; wang, jiahui/IXD-1197-2023; wang, dan/JEF-0836-2023; Wang, Kai/HTS-5222-2023; Wang, Jin/GYA-2019-2022; wang, jing/GRS-7509-2022; wang, jian/HRB-9588-2023</t>
  </si>
  <si>
    <t>Wang, Kai/0000-0001-5447-8710; Zhan, Qiping/0000-0002-1043-1010</t>
  </si>
  <si>
    <t>National Key R&amp;D Program of China [2018YFC0311203]</t>
  </si>
  <si>
    <t>This study was supported by the National Key R&amp;D Program of China (2018YFC0311203).</t>
  </si>
  <si>
    <t>2042-6496</t>
  </si>
  <si>
    <t>2042-650X</t>
  </si>
  <si>
    <t>FOOD FUNCT</t>
  </si>
  <si>
    <t>Food Funct.</t>
  </si>
  <si>
    <t>10.1039/d0fo00884b</t>
  </si>
  <si>
    <t>Biochemistry &amp; Molecular Biology; Food Science &amp; Technology</t>
  </si>
  <si>
    <t>NB7EU</t>
  </si>
  <si>
    <t>WOS:000560678100022</t>
  </si>
  <si>
    <t>Humble, E; Paijmans, AJ; Forcada, J; Hoffman, JI</t>
  </si>
  <si>
    <t>Humble, Emily; Paijmans, Anneke J.; Forcada, Jaume; Hoffman, Joseph I.</t>
  </si>
  <si>
    <t>An 85K SNP Array Uncovers Inbreeding and Cryptic Relatedness in an Antarctic Fur Seal Breeding Colony</t>
  </si>
  <si>
    <t>G3-GENES GENOMES GENETICS</t>
  </si>
  <si>
    <t>SNP chip; Affymetrix Axiom; pinniped; relatedness; runs of homozygosity</t>
  </si>
  <si>
    <t>MATE CHOICE; POPULATION GENOMICS; TOOL SET; DISCOVERY; ASSOCIATION; REVEALS; DESCENT; RAD; VALIDATION; DEPRESSION</t>
  </si>
  <si>
    <t>High density single nucleotide polymorphism (SNP) arrays allow large numbers of individuals to be rapidly and cost-effectively genotyped at large numbers of genetic markers. However, despite being widely used in studies of humans and domesticated plants and animals, SNP arrays are lacking for most wild organisms. We developed a custom 85K Affymetrix Axiom array for an intensively studied pinniped, the Antarctic fur seal (Arctocephalus gazella). SNPs were discovered from a combination of genomic and transcriptomic resources and filtered according to strict criteria. Out of a total of 85,359 SNPs tiled on the array, 75,601 (88.6%) successfully converted and were polymorphic in 270 animals from a breeding colony at Bird Island in South Georgia. Evidence was found for inbreeding, with three genomic inbreeding coefficients being strongly intercorrelated and the proportion of the genome in runs of homozygosity being non-zero in all individuals. Furthermore, analysis of genomic relatedness coefficients identified previously unknown first-degree relatives and multiple second-degree relatives among a sample of ostensibly unrelated individuals. Such cryptic relatedness within fur seal breeding colonies may increase the likelihood of consanguineous matings and could therefore have implications for understanding fitness variation and mate choice. Finally, we demonstrate the cross-amplification potential of the array in three related pinniped species. Overall, our SNP array will facilitate future studies of Antarctic fur seals and has the potential to serve as a more general resource for the wider pinniped research community.</t>
  </si>
  <si>
    <t>[Humble, Emily; Paijmans, Anneke J.; Hoffman, Joseph I.] Univ Bielefeld, Dept Anim Behav, Postfach 100131, D-33501 Bielefeld, Germany; [Humble, Emily] Univ Edinburgh, Royal Dick Sch Vet Studies, Roslin EH25 9RG, Midlothian, Scotland; [Humble, Emily] Univ Edinburgh, Roslin Inst, Roslin EH25 9RG, Midlothian, Scotland; [Humble, Emily; Forcada, Jaume; Hoffman, Joseph I.] British Antarctic Survey, High Cross,Madingley Rd, Cambridge CB3 OET, England</t>
  </si>
  <si>
    <t>University of Bielefeld; University of Edinburgh; University of Edinburgh; UK Research &amp; Innovation (UKRI); Biotechnology and Biological Sciences Research Council (BBSRC); Roslin Institute; UK Research &amp; Innovation (UKRI); Natural Environment Research Council (NERC); NERC British Antarctic Survey</t>
  </si>
  <si>
    <t>Humble, E (corresponding author), Univ Edinburgh, Royal Dick Sch Vet Studies, Roslin EH25 9RG, Midlothian, Scotland.;Humble, E (corresponding author), Univ Edinburgh, Roslin Inst, Roslin EH25 9RG, Midlothian, Scotland.</t>
  </si>
  <si>
    <t>emily.humble@ed.ac.uk</t>
  </si>
  <si>
    <t>Paijmans, A.J./AAW-2280-2021; Forcada, Jaume/GYU-0677-2022; Hoffman, Joseph/K-7725-2012</t>
  </si>
  <si>
    <t>Paijmans, A.J./0000-0002-5481-7337; Hoffman, Joseph/0000-0001-5895-8949</t>
  </si>
  <si>
    <t>Deutsche Forschungsgemeinschaft (DFG, German Research Foundation) of a Sonderforschungsbereich [316099922, 396774617-TRR 212, SPP 1158, 424119118]; Natural Environment Research Council; Deutsche Forschungsgemeinschaft; Open Access Publication Fund of Bielefeld University; NERC [bas0100035] Funding Source: UKRI</t>
  </si>
  <si>
    <t>Deutsche Forschungsgemeinschaft (DFG, German Research Foundation) of a Sonderforschungsbereich(German Research Foundation (DFG)); Natural Environment Research Council(UK Research &amp; Innovation (UKRI)Natural Environment Research Council (NERC)); Deutsche Forschungsgemeinschaft(German Research Foundation (DFG)); Open Access Publication Fund of Bielefeld University; NERC(UK Research &amp; Innovation (UKRI)Natural Environment Research Council (NERC))</t>
  </si>
  <si>
    <t>We are grateful to the many field assistants on Bird Island who contributed toward animal handling and tissue sampling. Samples were collected as part of the Polar Science for Planet Earth program of the British Antarctic Survey under the authorisation of the Senior Executive and the Environment Officers of the Government of South Georgia and the South Sandwich Islands. Samples were collected and retained under Scientific Research Permits for the British Antarctic Survey field activities on South Georgia, and in accordance with the Convention on International Trade in Endangered Species of Wild Fauna and Flora. All field procedures were approved by the British Antarctic Survey Animal Welfare and Ethics Review Body. We would like to thank Anna Santure and one anonymous reviewer for their helpful comments. We would also like to thank Martin Stoffel for support with the modelling. This research was supported by the Deutsche Forschungsgemeinschaft (DFG, German Research Foundation) in the framework of a Sonderforschungsbereich (project numbers 316099922 and 396774617-TRR 212) and the priority programme Antarctic Research with Comparative Investigations in Arctic Ice Areas SPP 1158 (project number 424119118). It was also supported by core funding from the Natural Environment Research Council to the British Antarctic Survey's Ecosystems Program. We acknowledge support for the publication costs by the Deutsche Forschungsgemeinschaft and the Open Access Publication Fund of Bielefeld University.</t>
  </si>
  <si>
    <t>2160-1836</t>
  </si>
  <si>
    <t>G3-GENES GENOM GENET</t>
  </si>
  <si>
    <t>G3-Genes Genomes Genet.</t>
  </si>
  <si>
    <t>10.1534/g3.120.401268</t>
  </si>
  <si>
    <t>NB3XB</t>
  </si>
  <si>
    <t>WOS:000560448200020</t>
  </si>
  <si>
    <t>Kersalé, M; Meinen, CS; Perez, RC; Le Hénaff, M; Valla, D; Lamont, T; Sato, OT; Dong, S; Terre, T; van Caspel, M; Chidichimo, MP; van den Berg, M; Speich, S; Piola, AR; Campos, EJD; Ansorge, I; Volkov, DL; Lumpkin, R; Garzoli, SL</t>
  </si>
  <si>
    <t>Kersale, M.; Meinen, C. S.; Perez, R. C.; Le Henaff, M.; Valla, D.; Lamont, T.; Sato, O. T.; Dong, S.; Terre, T.; van Caspel, M.; Chidichimo, M. P.; van den Berg, M.; Speich, S.; Piola, A. R.; Campos, E. J. D.; Ansorge, I; Volkov, D. L.; Lumpkin, R.; Garzoli, S. L.</t>
  </si>
  <si>
    <t>Highly variable upper and abyssal overturning cells in the South Atlantic</t>
  </si>
  <si>
    <t>MERIDIONAL HEAT-TRANSPORT; ANTARCTIC BOTTOM WATER; TEMPORAL VARIABILITY; CIRCULATION; 34.5-DEGREES-S; CURRENTS; FLOW</t>
  </si>
  <si>
    <t>The Meridional Overturning Circulation (MOC) is a primary mechanism driving oceanic heat redistribution on Earth, thereby affecting Earth's climate and weather. However, the full-depth structure and variability of the MOC are still poorly understood, particularly in the South Atlantic. This study presents unique multiyear records of the oceanic volume transport of both the upper (similar to 3100 meters) overturning cells based on daily moored measurements in the South Atlantic at 34.5 degrees S. The vertical structure of the time-mean flows is consistent with the limited historical observations. Both the upper and abyssal cells exhibit a high degree of variability relative to the temporal means at time scales, ranging from a few days to a few weeks. Observed variations in the abyssal flow appear to be largely independent of the flow in the overlying upper cell. No meaningful trends are detected in either cell.</t>
  </si>
  <si>
    <t>[Kersale, M.; Le Henaff, M.; Volkov, D. L.; Garzoli, S. L.] Univ Miami, Cooperat Inst Marine &amp; Atmospher Studies, Miami, FL 33136 USA; [Kersale, M.; Meinen, C. S.; Perez, R. C.; Le Henaff, M.; Dong, S.; Volkov, D. L.; Lumpkin, R.; Garzoli, S. L.] NOAA, Atlantic Oceanog &amp; Meteorol Lab, Miami, FL 33149 USA; [Valla, D.; Chidichimo, M. P.; Piola, A. R.] Serv Hidrog Naval, Buenos Aires, DF, Argentina; [Lamont, T.; van den Berg, M.] Dept Environm Affairs, Oceans &amp; Coasts Res Branch, Cape Town, South Africa; [Lamont, T.; Ansorge, I] Univ Cape Town, Dept Oceanog, ZA-7701 Rondebosch, South Africa; [Sato, O. T.; van Caspel, M.; Campos, E. J. D.] Univ Sao Paulo, Oceanog Inst, Sao Paulo, Brazil; [Terre, T.] Univ Brest, IFREMER, CNRS, IRD,Lab Oceanog Phys &amp; Spatiale LOPS,IUEM, Plouzane, France; [Chidichimo, M. P.] Consejo Nacl Invest Cient &amp; Tecn CONICET, Buenos Aires, DF, Argentina; [Chidichimo, M. P.; Piola, A. R.] Inst Franco Argentino Estudio Clima &amp; Sus Impacto, Buenos Aires, DF, Argentina; [Speich, S.] Ecole Normale Super, Lab Meteorol Dynam IPSL, Paris, France; [Piola, A. R.] Univ Buenos Aires, Buenos Aires, DF, Argentina; [Campos, E. J. D.] Amer Univ Sharjah, Sch Arts &amp; Sci, Dept Biol Chem &amp; Environm Sci, Sharjah, U Arab Emirates</t>
  </si>
  <si>
    <t>University of Miami; National Oceanic Atmospheric Admin (NOAA) - USA; Atlantic Oceanographic &amp; Meteorological Laboratory (AOML); Servicio de Hidrografia Naval; Department of Environment, Forestry &amp; Fisheries; University of Cape Town; Universidade de Sao Paulo; Centre National de la Recherche Scientifique (CNRS); Ifremer; Institut de Recherche pour le Developpement (IRD); Universite de Bretagne Occidentale; Institut Universitaire Europeen de la Mer (IUEM); Consejo Nacional de Investigaciones Cientificas y Tecnicas (CONICET); Universite PSL; Ecole Normale Superieure (ENS); Sorbonne Universite; University of Buenos Aires; American University of Sharjah</t>
  </si>
  <si>
    <t>Kersalé, M (corresponding author), Univ Miami, Cooperat Inst Marine &amp; Atmospher Studies, Miami, FL 33136 USA.;Kersalé, M (corresponding author), NOAA, Atlantic Oceanog &amp; Meteorol Lab, Miami, FL 33149 USA.</t>
  </si>
  <si>
    <t>marion.kersale@noaa.gov</t>
  </si>
  <si>
    <t>Speich, Sabrina/L-3780-2014; Lumpkin, Rick/C-9615-2009; Dong, Shenfu/I-4435-2013; Volkov, Denis/A-6079-2011; ANSORGE, ISABELLE/AAY-7396-2020; Campos, edmo/G-6995-2012; Garzoli, Silvia L/A-3556-2010; Piola, Alberto R/O-2280-2013; Piola, Alberto/HZI-5475-2023; Perez, Renellys/D-1976-2012; KERSALE, Marion/L-2975-2015; Sato, Olga/G-3656-2013; Meinen, Christopher/G-1902-2012</t>
  </si>
  <si>
    <t>Speich, Sabrina/0000-0002-5452-8287; Lumpkin, Rick/0000-0002-6690-1704; Dong, Shenfu/0000-0001-8247-8072; Volkov, Denis/0000-0002-9290-0502; Campos, edmo/0000-0001-6399-5496; Ansorge, Isabelle/0000-0001-7071-8147; Valla, Daniel/0000-0003-3303-9641; Chidichimo, Maria Paz/0000-0002-4745-9017; Lamont, Tarron/0000-0001-8464-891X; Perez, Renellys/0000-0002-4401-3853; KERSALE, Marion/0000-0001-8998-5536; van Caspel, Mathias/0000-0002-8730-1636; Sato, Olga/0000-0003-0751-4373; Meinen, Christopher/0000-0002-8846-6002</t>
  </si>
  <si>
    <t>NOAA Climate Program Office-Ocean Observing and Monitoring Division under the Southwest Atlantic Meridional Overturning Circulation (SAM) project [100007298]; NASA [80NSSC18K0773]; Cooperative Institute for Marine and Atmospheric Studies (CIMAS), a Cooperative Institute of the University of Miami; NOAA [NA10OAR4320143]; NOAA Climate Variability Program [GC16-212]; NOAA Atlantic Oceanographic and Meteorological Laboratory; SAMOC research project [11-ANR-56-004]; European Union Horizon 2020 research and innovation program [633211]; Sao Paulo State Research Foundation (FAPESP) [2011/50552-4, 2017/09659-6, 2018/09823-3, 2019/07833-4]; Brazilian Navy (DHN); Brazilian Navy (SeCIRM); University of Sao Paulo (Oceanographic Institute) through the SAMOC-Br project; CNPq [302018/2014-0]; DST-NRF-SANAP programme; South African DEA; Servicio de Hidrografia Naval; CONICET; Inter-American Institute for Global Change Research grant (U.S. NSF grant) [CRN3070, GEO-1128040]</t>
  </si>
  <si>
    <t>NOAA Climate Program Office-Ocean Observing and Monitoring Division under the Southwest Atlantic Meridional Overturning Circulation (SAM) project; NASA(National Aeronautics &amp; Space Administration (NASA)); Cooperative Institute for Marine and Atmospheric Studies (CIMAS), a Cooperative Institute of the University of Miami; NOAA(National Oceanic Atmospheric Admin (NOAA) - USA); NOAA Climate Variability Program(National Oceanic Atmospheric Admin (NOAA) - USA); NOAA Atlantic Oceanographic and Meteorological Laboratory(National Oceanic Atmospheric Admin (NOAA) - USA); SAMOC research project; European Union Horizon 2020 research and innovation program(Horizon 2020); Sao Paulo State Research Foundation (FAPESP)(Fundacao de Amparo a Pesquisa do Estado de Sao Paulo (FAPESP)); Brazilian Navy (DHN); Brazilian Navy (SeCIRM); University of Sao Paulo (Oceanographic Institute) through the SAMOC-Br project; CNPq(Conselho Nacional de Desenvolvimento Cientifico e Tecnologico (CNPQ)); DST-NRF-SANAP programme; South African DEA; Servicio de Hidrografia Naval; CONICET(Consejo Nacional de Investigaciones Cientificas y Tecnicas (CONICET)); Inter-American Institute for Global Change Research grant (U.S. NSF grant)</t>
  </si>
  <si>
    <t>The U.S. PIES observations and the participation of C.S. M., R.C.P., and S.D. were supported via the NOAA Climate Program Office-Ocean Observing and Monitoring Division (FundRef no. 100007298) under the Southwest Atlantic Meridional Overturning Circulation (SAM) project. M.L.H. and M.K. acknowledge additional support from NASA (grant 80NSSC18K0773). D.L.V., M.K., M.L.H., and S.L.G. were supported in part under the auspices of the Cooperative Institute for Marine and Atmospheric Studies (CIMAS), a Cooperative Institute of the University of Miami and NOAA (cooperative agreement NA10OAR4320143), and/or under a grant from the NOAA Climate Variability Program (GC16-212). C.S.M., D.L. V., M.K., M.L.H., R.L., R.C.P., S.D., and S.L.G. also acknowledge additional support from the NOAA Atlantic Oceanographic and Meteorological Laboratory. S.S. and T.T. acknowledge support from the 11-ANR-56-004 SAMOC research project. S.S. also received support from the European Union Horizon 2020 research and innovation program under grant agreement 633211 (AtlantOS). E. J. D.C., M. v.C. and O.T.S. acknowledge the Sao Paulo State Research Foundation (FAPESP, grants 2011/50552-4, 2017/09659-6, 2018/09823-3, and 2019/07833-4), the Brazilian Navy (DHN and SeCIRM), and the University of Sao Paulo (Oceanographic Institute) for support through the SAMOC-Br project. E.J.D.C. also acknowledges CNPq for a Research Fellowship (grant 302018/2014-0). I.A., M. v.d. B., and T.L. acknowledge support from the DST-NRF-SANAP programme and the South African DEA. The Argentine cruises were supported by Servicio de Hidrografia Naval and CONICET. Additional support for A.R.P., D.V., E.J.D. C., and M.P.C. was provided by the Inter-American Institute for Global Change Research grant CRN3070 (U.S. NSF grant GEO-1128040).</t>
  </si>
  <si>
    <t>eaba7573</t>
  </si>
  <si>
    <t>10.1126/sciadv.aba7573</t>
  </si>
  <si>
    <t>NB3YQ</t>
  </si>
  <si>
    <t>Green Submitted, Green Published, gold, Green Accepted</t>
  </si>
  <si>
    <t>WOS:000560452300014</t>
  </si>
  <si>
    <t>Alurralde, G; Fuentes, VL; De Troch, M; Tatián, M</t>
  </si>
  <si>
    <t>Alurralde, Gaston; Fuentes, Veronica L.; De Troch, Marleen; Tatian, Marcos</t>
  </si>
  <si>
    <t>Suspension feeders as natural sentinels of the spatial variability in food sources in an Antarctic fjord: A stable isotope approach</t>
  </si>
  <si>
    <t>Western Antarctic Peninsula; Potter cove; Climate change; Glacial melting; Benthic suspension feeders; Food sources; Spatial heterogeneity; Isotopic analysis</t>
  </si>
  <si>
    <t>KING-GEORGE ISLAND; SOUTH SHETLAND ISLANDS; POTTER COVE; TROPHIC STRUCTURE; BENTHIC COMMUNITIES; ORGANIC-MATTER; FILTER-FEEDERS; WATER COLUMN; SEA-FLOOR; ROSS SEA</t>
  </si>
  <si>
    <t>We examined the effect of glacial melt-related retreat environmental conditions on the spatial heterogeneity of food sources for Antarctic nearshore marine benthic communities of Potter Cove, a representative fjord on King George Island on the West Antarctic Peninsula. Focusing on Antarctic suspension feeders, we surveyed the variation of carbon (delta C-13) and nitrogen (delta N-15) stable isotopes in three different stations with contrasting characteristics in terms of glacier-sedimentary regimes and distance from the glacier. Bayesian mixing models were used to estimate the relative contribution of eight potential food sources at the study sites and to the consumers' diet. The isotopically signatures of suspension feeders displayed a broad range of assimilate available food sources with distinct contributions at each site. Overall, for most of the suspension feeders analysed, contributions of suspended particulate matter and macroalgae detritus tended to prevail over the rest of the potential food sources. Additionally, we confirm the assimilation of krill faeces by benthic organisms reinforcing its relevance as food source in nearshore Antarctic ecosystems. Mixing models corroborated the influence of glacier discharge on the spatial distribution of available food sources, since their contribution in the suspension feeders diet was different and more heterogeneous in the internal stations (ice-proximal zone) than in the external one (ice-distal zone). The analysis of isotopic signatures of primary benthic consumers (suspension feeders) indicated the spatial heterogeneity of food sources and its composition in coastal Antarctic nearshore, as consequence of the glacial influence on the local environment and hydrology.</t>
  </si>
  <si>
    <t>[Alurralde, Gaston; Tatian, Marcos] Univ Nacl Cordoba, CONICET UNC, Inst Diversidad &amp; Ecol Anim IDEA, Cordoba, Argentina; [Alurralde, Gaston; Tatian, Marcos] Univ Nacl Cordoba, Fac Ciencias Exactas Fis &amp; Nat, Cordoba, Argentina; [Fuentes, Veronica L.] Inst Ciencies Mar ICM CSIC, Barcelona, Spain; [De Troch, Marleen] Univ Ghent, Marine Biol, Ghent, Belgium; [Tatian, Marcos] UNC, FCEFyNat, Dept Diversidad Biol &amp; Ecol, Ecol Marina, Cordoba, Argentina</t>
  </si>
  <si>
    <t>Consejo Nacional de Investigaciones Cientificas y Tecnicas (CONICET); National University of Cordoba; National University of Cordoba; Consejo Superior de Investigaciones Cientificas (CSIC); CSIC - Centro Mediterraneo de Investigaciones Marinas y Ambientales (CMIMA); CSIC - Instituto de Ciencias del Mar (ICM); Ghent University; National University of Cordoba</t>
  </si>
  <si>
    <t>Alurralde, G (corresponding author), Univ Nacl Cordoba, CONICET UNC, Inst Diversidad &amp; Ecol Anim IDEA, Cordoba, Argentina.;Alurralde, G (corresponding author), Univ Nacl Cordoba, Fac Ciencias Exactas Fis &amp; Nat, Cordoba, Argentina.</t>
  </si>
  <si>
    <t>mitocondriarevelde@gmail.com</t>
  </si>
  <si>
    <t>De Troch, Marleen/AAB-9809-2019; Alurralde, Gastón/IVV-4732-2023</t>
  </si>
  <si>
    <t>De Troch, Marleen/0000-0002-6800-0299; Alurralde, Gastón/0000-0002-0332-3978; Tatian, Marcos/0000-0002-9092-9184</t>
  </si>
  <si>
    <t>Total Foundation (ECLIPSE Project); Argentinean funds through PICT-Raices [2011-1320]; Argentinean funds through PICTO-DNA [119]; European Commision under the 7th Framework Programme through the Action - IMCONet (FP7 IRSES) [319718]; American Museum of Natural History (Lerner-Gray Grant for Marine Research); (CONICET) at the Universidad Nacional de Cordoba</t>
  </si>
  <si>
    <t>Total Foundation (ECLIPSE Project); Argentinean funds through PICT-Raices; Argentinean funds through PICTO-DNA; European Commision under the 7th Framework Programme through the Action - IMCONet (FP7 IRSES)(European Union (EU)); American Museum of Natural History (Lerner-Gray Grant for Marine Research); (CONICET) at the Universidad Nacional de Cordoba</t>
  </si>
  <si>
    <t>This work was supported by the Total Foundation (ECLIPSE Project); Argentinean funds through PICT-Raices 2011-1320 to IS, PICTO-DNA No 119; the European Commision under the 7th Framework Programme through the Action - IMCONet (FP7 IRSES, action no. 319718); the American Museum of Natural History (Lerner-Gray Grant for Marine Research). It is a contribution to the Coastal Ecology Monitoring programme of Instituto Antartico Argentino/Direccion Nacional del Antartico in Carlini Station and the research program PACES II (topic 1, work package 5) of the Alfred Wegener Institute. GA received a PhD scholarship (CONICET) at the Universidad Nacional de Cordoba. We are grateful to the scientific, logistic and diving groups of Carlini Station-Dallmann Laboratory for their technical assistance during the Antarctic expeditions. In addition, to Oscar Gonzales, Alejandro Ullrich and Silvia Rodriguez from the Instituto Antartico Argentino (IAA). Finally, to Dr. Uxue Tilves, Dr. Melisa Acevedo and Dr. Jordi Grinyo for their help preparing and analysing samples.</t>
  </si>
  <si>
    <t>10.1016/j.ecolind.2020.106378</t>
  </si>
  <si>
    <t>NA8FF</t>
  </si>
  <si>
    <t>WOS:000560052500018</t>
  </si>
  <si>
    <t>Huh, J; Park, C; Kim, T; Hahn, I; Kim, GW; Lee, E; Kim, JH</t>
  </si>
  <si>
    <t>Huh, Jangyong; Park, Chaeyeon; Kim, Taehee; Hahn, Insik; Kim, Go Woon; Lee, Eunkyung; Kim, Ji Hee</t>
  </si>
  <si>
    <t>Measurements of the Specific Activities of 137Cs in Antarctica Environmental Samples by Using the Low-Level Radiation Analysis Method</t>
  </si>
  <si>
    <t>JOURNAL OF THE KOREAN PHYSICAL SOCIETY</t>
  </si>
  <si>
    <t>Antarctica; Cs-137 tracing; Environmental radiation; Efficiency calibration; GEANT4</t>
  </si>
  <si>
    <t>RADIONUCLIDES; SEDIMENT</t>
  </si>
  <si>
    <t>Since the King Sejong Korean Antarctic Research Station began operation in 1988, studies of various fields have been then carried out in polar regions and significant achievements have been yielded. However, environmental and biological radiations have not been dealt with compared to other research areas. In this study, the(137)Cs distribution is investigated for environmental elements in the vicinity of the two research stations, the Jang Bogo Station and the King Sejong Station, operated by the Korea Polar Research Institute (KOPRI) in Antarctica by using a low-level radiation analysis method. Three different types of environmental samples, soils, mosses, and lichens are investigated for identification of(137)Cs. In order to discriminate low levels of radiations from background radiations and estimate their specific activities with high reliability and precision, we used a heavily shielded HPGe detector in an underground laboratory to perform the activity measurements. GEANT4 simulations were carried out for efficiency calibrations corresponding to the shape of the pre-processed sample.Cs-137 has been identified in all the samples and the energy spectrum has been found to reflect their physical and ecological characteristics.</t>
  </si>
  <si>
    <t>[Huh, Jangyong; Park, Chaeyeon; Kim, Taehee; Hahn, Insik] Ewha Womans Univ, Dept Sci Educ, Seoul 03766, South Korea; [Kim, Go Woon; Lee, Eunkyung] Inst for Basic Sci Korea, Daejeon 34126, South Korea; [Kim, Ji Hee] Korea Polar Res Inst, Dept Polar Life Sci, Incheon 21990, South Korea</t>
  </si>
  <si>
    <t>Ewha Womans University; Institute for Basic Science - Korea (IBS); Korea Polar Research Institute (KOPRI)</t>
  </si>
  <si>
    <t>Huh, J (corresponding author), Ewha Womans Univ, Dept Sci Educ, Seoul 03766, South Korea.</t>
  </si>
  <si>
    <t>jangyong.huh@gmail.com</t>
  </si>
  <si>
    <t>Korea Polar Research Institute (KOPRI) [PE17900]; National Research Foundation of Korea (NRF) - Ministry of Education [2017R1A6A3A11033234]</t>
  </si>
  <si>
    <t>Korea Polar Research Institute (KOPRI); National Research Foundation of Korea (NRF) - Ministry of Education</t>
  </si>
  <si>
    <t>The authors would like to thank the Korea Polar Research Institute for helpful discussions and gratefully acknowledge support about Antarctica. Also, we would like to thank Cheongpyeong Pumped Storage Power Plant, a Korea Hydro and Nuclear Power Corporation (KHNP) affiliated organization, for providing underground space. This work was supported by a grant from the Korea Polar Research Institute (KOPRI, PE17900) and by a grant from the Basic Science Research Program through the National Research Foundation of Korea (NRF) sponsored by the Ministry of Education (2017R1A6A3A11033234).</t>
  </si>
  <si>
    <t>KOREAN PHYSICAL SOC</t>
  </si>
  <si>
    <t>635-4, YUKSAM-DONG, KANGNAM-KU, SEOUL 135-703, SOUTH KOREA</t>
  </si>
  <si>
    <t>0374-4884</t>
  </si>
  <si>
    <t>1976-8524</t>
  </si>
  <si>
    <t>J KOREAN PHYS SOC</t>
  </si>
  <si>
    <t>J. Korean Phys. Soc.</t>
  </si>
  <si>
    <t>10.3938/jkps.77.217</t>
  </si>
  <si>
    <t>MZ0BS</t>
  </si>
  <si>
    <t>WOS:000558788800005</t>
  </si>
  <si>
    <t>Nettlefold, J; Pecl, GT</t>
  </si>
  <si>
    <t>Nettlefold, Jocelyn; Pecl, Gretta T.</t>
  </si>
  <si>
    <t>Engaged Journalism and Climate Change: Lessons From an Audience-led, Locally Focused Australian Collaboration</t>
  </si>
  <si>
    <t>JOURNALISM PRACTICE</t>
  </si>
  <si>
    <t>Climate change; engaged journalism; Hearken; local journalism; participatory journalism; science communication</t>
  </si>
  <si>
    <t>Strengthening media coverage of climate change is a top news and societal priority. The magnitude and impact of global warming and rising sea levels is challenging to communicate, and to comprehend, at global and local scales. Media efforts are frustrated by a myriad of factors, including increased audience reliance on social media for news and information and how that can be compromised by brevity or misinformation. Scientific complexity, and political and cultural conflict, along with psychological factors also shape how people engage with climate issues. The situation is exacerbated by a dramatic decline in the number of print and TV local news outlets and loss of journalism jobs, and rising consumer news avoidance and public distaste for negative coverage. Curious Climate is an engaged journalism experiment by Australia's public broadcaster, the Australian Broadcasting Corporation (ABC), in collaboration with scientific organisations in the island state of Tasmania. The ABC asked the public for climate change questions which were answered with content and events led by scientists. Survey data from audiences and journalists contributes empirical evidence on how such new approaches to audience-led local journalism can deliver relevant local news, expand audiences, and provide trusted, relevant sources of information on complex issues.</t>
  </si>
  <si>
    <t>[Nettlefold, Jocelyn] Univ Tasmania, Coll Arts Law &amp; Educ, Hobart, Australia; [Nettlefold, Jocelyn] Australian Broadcasting Corp, Sydney, NSW, Australia; [Pecl, Gretta T.] Univ Tasmania, Ctr Marine Sociol, Hobart, Australia; [Pecl, Gretta T.] Inst Marine &amp; Antarctic Studies, Hobart, Australia</t>
  </si>
  <si>
    <t>University of Tasmania; Australian Broadcasting Corporation (ABC); University of Tasmania</t>
  </si>
  <si>
    <t>Nettlefold, J (corresponding author), Univ Tasmania, Coll Arts Law &amp; Educ, Hobart, Australia.;Nettlefold, J (corresponding author), Australian Broadcasting Corp, Sydney, NSW, Australia.</t>
  </si>
  <si>
    <t>jocelyn.nettlefold@utas.edu.au</t>
  </si>
  <si>
    <t>Pecl, Gretta/0000-0003-0192-4339; Nettlefold, Jocelyn/0000-0002-8703-8639</t>
  </si>
  <si>
    <t>Australian Government; Tasmanian Government through the Tasmanian Climate Change Office; Centre for Marine Socioecology at the University of Tasmania; ARC Future Fellowship</t>
  </si>
  <si>
    <t>Australian Government(Australian Government); Tasmanian Government through the Tasmanian Climate Change Office; Centre for Marine Socioecology at the University of Tasmania; ARC Future Fellowship(Australian Research Council)</t>
  </si>
  <si>
    <t>This work was supported by a grant from the Australian Government, the Tasmanian Government through the Tasmanian Climate Change Office, and funds from the Centre for Marine Socioecology at the University of Tasmania. In-kind support was provided by the many scientific agencies that provided research staff for public presentations, material preparation and media interviews. GP was supported by an ARC Future Fellowship.</t>
  </si>
  <si>
    <t>1751-2786</t>
  </si>
  <si>
    <t>1751-2794</t>
  </si>
  <si>
    <t>JOURNAL PRACT</t>
  </si>
  <si>
    <t>Journal. Pract.</t>
  </si>
  <si>
    <t>10.1080/17512786.2020.1798272</t>
  </si>
  <si>
    <t>Communication</t>
  </si>
  <si>
    <t>YO7GD</t>
  </si>
  <si>
    <t>WOS:000558439500001</t>
  </si>
  <si>
    <t>Sormani, M; Redenbach, C; Särkkä, A; Rajala, T</t>
  </si>
  <si>
    <t>Sormani, M.; Redenbach, C.; Sarkka, A.; Rajala, T.</t>
  </si>
  <si>
    <t>Second order analysis of geometric anisotropic point processes revisited</t>
  </si>
  <si>
    <t>SPATIAL STATISTICS</t>
  </si>
  <si>
    <t>Anisotropy test; Fry plot; Projection; Functional summary statistics; Spectral analysis; Wavelets</t>
  </si>
  <si>
    <t>Various methods for directional analysis of spatial point patterns have been introduced in the literature. In this paper, we formulate a unifying framework for methods based on integral transforms of the second order product density. Examples include directional versions of Ripley's K-function, wavelet transforms, and spectral analysis. Furthermore, we propose an additional method based on the projection of the Fry points of the point pattern on the unit sphere. This method solves some of the practical problems appearing in the application of the integral transform. In particular, it can be easily applied in 3D and provides a definition of an isotropy test without the need of replicated data. The method is evaluated in a simulation study. (C) 2020 Elsevier B.V. All rights reserved.</t>
  </si>
  <si>
    <t>[Sormani, M.; Redenbach, C.] Tech Univ Kaiserslautern, Math Dept, D-67663 Kaiserslautern, Germany; [Sormani, M.] Fraunhofer Inst Techno &amp; Wirtschaftsmath, Fraunhofer Pl 1, D-67663 Kaiserslautern, Germany; [Sarkka, A.] Chalmers Univ Technol, S-41296 Gothenburg, Sweden; [Sarkka, A.] Univ Gothenburg, Dept Math Sci, S-41296 Gothenburg, Sweden; [Rajala, T.] Nat Resources Inst Finland, Helsinki 00790, Finland</t>
  </si>
  <si>
    <t>University of Kaiserslautern; Fraunhofer Gesellschaft; Chalmers University of Technology; University of Gothenburg; Natural Resources Institute Finland (Luke)</t>
  </si>
  <si>
    <t>Redenbach, C (corresponding author), Tech Univ Kaiserslautern, Math Dept, D-67663 Kaiserslautern, Germany.</t>
  </si>
  <si>
    <t>redenbach@mathematik.uni-kl.de</t>
  </si>
  <si>
    <t>Rajala, Tuomas/S-5135-2019</t>
  </si>
  <si>
    <t>Rajala, Tuomas/0000-0002-1343-8058</t>
  </si>
  <si>
    <t>Deutsche Forschungsgemeinschaft (DFG) [RE 3002/3-1]; Swedish Research Council; Swedish Foundation for Strategic Research</t>
  </si>
  <si>
    <t>Deutsche Forschungsgemeinschaft (DFG)(German Research Foundation (DFG)); Swedish Research Council(Swedish Research Council); Swedish Foundation for Strategic Research(Swedish Foundation for Strategic ResearchSwedish Foundation for Humanities &amp; Social Sciences)</t>
  </si>
  <si>
    <t>This work was supported by the Deutsche Forschungsgemeinschaft (DFG) in the framework of the priority programme ''Antarctic Research with comparative investigations in Arctic ice areas'' by grant RE 3002/3-1, the Swedish Research Council, and the Swedish Foundation for Strategic Research.</t>
  </si>
  <si>
    <t>2211-6753</t>
  </si>
  <si>
    <t>SPAT STAT-NETH</t>
  </si>
  <si>
    <t>Spat. Stat.</t>
  </si>
  <si>
    <t>10.1016/j.spasta.2020.100456</t>
  </si>
  <si>
    <t>Geosciences, Multidisciplinary; Mathematics, Interdisciplinary Applications; Remote Sensing; Statistics &amp; Probability</t>
  </si>
  <si>
    <t>Geology; Mathematics; Remote Sensing</t>
  </si>
  <si>
    <t>NA4WG</t>
  </si>
  <si>
    <t>WOS:000559818300011</t>
  </si>
  <si>
    <t>Xiao, F; Li, F; Zhang, SK; Hao, WF; Geng, T; Xuan, Y</t>
  </si>
  <si>
    <t>Xiao Feng; Li Fei; Zhang ShengKai; Hao WeiFeng; Geng Tong; Xuan Yue</t>
  </si>
  <si>
    <t>DEM generation for the Lambert Glacier-Amery Ice Shelf system, East Antarctica, from CryoSat-2 waveform data</t>
  </si>
  <si>
    <t>CryoSat-2; Digital elevation model; Lambert Glacial-Amery Ice Shelf system; Waveform retracking; Antarctic</t>
  </si>
  <si>
    <t>DIGITAL ELEVATION MODEL; SATELLITE RADAR; RETRACKING; ALGORITHM; GREENLAND</t>
  </si>
  <si>
    <t>The Lambert Glacier-Amery Ice Shelf system is a major component of the Antarctic ice sheet. Satellite altimeters are currently the most suitable instrument available for ice sheet mapping at the desired accuracy and spatial and temporal resolution for geoscientific and environmental studies. Due to the newly developed SIRAL instrument, CryoSat-2 has a significant improvement compared to the conventional altimeters and enables continuous observations along the relatively steep and narrow margins of the ice sheets as well as on large glaciers and ice caps, where elevation change is most rapid. This paper presents a 500 m digital elevation model for the Lambert-Amery system using CryoSat-2 radar altimeter waveform data. The range accuracy of the altimeter is degenerated over the ice sheet due to waveform contamination. Retracking methods including the OCOG (Offset Center of Gravity) method, the threshold method with 10% 25% and 50% threshold level, the linear and exponential 5-beta parametric methods are compared using crossover analysis over the Lambert-Amery system. For LRM (Low Resolution Mode) waveforms, the linear 5-beta parametric method is applied. The threshold method with 25% threshold level and the OCOG method are carried out for SARIn waveforms over margins of the ice sheet and the Amery Ice Shelf, respectively. For the LRM data we follow an iterative approach to correct for the surface slope, and the slope correction is applied to each data point using the relocation method. Finally, we produce a new DEM for the Lambert-Amery system using ordinary Kriging interpolation. The accuracy of the DEM is assessed by ICESat data and GPS data and compared with two Antarctic DEMs based on CryoSat-2. The results show that the new DEM has the highest accuracy with an uncertainty of 0. 295 +/- 2. 7 m. The vertical accuracy of the DEM is better than 2 m for the interior ice sheet and better than 1 m for the Amery Ice Shelf. The accuracy degenerates in the grounding area because of the sloped topography and fast ice flows.</t>
  </si>
  <si>
    <t>[Xiao Feng; Li Fei; Zhang ShengKai; Hao WeiFeng; Geng Tong; Xuan Yue] Wuhan Univ, Chinese Antarctic Ctr Surveying &amp; Mapping, Wuhan 430079, Peoples R China</t>
  </si>
  <si>
    <t>Li, F (corresponding author), Wuhan Univ, Chinese Antarctic Ctr Surveying &amp; Mapping, Wuhan 430079, Peoples R China.</t>
  </si>
  <si>
    <t>shaw89@whu.edu.cn; fli@whu.edu.cn</t>
  </si>
  <si>
    <t>10.6038/cjg2020N0311</t>
  </si>
  <si>
    <t>MW9UP</t>
  </si>
  <si>
    <t>WOS:000557376400004</t>
  </si>
  <si>
    <t>Zhang, Z; Xu, LS</t>
  </si>
  <si>
    <t>Zhang Zhe; Xu LiSheng</t>
  </si>
  <si>
    <t>2013 Mw 7. 8 South Scotia Ridge Earthquake : Focal mechanism inversion of the multi-point sources</t>
  </si>
  <si>
    <t>2013 M(w)7. 8 south Scotia ridge earthquake; Centroid moment tensor; High-frequency sources; Apparent source time function; Focal mechanism inversion of multi-point sources</t>
  </si>
  <si>
    <t>SOURCE PARAMETERS; NEPAL EARTHQUAKE; RUPTURE PROCESS; FAULT PLANE; ENERGY; SUMATRA; SLIP; DECONVOLUTION; JAPAN</t>
  </si>
  <si>
    <t>On 17 November, 2013, an M-w 7. 8 earthquake occurred between the Scotia and Antarctic plates (2013 M-w 7. 8 South Scotia Ridge Earthquake) in north of the South Orkney islands. We determined the spatiotemporal variation of focal mechanism solutions of the event based on long-period and broadband teleseismic waveform data worldwide, and validated a new approach to focal mechanism inversion of multi-point sources. Firstly, the centroid moment tensor solution (CMT) was determined by inverting the W-phase data of long-period seismic recordings, the apparent source time functions (ASTFs) were retrieved from the P-waveform data of long-period seismic recordings, and the spatiotemporal distribution of high-frequency sources (SDHS) was imaged by back-projecting the array-recorded broadband P-waveform recordings. Then, taking into account the CMT solution, ASTFs and the SDHS, we obtained the focal mechanism solutions of multipoint sources (FMSMS) for this event by adopting the new approach. The CMT solution shows a centroid location of 44. 50 degrees W/60. 18 degrees S, a depth of 19 km, a half duration of 49 s, a scalar seismic moment release of 4. 71 x10(20) N.m, and fault parameters of strike 104 degrees, dip 54 degrees and rake 8 degrees. The ASTFs reveals an azimuth-dependant variation of the moment-rate time functions, by which the source process was isolated into two stages, the first 60s and the rest 50s. Furthermore, the first stage includes two subevents. In contrast, the back-projection identifies a unilaterally eastward rupture along the trench north of the South Orkney microcontinent, with a length of similar to 311 km. The rupture process consisted of 5 subevents, with peaks of the energy release at 13 s,30 s,51 s, 64 s and 84 s, which had rupture velocities of 0. 6 km.s(-1), 2. 6 km.s(-1), 2. 3 km.s(-1), 2. 8 km.s(-1) and 3 km.s(-1), respectively, on average. According to the FMSMS, the five subevents had moment magnitudes of M-w 7. 57, M-w 7. 48, M-w 6. 80, M-w 7. 53 and M-w 7. 08, half-durations of 21 s,17 s, 6 s, 16 s and 8 s, strikes of 95 degrees, 105 degrees, 81 degrees, 98 degrees and 98 degrees, dips of 57 degrees, 49 degrees, 86 degrees, 46 degrees and 64 degrees , and rakes of -9 degrees, 1 degrees, -17 degrees, 13 degrees and - 4 degrees in order. These spatiotemporal variations in focal mechanism, moment release and duration times typically indicate the complexity of local tectonic and stress situation.</t>
  </si>
  <si>
    <t>[Zhang Zhe; Xu LiSheng] Chinese Earthquake Adm, Inst Geophys, Beijing 100081, Peoples R China</t>
  </si>
  <si>
    <t>China Earthquake Administration; Insititute of Geophysics, CEA</t>
  </si>
  <si>
    <t>Xu, LS (corresponding author), Chinese Earthquake Adm, Inst Geophys, Beijing 100081, Peoples R China.</t>
  </si>
  <si>
    <t>zhangzhe@cea-igp.ac.cn; xuls@cea-igp.ac.cn</t>
  </si>
  <si>
    <t>XU, Lisheng/C-2974-2008</t>
  </si>
  <si>
    <t>10.6038/cjg2020O0017</t>
  </si>
  <si>
    <t>WOS:000557376400011</t>
  </si>
  <si>
    <t>McWatters, RS; Rowe, RK; Di Battista, V; Sfiligoj, B; Wilkins, D; Spedding, T</t>
  </si>
  <si>
    <t>McWatters, R. S.; Rowe, R. K.; Di Battista, V; Sfiligoj, B.; Wilkins, D.; Spedding, T.</t>
  </si>
  <si>
    <t>Exhumation and performance of an Antarctic composite barrier system after 4 years exposure</t>
  </si>
  <si>
    <t>CANADIAN GEOTECHNICAL JOURNAL</t>
  </si>
  <si>
    <t>geosynthetic clay liner; hydration; geomembrane; cold region engineering; field case</t>
  </si>
  <si>
    <t>GEOSYNTHETIC CLAY LINERS; HYDRAULIC CONDUCTIVITY; CATION-EXCHANGE; FUEL SPILLS; GCLS; HYDRATION; LEAKAGE; SOIL; BIODEGRADATION; EVAPORATION</t>
  </si>
  <si>
    <t>An Antarctic biopile using a composite liner (high-density polyethylene geomembrane (GMB) over a geosynthetic clay liner (GCL)) was constructed on a coarse granular subgrade to contain hydrocarbon-contaminated soil and leachate. The soil was remediated after 4 years and the biopile was decommissioned. The liner was exhumed to assess the properties and performance of the GMB and GCL. There was no significant change in the GMB index properties. Although cobbles and coarse gravel of the subgrade had left indentations in the GMB, implying tensile strains that could impact long-term performance, there were no holes. There was significant variability in the hydration of the GCL (from 10% to 220%) and in the underlying subgrade soil water content (from 5% to 30%). This reflects the complexity of the subgrade and groundwater flow in the Antarctic environment. The exhumed GCL specimens had low hydraulic conductivity (1 x 10(-11) to 7 x 10(-11) m/s) at 13 kPa. Soil samples from below the composite liner showed no detectable hydrocarbons and confirmed no migration through the barrier. It is concluded that the composite barrier contained the leachate and biopile soil over the 4 years in service in the extreme Antarctic conditions.</t>
  </si>
  <si>
    <t>[McWatters, R. S.; Sfiligoj, B.; Wilkins, D.; Spedding, T.] Australian Antarctic Div, Kingston, Tas, Australia; [Rowe, R. K.; Di Battista, V] Queens Univ, GeoEngn Ctr Queens RMC, Kingston, ON, Canada</t>
  </si>
  <si>
    <t>Australian Antarctic Division; Queens University - Canada; Royal Military College - Canada</t>
  </si>
  <si>
    <t>McWatters, RS (corresponding author), Australian Antarctic Div, Kingston, Tas, Australia.</t>
  </si>
  <si>
    <t>rebecca.mcwatters@aad.gov.au</t>
  </si>
  <si>
    <t>Wilkins, Daniel/AAF-3959-2020</t>
  </si>
  <si>
    <t>Rowe, R. Kerry/0000-0002-1009-0447; Wilkins, Daniel/0000-0003-2081-483X; Spedding, Tim/0000-0002-4023-2469; Sfiligoj, Bianca/0000-0001-7439-8857</t>
  </si>
  <si>
    <t>Australian Antarctic Program (Australian Antarctic Science Project) [1163, 4036]</t>
  </si>
  <si>
    <t>Australian Antarctic Program (Australian Antarctic Science Project)</t>
  </si>
  <si>
    <t>This is a collaborative project between the Australian Antarctic Division, Kingston, Australia, and the GeoEngineering Centre at Queen's-RMC, Queen's University, Kingston, Canada. The authors acknowledge the logistical and financial support provided by the Australian Antarctic Program (Australian Antarctic Science Project No. 1163, 4036) in addition to the support provided by the Australian Antarctic Division's Polar Medicine Unit led by J. Ayton, which included the use of Casey Station's X-ray equipment. The authors also acknowledge the work and contribution of many past and present colleagues at the Australian Antarctic Division, expeditioners at Casey Station, and research collaborators on broader ongoing aspects of this study; namely, D. Jones and M. Shoaib formerly of Queen's University, A. Bouazza and G. Guzman of Monash University, and W. Gates of Deakin University.</t>
  </si>
  <si>
    <t>0008-3674</t>
  </si>
  <si>
    <t>1208-6010</t>
  </si>
  <si>
    <t>CAN GEOTECH J</t>
  </si>
  <si>
    <t>Can. Geotech. J.</t>
  </si>
  <si>
    <t>10.1139/cgj-2018-0715</t>
  </si>
  <si>
    <t>MW9LH</t>
  </si>
  <si>
    <t>WOS:000557352200003</t>
  </si>
  <si>
    <t>Gentile, G; Maimone, G; La Ferla, R; Azzaro, M; Catalfamo, M; Genovese, M; Santisi, S; Maldani, M; Macrì, A; Cappello, S</t>
  </si>
  <si>
    <t>Gentile, Gabriella; Maimone, Giovanna; La Ferla, Rosabruna; Azzaro, Maurizio; Catalfamo, Maurizio; Genovese, Maria; Santisi, Santina; Maldani, Mohamed; Macri, Angela; Cappello, Simone</t>
  </si>
  <si>
    <t>Phenotypic Variations of Oleispira antarctica RB-8(T) in Different Growth Conditions</t>
  </si>
  <si>
    <t>IMAGE-ANALYSIS; MORPHOLOGY; BACTERIA; BIOMASS; SIZE; OIL; COMMUNITIES; STARVATION; BIOVOLUME; VIABILITY</t>
  </si>
  <si>
    <t>The peculiar biotechnological applications ofOleispiraspp. in the natural cleansing of oil-polluted marine systems stimulated the study of the phenotypic characteristics of theOleispira antarcticaRB-8(T) strain and modifications of these characteristics in relation to different growth conditions. Bacterial abundance, cell size and morphology variations (by image analysis) and hydrocarbon degradation (by gas chromatography with flame ionization detection, GC-FID) were analysed in different cultures ofO. antarcticaRB-8(T). The effects of six different hydrocarbon mixtures (diesel, engine oil, naval oil waste, bilge water, jet fuel and oil) used as a single carbon source combined with two different growth temperatures (4 degrees and 15 degrees C) were analysed (for 22 days). The data obtained showed that the mean cell volume decreased with increasing experimental temperature. Three morphological bacterial shapes were identified: spirals, rods and cocci. Morphological transition from spiral to rod and coccoid shapes in relation to the different substrates (oil mixtures) and/or growth temperatures was observed, except for one experimental condition (naval oil waste) in which spiral bacteria were mostly dominant. Phenotypic traits and physiological status of hydrocarbon-degrading bacteria showed important modifications in relation to culture conditions. These findings suggest interesting potential for strain RB-8(T) for ecological and applicative purposes.</t>
  </si>
  <si>
    <t>[Gentile, Gabriella; Catalfamo, Maurizio; Genovese, Maria; Santisi, Santina; Macri, Angela; Cappello, Simone] CNR Messina, Inst Biol Resource &amp; Marine Biotechnol IRBIM, Spianata S Raineri 86, I-98122 Messina, Italy; [Maimone, Giovanna; La Ferla, Rosabruna; Azzaro, Maurizio] CNR Messina, Inst Polar Sci ISP, Spianata S Raineri 86, I-98122 Messina, Italy; [Santisi, Santina] CNR Messina, Inst Appl Sci &amp; Intelligent Syst, Eduardo Caianello ISASI, I-98122 Messina, Italy; [Maldani, Mohamed] Moulay Ismail Univ, Fac Sci, Environm &amp; Soil Microbiol Unit, Meknes, Morocco; [Macri, Angela] Univ Messina, Fac Sci, Messina, Italy</t>
  </si>
  <si>
    <t>Consiglio Nazionale delle Ricerche (CNR); Istituto per le Risorse Biologiche Biotecnologie Marine (IRBIM-CNR); Consiglio Nazionale delle Ricerche (CNR); Istituto di Scienze Polari (ISP-CNR); Consiglio Nazionale delle Ricerche (CNR); Istituto di Scienze Applicate e Sistemi Intelligenti Eduardo Caianiello (ISASI-CNR); Moulay Ismail University of Meknes; University of Messina</t>
  </si>
  <si>
    <t>Maimone, G (corresponding author), CNR Messina, Inst Polar Sci ISP, Spianata S Raineri 86, I-98122 Messina, Italy.</t>
  </si>
  <si>
    <t>gabriella.gentile@cnr.it; giovanna.maimone@cnr.it; rosabruna.laferla@cnr.it; maurizio.azzaro@cnr.it; maurizio.catalfamo@cnr.it; maria.genovese@cnr.it; santina.santisi@cnr.it; mohamed.maldini@gmail.com; angelamacri@yahoo.it; simone.cappello@cnr.it</t>
  </si>
  <si>
    <t>MALDANI, MOHAMED/JFJ-4690-2023; azzaro, Maurizio/AAE-6784-2019</t>
  </si>
  <si>
    <t>MALDANI, MOHAMED/0000-0001-7474-6022; azzaro, Maurizio/0000-0001-7885-2340; Macri', Angela/0000-0003-2974-1809</t>
  </si>
  <si>
    <t>National Research Council (CNR) of Italy [PNRA2013 B4.01, PNRA2015_00090, PNRA2016]</t>
  </si>
  <si>
    <t>National Research Council (CNR) of Italy(Consiglio Nazionale delle Ricerche (CNR))</t>
  </si>
  <si>
    <t>This work was supported by grants of the National Research Council (CNR) of Italy, by (i) PNRA2013 B4.01 STRANgE and (ii) PNRA2015_00090 Plastic in Antarctic Environment (PLANET Project); (iii) PNRA2016 NANOparticelle Polimeriche nell'ambiente marino e negli organismi Antartici (nanoPANTA).</t>
  </si>
  <si>
    <t>10.1007/s00284-020-02143-8</t>
  </si>
  <si>
    <t>WOS:000554434700003</t>
  </si>
  <si>
    <t>Tucker, R; Callaham, JA; Zeidler, C; Paul, AL; Ferl, RJ</t>
  </si>
  <si>
    <t>Tucker, Rachel; Callaham, Jordan A.; Zeidler, Conrad; Paul, Anna-Lisa; Ferl, Robert J.</t>
  </si>
  <si>
    <t>NDVI imaging within space exploration plant growth modules - A case study from EDEN ISS Antarctica</t>
  </si>
  <si>
    <t>LIFE SCIENCES IN SPACE RESEARCH</t>
  </si>
  <si>
    <t>Plant health monitoring; Greenhouse; Space analog; Habitat; Neumayer station III; Life support</t>
  </si>
  <si>
    <t>MARS</t>
  </si>
  <si>
    <t>The concept of using informative wavelength imagery to monitor plant health and ecosystem stability from space is derived from the deployment of Landsat and the development of the Normalized Difference Vegetative Index, or NDVI. NDVI presents the relative reflectance of the Near IR from plant leaves as a measure of relative plant health in terrestrial habitats and landscapes. However, the use of NDVI and NDVI-like imagery is rapidly evolving toward higher spatial resolution and more localized assessments of plant health, such as the use of drone imagery to monitor outdoor farms, and the use of mounted cameras within indoor growing facilities. With the advancement of plant growth systems in support of human space exploration, especially to the moon and Mars, remote assessment of plant health within exploration habitats becomes a critical element for development. This project examines the deployment of NDVI-like capabilities within a planetary analog greenhouse on the Antarctic ice shelf. The EDEN ISS Antarctica project provides a case study on the practical use of specific wavelength imagery to monitor plant health within space exploration environments. GoPro cameras, modified to dual bandpass capabilities, provided Single Image NDVI analyses for a year within the EDEN ISS Future Exploration Greenhouse at the Neumayer Station III in Antarctica. Images were acquired on site, analyzed remotely, and archived for the entire duration of the deployment through a combination of back-room science activities and operational communications with the Neumayer Station III. The results provide insights into the potential use of specific imaging wavelengths to enhance crop production in space exploration.</t>
  </si>
  <si>
    <t>[Tucker, Rachel; Callaham, Jordan A.; Paul, Anna-Lisa; Ferl, Robert J.] Univ Florida, Hort Sci, Gainesville, FL USA; [Zeidler, Conrad] German Aerosp Ctr DLR, Dept Syst Anal Space Segment, Inst Space Syst, EDEN Res Grp, Bremen, Germany; [Paul, Anna-Lisa; Ferl, Robert J.] Univ Florida, Program Plant Mol &amp; Cellular Biol, Gainesville, FL USA; [Paul, Anna-Lisa] Univ Florida, Interdisiplinary Ctr Biotechnol &amp; Res, Gainesville, FL USA; [Ferl, Robert J.] Univ Florida, Off Res, Gainesville, FL USA</t>
  </si>
  <si>
    <t>State University System of Florida; University of Florida; Helmholtz Association; German Aerospace Centre (DLR); State University System of Florida; University of Florida; State University System of Florida; University of Florida; State University System of Florida; University of Florida</t>
  </si>
  <si>
    <t>Ferl, RJ (corresponding author), Univ Florida, Gainesville, FL 32601 USA.</t>
  </si>
  <si>
    <t>robferl@ufl.edu</t>
  </si>
  <si>
    <t>Callaham, Jordan/0000-0002-5220-1790; Ferl, Robert/0000-0003-4178-764X</t>
  </si>
  <si>
    <t>NASA SLPSRA grant [80NSSC17K0199]; Florida Space Grant Consortium grant [FSGC NNX15_016 FSGC08 170829]; European Union's Horizon 2020 research and innovation program [636501]; EDEN ISS; H2020 - Industrial Leadership [636501] Funding Source: H2020 - Industrial Leadership</t>
  </si>
  <si>
    <t>NASA SLPSRA grant; Florida Space Grant Consortium grant; European Union's Horizon 2020 research and innovation program; EDEN ISS; H2020 - Industrial Leadership(European Union (EU)H2020 - Industrial Leadership)</t>
  </si>
  <si>
    <t>This work was supported by NASA SLPSRA grant 80NSSC17K0199 and the Florida Space Grant Consortium grant FSGC NNX15_016 FSGC08 170829 to RJF and A-LP. The EDEN ISS project received funding from the European Union's Horizon 2020 research and innovation program under grant agreement No 636501. The authors would also like to thank the Alfred Wegener Institute (AWI) for logistical support, and thank all of the personnel from Neumayer in the 2018-2019 season, especially Paul Zabel, who overwintered at NMIII in support of EDEN ISS, and Daniel Schubert, the team leader of EDEN ISS. Stephanie Richards and Kennedy Space Center provided detailed support in populating the Life Sciences Data Archive with images from the project. And finally, we dedicate this paper to our friend and colleague Dr. William (Bill) Knott. Bill's early vision in Advanced Life Support helped the world see the importance of plants in human exploration past the boundaries of our planet.</t>
  </si>
  <si>
    <t>2214-5524</t>
  </si>
  <si>
    <t>2214-5532</t>
  </si>
  <si>
    <t>LIFE SCI SPACE RES</t>
  </si>
  <si>
    <t>Life Sci. Space Res.</t>
  </si>
  <si>
    <t>10.1016/j.lssr.2020.03.006</t>
  </si>
  <si>
    <t>Astronomy &amp; Astrophysics; Biology; Multidisciplinary Sciences</t>
  </si>
  <si>
    <t>Astronomy &amp; Astrophysics; Life Sciences &amp; Biomedicine - Other Topics; Science &amp; Technology - Other Topics</t>
  </si>
  <si>
    <t>MS8XU</t>
  </si>
  <si>
    <t>WOS:000554557700001</t>
  </si>
  <si>
    <t>Du, JH; Haley, BA; Mix, AC</t>
  </si>
  <si>
    <t>Du, Jianghui; Haley, Brian A.; Mix, Alan C.</t>
  </si>
  <si>
    <t>Evolution of the Global Overturning Circulation since the Last Glacial Maximum based on marine authigenic neodymium isotopes</t>
  </si>
  <si>
    <t>Ocean circulation; Last glacial maximum; Last deglaciation; Paleoceanography; Paleoclimate; Neodymium isotopes; Marine Nd Cycle; Authigenic phase; Detrital sediments</t>
  </si>
  <si>
    <t>RARE-EARTH-ELEMENTS; ANTARCTIC INTERMEDIATE WATER; ATLANTIC DEEP-WATER; WESTERN NORTH-ATLANTIC; MID-DEPTH ATLANTIC; SOUTHERN-OCEAN; ND ISOTOPE; PACIFIC-OCEAN; CARBON ISOTOPES; INDIAN-OCEAN</t>
  </si>
  <si>
    <t>The Global Overturning Circulation is linked to climate change on glacial-interglacial and multi-millennial timescales. The understanding of past climate-circulation links remains hindered by apparent conflicts among proxy measures of circulation. Here we reconstruct circulation changes since the Last Glacial Maximum (LGM) based on a global synthesis of authigenic neodymium isotope records (epsilon(Nd)). We propose the bottom-up framework of interpreting seawater and authigenic epsilon(Nd) considering not only conservative watermass mixing, but also the preformed properties and the non-conservative behavior of epsilon(Nd), both subject to sedimentary influences. We extract the major spatial-temporal modes of authigenic epsilon(Nd) using Principal Component Analysis, and make a first-order circulation reconstruction with budget-constrained box model simulations. We show that during the LGM, the source region of North Atlantic overturning shifted southward, which led to more radiogenic preformed epsilon(Nd) of glacial Northern Source Water (NSW). Considering this preformed effect, we infer that glacial deep Atlantic had a similar proportion of NSW as today, although the overall strength of glacial circulation appears reduced from both North Atlantic and Southern Ocean sources, which increased the relative importance of nonconservative behavior of epsilon(Nd) and may have facilitated accumulation of respired carbon in the deep ocean. During the deglaciation, we find that Southern Ocean overturning increased, which offset suppressed North Atlantic overturning and resulted in a net stronger global abyssal circulation. Faster global scale deglacial circulation reduced the relative importance of non-conservative effects, resulting in AtlanticPacific convergence of abyssal epsilon(Nd) signatures. Variations of Southern Ocean overturning likely drove a significant fraction of deglacial changes in atmospheric CO2 and oceanic heat budget. (C) 2020 The Author(s). Published by Elsevier Ltd.</t>
  </si>
  <si>
    <t>[Du, Jianghui; Haley, Brian A.; Mix, Alan C.] Oregon State Univ, Coll Earth Ocean &amp; Atmospher Sci, Corvallis, OR 97331 USA; [Du, Jianghui] Swiss Fed Inst Technol, Dept Earth Sci, Inst Geochem &amp; Petrol, Clausiusstr 25, CH-8092 Zurich, Switzerland</t>
  </si>
  <si>
    <t>Oregon State University; Swiss Federal Institutes of Technology Domain; ETH Zurich</t>
  </si>
  <si>
    <t>Du, JH (corresponding author), Oregon State Univ, Coll Earth Ocean &amp; Atmospher Sci, Corvallis, OR 97331 USA.;Du, JH (corresponding author), Swiss Fed Inst Technol, Dept Earth Sci, Inst Geochem &amp; Petrol, Clausiusstr 25, CH-8092 Zurich, Switzerland.</t>
  </si>
  <si>
    <t>jianghui.du@erdw.ethz.ch</t>
  </si>
  <si>
    <t>Du, Jianghui/I-6570-2017</t>
  </si>
  <si>
    <t>Du, Jianghui/0000-0002-3386-9314; Haley, Brian/0000-0003-2879-8117</t>
  </si>
  <si>
    <t>US National Science Foundation [1502754, 1357529]; ETH Zurich Postdoctoral Fellowship [19-2 FEL-32]; Directorate For Geosciences; Division Of Ocean Sciences [1357529, 1502754] Funding Source: National Science Foundation</t>
  </si>
  <si>
    <t>US National Science Foundation(National Science Foundation (NSF)); ETH Zurich Postdoctoral Fellowship; Directorate For Geosciences; Division Of Ocean Sciences(National Science Foundation (NSF)NSF - Directorate for Geosciences (GEO))</t>
  </si>
  <si>
    <t>Funding for this study was provided by US National Science Foundation Grant #1502754 to A.C.M. and #1357529 to A.C.M and B.A.H. J.D. was also supported by an ETH Zurich Postdoctoral Fellowship 19-2 FEL-32. We thank Andreas Schmittner and Clare Reimers for helpful comments. We also thank two anonymous referees for comments that helped us to improve the manuscript.</t>
  </si>
  <si>
    <t>10.1016/j.quascirev.2020.106396</t>
  </si>
  <si>
    <t>MO4AR</t>
  </si>
  <si>
    <t>WOS:000551471300006</t>
  </si>
  <si>
    <t>Conroy, JA; Steinberg, DK; Thibodeau, PS; Schofield, O</t>
  </si>
  <si>
    <t>Conroy, John A.; Steinberg, Deborah K.; Thibodeau, Patricia S.; Schofield, Oscar</t>
  </si>
  <si>
    <t>Zooplankton diel vertical migration during Antarctic summer</t>
  </si>
  <si>
    <t>Southern Ocean; Mesopelagic zone; Copepod; Krill; Salp; Pteropod</t>
  </si>
  <si>
    <t>MESOZOOPLANKTON COMMUNITY STRUCTURE; EUPHAUSIA-SUPERBA DANA; THYSANOESSA-MACRURA; SOUTHERN-OCEAN; SEA-ICE; METRIDIA-GERLACHEI; SALPA-THOMPSONI; CLIMATE-CHANGE; SPRING BLOOM; TIME-SERIES</t>
  </si>
  <si>
    <t>Zooplankton diel vertical migration (DVM) during summer in the polar oceans is presumed to be dampened due to near continuous daylight. We analyzed zooplankton diel vertical distribution patterns in a wide range of taxa along the Western Antarctic Peninsula (WAP) to assess if DVM occurs, and if so, what environmental controls modulate DVM in the austral summer. Zooplankton were collected during January and February in paired day-night, depth-stratified tows through the mesopelagic zone along the WAP from 2009-2017, as well as in day and night epipelagic net tows from 1993-2017. The copepod Metridia gerlachei, salp Salpa thompsoni, ptempod Limacina helicina antarctica, and ostracods consistently conducted DVM between the mesopelagic and epipelagic zones. Migration distance for M. gerlachei and ostracods decreased as photoperiod increased from 17 to 22 h daylight. The copepods Calanoides acutus and Rhincalanus gigas, as well as euphausiids Thysanoessa macrura and Euphausia crystallorophias, conducted shallow (mostly within the epipelagic zone) DVMs into the upper 50 m at night. Rhincalanus gigas, T. macrura, and L. h. antarctica DVM behavior was modulated by chlorophyll a concentration, mixed layer depth, and depth of the subsurface chlorophyll a maximum, respectively. Carnivorous and detritivorous taxa - including the calanoid copepod Paraeuchaeta antarctica, ostracods, chaetognaths, and Tomopteris spp. polychaetes - as well as seasonally migrating copepods, were most abundant in the mesopelagic zone regardless of the diel cycle. Paraeuchaeta antarctica underwent reverse DVM within the top 100 m. The impacts of Antarctic zooplankton summer DVM and the resident mesopelagic assemblage on carbon export should be better quantified.</t>
  </si>
  <si>
    <t>[Conroy, John A.; Steinberg, Deborah K.; Thibodeau, Patricia S.] Virginia Inst Marine Sci, William &amp; Mary, Gloucester Point, VA 23062 USA; [Schofield, Oscar] Rutgers State Univ, Ctr Ocean Observing Leadership, Sch Environm &amp; Biol Sci, Dept Marine &amp; Coastal Sci, New Brunswick, NJ 08901 USA; [Thibodeau, Patricia S.] Univ Rhode Isl, Grad Sch Oceanog, Narragansett, RI 02882 USA</t>
  </si>
  <si>
    <t>William &amp; Mary; Virginia Institute of Marine Science; Rutgers University System; Rutgers University New Brunswick; University of Rhode Island</t>
  </si>
  <si>
    <t>Conroy, JA (corresponding author), Virginia Inst Marine Sci, William &amp; Mary, Gloucester Point, VA 23062 USA.</t>
  </si>
  <si>
    <t>jaconroy@vims.edu</t>
  </si>
  <si>
    <t>Thibodeau, Patricia/0000-0002-6005-8816; Conroy, Jack/0000-0001-6559-8240; Steinberg, Deborah K./0000-0001-9884-4655</t>
  </si>
  <si>
    <t>National Science Foundation Antarctic Organisms and Ecosystems Program [PLR-1440435]; 1st Advantage Credit Union of Newport News, VA, USA</t>
  </si>
  <si>
    <t>National Science Foundation Antarctic Organisms and Ecosystems Program(National Science Foundation (NSF)NSF - Directorate for Geosciences (GEO)); 1st Advantage Credit Union of Newport News, VA, USA</t>
  </si>
  <si>
    <t>Thank you to the Captain, officers, and crew of the ARSV Laurence M. Gould, as well as Antarctic Support Contract personnel for their scientific and logistical support. We are grateful to many student volunteers and PAL LTER scientists for support at sea. We thank Joe Cope for data collection and management efforts on this project, Domi Paxton for laboratory assistance, Miram Gleiber for copepod identification advice, and Nicole Waite for providing CTD and optical data. Comments from Kim Bernard, David Johnson, Walker Smith, Mike Vecchione, and two anonymous reviewers improved this manuscript. This research was supported by the National Science Foundation Antarctic Organisms and Ecosystems Program (PLR-1440435). A.G. Casey Duplantier Jr. and the 1st Advantage Credit Union of Newport News, VA, USA provided additional funding to support J.A.C. and P.S.T.'s participation on PAL LTER cruises. This paper is Contribution No. 3907 of the Virginia Institute of Marine Science, William &amp; Mary.</t>
  </si>
  <si>
    <t>10.1016/j.dsr.2020.103324</t>
  </si>
  <si>
    <t>MO4BK</t>
  </si>
  <si>
    <t>WOS:000551473200009</t>
  </si>
  <si>
    <t>Hu, LB; Zhang, XD; Perry, MJ</t>
  </si>
  <si>
    <t>Hu, Lianbo; Zhang, Xiaodong; Perry, Mary Jane</t>
  </si>
  <si>
    <t>Light scattering by pure seawater at subzero temperatures</t>
  </si>
  <si>
    <t>Light scattering; Seawater; Sub-zero temperature</t>
  </si>
  <si>
    <t>REFRACTIVE-INDEX; WATER; SALINITY; PRESSURE; DENSITY</t>
  </si>
  <si>
    <t>We found that the Hu et al. model for light scattering by pure seawater [Deep Sea Research Part I, 146, 103-109 (2019)] can be applied to waters with sub-zero temperature, which was outside the applicable range of the original equation for the refractive index of water that is used in the model. The surface waters with temperature &lt; -1 degrees C in the Arctic Ocean and surrounding the Antarctic exhibit the largest molecular scattering that is approximately 7% greater than the tropic waters, and this difference is mainly due to the temperature contrast between the two areas. The Hu et al. model can be applied with an overall uncertainty of 2% from 350 to 1100 nm to nearly all natural oceanic water bodies, with temperature from -6 to 30 degrees C, salinity from 0 to 120 g kg(-1), depth from surface to approximately 10,000 m.</t>
  </si>
  <si>
    <t>[Hu, Lianbo] Univ North Dakota, Dept Earth Syst Sci &amp; Policy, Grand Forks, ND 58202 USA; [Hu, Lianbo] Ocean Univ China, Ocean Remote Sensing Inst, Qingdao 266001, Shandong, Peoples R China; [Zhang, Xiaodong] Univ Southern Mississippi, Sch Ocean Sci &amp; Engn, Div Marine Sci, Stennis Space Ctr, MS 39529 USA; [Perry, Mary Jane] Univ Maine, Sch Marine Sci, Orono, ME 04469 USA</t>
  </si>
  <si>
    <t>University of North Dakota Grand Forks; Ocean University of China; University of Southern Mississippi; University of Maine System; University of Maine Orono</t>
  </si>
  <si>
    <t>Zhang, XD (corresponding author), Univ Southern Mississippi, Sch Ocean Sci &amp; Engn, Div Marine Sci, Stennis Space Ctr, MS 39529 USA.</t>
  </si>
  <si>
    <t>xiaodong.zhang@usm.edu</t>
  </si>
  <si>
    <t>National Aeronautics and Aerospace Administration (NASA) [80NSSC19K0723, 80NSSC18M0024, 80NSSC20K0350]; National Science Foundation [1917337]; National Natural Science Foundation of China [61675187]; Directorate For Geosciences; Division Of Ocean Sciences [1917337] Funding Source: National Science Foundation</t>
  </si>
  <si>
    <t>National Aeronautics and Aerospace Administration (NASA); National Science Foundation(National Science Foundation (NSF)); National Natural Science Foundation of China(National Natural Science Foundation of China (NSFC)); Directorate For Geosciences; Division Of Ocean Sciences(National Science Foundation (NSF)NSF - Directorate for Geosciences (GEO))</t>
  </si>
  <si>
    <t>Interest in this work was stimulated by a question from Mr. Hakon Sandven, a Ph. D student at the University of Bergen whose research involves optical measurement in the Arctic Ocean. We thank Dr. Igor Belkin for suggesting us to extend to Antarctic waters. The funding for this work was from the National Aeronautics and Aerospace Administration (NASA) (80NSSC19K0723, 80NSSC18M0024, 80NSSC20K0350); National Science Foundation (1917337) and National Natural Science Foundation of China (61675187). We thank Dr. Xiaogang Xing, Dr. Slawomir B. Wo.zniak and an anonymous reviewer for their constructive comments, which have greatly improved the manuscript.</t>
  </si>
  <si>
    <t>10.1016/j.dsr.2020.103306</t>
  </si>
  <si>
    <t>WOS:000551473200004</t>
  </si>
  <si>
    <t>Pinkerton, MH; Décima, M; Kitchener, JA; Takahashi, KT; Robinson, KV; Stewart, R; Hosie, GW</t>
  </si>
  <si>
    <t>Pinkerton, Matthew H.; Decima, Moira; Kitchener, John A.; Takahashi, Kunio T.; Robinson, Karen, V; Stewart, Robert; Hosie, Graham W.</t>
  </si>
  <si>
    <t>Zooplankton in the Southern Ocean from the continuous plankton recorder: Distributions and long-term change</t>
  </si>
  <si>
    <t>Biogeography; Boosted regression trees; Bioregionalisation; Climate change; Marine ecosystems; Environmental suitability</t>
  </si>
  <si>
    <t>DIEL VERTICAL MIGRATION; NORTH-ATLANTIC; SPECIES DISTRIBUTIONS; ADAPTIVE SIGNIFICANCE; SEASONAL SUCCESSION; THYSANOESSA-MACRURA; CALANOID COPEPODS; REGRESSION TREES; OITHONA-SIMILIS; INDIAN SECTOR</t>
  </si>
  <si>
    <t>We provide an analysis of zooplankton distributions in the circumpolar Southern Ocean based on samples collected by the international SCAR Southern Ocean Continuous Plankton Recorder Survey (SO-CPR). We analysed SO-CPR measurements in relation to satellite and oceanographic model hind-cast data over the period 1997-2018. These environmental data were chlorophyll-a concentration, net primary productivity (VGPM model), sea-surface temperature (SST), mixed layer depth, sea ice and the spatial gradient of SST (as an indicator of ocean fronts). Boosted Regression Tree (BRT) models were used to extrapolate in space and time measurements of the abundances of six key taxonomic groups of zooplankton: Copepoda (Calanoida), Euphausiidae (numerically dominated in SO-CPR data by Thysanoessa macrura), Foraminifera, Fritillaria spp., Oithona similis, and pteropods. Based on the BRT models, we present predictions of the spatial and seasonal (October-March) environmental suitability for these groups in the Southern Ocean. Trend analysis suggests that between 1997 and 2018 the environmental suitability for copepods (both cyclopoid and calanoid), Foraminifera, and Fritillaria spp. has increased by 0.72% per year average, and at higher rates in frontal regions especially in the Indian sector of the Southern Ocean. In contrast, for pteropods in some areas (particularly over the Ross Sea shelf) the environmental suitability has significantly worsened over the last 20 years.</t>
  </si>
  <si>
    <t>[Pinkerton, Matthew H.; Decima, Moira; Stewart, Robert] Natl Inst Water &amp; Atmospher Res Ltd NIWA, Wellington 14901, New Zealand; [Kitchener, John A.] Australian Antarctic Div, Hobart, Tas, Australia; [Takahashi, Kunio T.] Natl Inst Polar Res, 10-3 Midori Cho, Tachikawa, Tokyo 1908518, Japan; [Robinson, Karen, V] NIWA, Christchurch, New Zealand; [Hosie, Graham W.] CPR Survey Marine Biol Assoc, Plymouth, Devon, England</t>
  </si>
  <si>
    <t>National Institute of Water &amp; Atmospheric Research (NIWA) - New Zealand; Australian Antarctic Division; Research Organization of Information &amp; Systems (ROIS); National Institute of Polar Research (NIPR) - Japan; National Institute of Water &amp; Atmospheric Research (NIWA) - New Zealand</t>
  </si>
  <si>
    <t>Pinkerton, MH (corresponding author), Natl Inst Water &amp; Atmospher Res Ltd NIWA, Wellington 14901, New Zealand.</t>
  </si>
  <si>
    <t>m.pinkerton@niwa.co.nz</t>
  </si>
  <si>
    <t>Kitchener, John/0000-0003-4642-3044</t>
  </si>
  <si>
    <t>NIWA Strategic Science Investment Fund (SSIF) Coasts and Oceans [4]; MBIE Endeavour Fund programme Ross-RAMP [C01X1710]; Ministry for Primary Industries project [ZBD 2013-03]; international SO-CPR project; Marine Biological Association CPR Survey; New Zealand Ministry of Business, Innovation &amp; Employment (MBIE) [C01X1710] Funding Source: New Zealand Ministry of Business, Innovation &amp; Employment (MBIE)</t>
  </si>
  <si>
    <t>NIWA Strategic Science Investment Fund (SSIF) Coasts and Oceans; MBIE Endeavour Fund programme Ross-RAMP(New Zealand Ministry of Business, Innovation and Employment (MBIE)); Ministry for Primary Industries project; international SO-CPR project; Marine Biological Association CPR Survey; New Zealand Ministry of Business, Innovation &amp; Employment (MBIE)(New Zealand Ministry of Business, Innovation and Employment (MBIE))</t>
  </si>
  <si>
    <t>This work was funded by NIWA Strategic Science Investment Fund (SSIF) Coasts and Oceans, Programme 4, MBIE Endeavour Fund programme Ross-RAMP (C01X1710), Ministry for Primary Industries project ZBD 2013-03, and the international SO-CPR project. We acknowledge the scientists, managers, funders, officers and crew of all vessels and laboratories engaged in CPR data collection and analysis, and the Marine Biological Association CPR Survey (formerly SAHFOS, Plymouth, UK) for supporting the CPR projects worldwide. We thank two anonymous reviewers for comments that helped inprove this work.</t>
  </si>
  <si>
    <t>10.1016/j.dsr.2020.103303</t>
  </si>
  <si>
    <t>WOS:000551473200002</t>
  </si>
  <si>
    <t>La Mesa, M; Donato, F; Riginella, E; Papetti, C; Parker, E; Near, TJ</t>
  </si>
  <si>
    <t>La Mesa, Mario; Donato, Fortunata; Riginella, Emilio; Papetti, Chiara; Parker, Elyse; Near, Thomas J.</t>
  </si>
  <si>
    <t>Reproductive traits and age of barbeled plunderfishes from the Weddell Sea</t>
  </si>
  <si>
    <t>Artedidraconidae; life history; Southern Ocean</t>
  </si>
  <si>
    <t>ARTEDIDRACONIDAE PISCES; PARENTAL CARE</t>
  </si>
  <si>
    <t>The genus Pogonophryne is the most species-rich genus of barbeled plunderfishes (Artedidraconidae) and includes more than 25 poorly known species endemic to the Southern Ocean. In this study, we provide new data on the age and reproductive traits of some species of Pogonophryne from the southern Weddell Sea, inferred through otolith reading and histological analyses of gonads. Individual age estimates ranged between 16 and 18 years for Pogonophryne barsukovi and Pogonophryne immaculata and between 10 and 22 years for Pogonophryne scotti. As is commonly found in notothenioids, P. barsukovi followed a group-synchronous type of ovarian development, with pre-vitellogenic and vitellogenic oocytes forming two well-separated egg-size groups. A single spawning female in the sample produced similar to 1097 eggs and 7.9 eggs g(-1). The sample of P. immaculata consisted exclusively of developing males, with testes composed of cysts of spermatogonia, spermatocytes and spermatids. Pogonophryne scotti was the most abundant species, including relatively small males at immature or developing stages of gonad development. Larger females were regressing, being characterized by ovaries with postovulatory follicles and atretic oocytes. Based on the macroscopic and histological analyses of gonads, the spawning season would take place in autumn for P. barsukovi and P. immaculata and in spring-early summer for P. scotti.</t>
  </si>
  <si>
    <t>[La Mesa, Mario] CNR, Area Ric Bologna, Inst Polar Sci ISP, Via P Gobetti 101, I-40129 Bologna, Italy; [Donato, Fortunata] CNR, Inst Biol Resources &amp; Marine Biotechnol IRBIM, I-60125 Ancona, Italy; [Riginella, Emilio] Zool Stn Anton Dohrn, I-80121 Naples, Italy; [Papetti, Chiara] Univ Padua, Dept Biol, Via G Colombo 3, I-35121 Padua, Italy; [Papetti, Chiara] Consorzio Nazl Interuniv Sci Mare CoNISMa, I-00196 Rome, Italy; [Parker, Elyse; Near, Thomas J.] Yale Univ, Dept Ecol &amp; Evolutionary Biol, POB 208106, New Haven, CT 06520 USA; [Parker, Elyse; Near, Thomas J.] Yale Univ, Peabody Museum Nat Hist, POB 208106, New Haven, CT 06520 USA</t>
  </si>
  <si>
    <t>Consiglio Nazionale delle Ricerche (CNR); Istituto di Scienze Polari (ISP-CNR); Consiglio Nazionale delle Ricerche (CNR); Istituto per le Risorse Biologiche Biotecnologie Marine (IRBIM-CNR); Stazione Zoologica Anton Dohrn di Napoli; University of Padua; CoNISMa; Yale University; Yale University</t>
  </si>
  <si>
    <t>La Mesa, M (corresponding author), CNR, Area Ric Bologna, Inst Polar Sci ISP, Via P Gobetti 101, I-40129 Bologna, Italy.</t>
  </si>
  <si>
    <t>Near, Thomas J./K-1204-2012; Riginella, Emilio/Q-2987-2019</t>
  </si>
  <si>
    <t>Near, Thomas J./0000-0002-7398-6670; Riginella, Emilio/0000-0002-1442-8310; Donato, Fortunata/0009-0000-4836-8216; Papetti, Chiara/0000-0002-4567-459X</t>
  </si>
  <si>
    <t>University of Padua [BIRD164793/16, SEED2019]; European Marie Curie project 'Polarexpress' Grant [622320]; Italian National Antarctic Research Program (PNRA); [2013/C1.07]</t>
  </si>
  <si>
    <t>University of Padua; European Marie Curie project 'Polarexpress' Grant(European Union (EU)Marie Curie Actions); Italian National Antarctic Research Program (PNRA)(Ministry of Education, Universities and Research (MIUR));</t>
  </si>
  <si>
    <t>CP acknowledges financial support from the University of Padua (BIRD164793/16, SEED2019) and from the European Marie Curie project 'Polarexpress' Grant No. 622320. This study was conducted within the project 2013/C1.07, and MLM acknowledges financial support of the Italian National Antarctic Research Program (PNRA).</t>
  </si>
  <si>
    <t>PII S0954102020000140</t>
  </si>
  <si>
    <t>10.1017/S0954102020000140</t>
  </si>
  <si>
    <t>MN3YY</t>
  </si>
  <si>
    <t>WOS:000550781300001</t>
  </si>
  <si>
    <t>Barbraud, C; Chaigne, A; Loubon, M; Lamy, O; Le Bouard, F</t>
  </si>
  <si>
    <t>Barbraud, Christophe; Chaigne, Adrien; Loubon, Maxime; Lamy, Olivier; Le Bouard, Fabrice</t>
  </si>
  <si>
    <t>An estimate of the South Georgia diving petrelPelecanoides georgicuspopulation at Ile de la Possession, Crozet archipelago</t>
  </si>
  <si>
    <t>acoustic playback; burrowing petrel; detection probability; distance sampling; Procellariiformes</t>
  </si>
  <si>
    <t>WHITE-CHINNED PETRELS; BREEDING BIOLOGY; SEABIRDS; RATS</t>
  </si>
  <si>
    <t>Burrow-nesting seabirds constitute an important part of seabird diversity, yet accurate estimates of their abundance are largely lacking, limiting our understanding of their population dynamics and conservation status. We conducted a survey to estimate the number of South Georgia diving petrel (Pelecanoides georgicus) burrows during the 2013-14 breeding season on Ile de la Possession, Crozet archipelago, southern Indian Ocean. We used distance sampling and acoustic playback in order to estimate burrow densities ina priori-selected favourable nesting areas. A total of 855 burrows were detected. The mean altitude of burrows was 601.8 +/- 69.4 m. The mean burrow detection distance was 1.77 +/- 1.63 m. The burrow density was estimated at 15.649 burrows ha(-1)(95% confidence interval (CI): 10.245-23.903) and the slope-corrected total favourable area was 2365.53 ha, which yielded an estimate 37 018 burrows (95% CI: 24 235-56 544). The playback response rate was 15.8 +/- 1.3%, and 40.8 +/- 1.7% of burrows were occupied or showed signs of occupation. Occupancy rates were low compared to those measured by systematic burrow inspection in other studies. Assuming that laying occurred in 80-93% of the estimated number of burrows, as estimated by previous studies, gives an estimate of 29 614 (95% CI: 19 388-45 235) to 34 426 (95% CI: 22 538-52 585) breeding pairs.</t>
  </si>
  <si>
    <t>[Barbraud, Christophe] Ctr Etud Biol Chize, CNRS UMR 7372, F-79360 Villiers En Bois, France; [Chaigne, Adrien; Loubon, Maxime; Lamy, Olivier; Le Bouard, Fabrice] Reserve Nat Natl Terres Australes Francaises, TAAF, Rue Gabriel Dejean, F-97458 St Pierre, France</t>
  </si>
  <si>
    <t>Barbraud, C (corresponding author), Ctr Etud Biol Chize, CNRS UMR 7372, F-79360 Villiers En Bois, France.</t>
  </si>
  <si>
    <t>Terres Australes et Antarctiques Francaises; Institut Polaire Francais Paul Emile Victor (IPEV program) [109]</t>
  </si>
  <si>
    <t>Terres Australes et Antarctiques Francaises; Institut Polaire Francais Paul Emile Victor (IPEV program)</t>
  </si>
  <si>
    <t>The project was supported by Terres Australes et Antarctiques Francaises (Cedric Marteau, RNN TAF) and the Institut Polaire Francais Paul Emile Victor (IPEV program no. 109, PI Henri Weimerskirch).</t>
  </si>
  <si>
    <t>PII S095410202000019X</t>
  </si>
  <si>
    <t>10.1017/S095410202000019X</t>
  </si>
  <si>
    <t>WOS:000550781300002</t>
  </si>
  <si>
    <t>Salvatore, MR; Borges, SR; Barrett, JE; Sokol, ER; Stanish, LF; Power, SN; Morin, P</t>
  </si>
  <si>
    <t>Salvatore, Mark R.; Borges, Schuyler R.; Barrett, John E.; Sokol, Eric R.; Stanish, Lee F.; Power, Sarah N.; Morin, Paul</t>
  </si>
  <si>
    <t>Remote characterization of photosynthetic communities in the Fryxell basin of Taylor Valley, Antarctica</t>
  </si>
  <si>
    <t>ecology; hydrology; McMurdo Dry Valleys; microbiology; remote sensing; spectroscopy</t>
  </si>
  <si>
    <t>MCMURDO DRY VALLEYS; VICTORIA LAND; MICROBIAL MATS; STREAMS; ICE; DIVERSITY</t>
  </si>
  <si>
    <t>We investigate the spatial distribution, spectral properties and temporal variability of primary producers (e.g. communities of microbial mats and mosses) throughout the Fryxell basin of Taylor Valley, Antarctica, using high-resolution multispectral remote-sensing data. Our results suggest that photosynthetic communities can be readily detected throughout the Fryxell basin based on their unique near-infrared spectral signatures. Observed intra- and inter-annual variability in spectral signatures are consistent with short-term variations in mat distribution, hydration and photosynthetic activity. Spectral unmixing is also implemented in order to estimate mat abundance, with the most densely vegetated regions observed from orbit correlating spatially with some of the most productive regions of the Fryxell basin. Our work establishes remote sensing as a valuable tool in the study of these ecological communities in the McMurdo Dry Valleys and demonstrates how future scientific investigations and the management of specially protected areas could benefit from these tools and techniques.</t>
  </si>
  <si>
    <t>[Salvatore, Mark R.; Borges, Schuyler R.] No Arizona Univ, Dept Astron &amp; Planetary Sci, NAU Box 6010, Flagstaff, AZ 86011 USA; [Barrett, John E.; Power, Sarah N.] Virginia Tech, Dept Biol Sci, 2125 Derring Hall,Mail Code 0406, Blacksburg, VA 24061 USA; [Sokol, Eric R.; Stanish, Lee F.] Battelle Mem Inst, Natl Ecol Observ Network, 1685 38th St,Suite 100, Boulder, CO 80301 USA; [Morin, Paul] Univ Minnesota Twin Cities, Polar Geospatial Ctr, 1954 Buford Ave, St Paul, MN 55108 USA</t>
  </si>
  <si>
    <t>Northern Arizona University; Virginia Polytechnic Institute &amp; State University; University of Minnesota System; University of Minnesota Twin Cities</t>
  </si>
  <si>
    <t>Salvatore, MR (corresponding author), No Arizona Univ, Dept Astron &amp; Planetary Sci, NAU Box 6010, Flagstaff, AZ 86011 USA.</t>
  </si>
  <si>
    <t>mark.salvatore@nau.edu</t>
  </si>
  <si>
    <t>Sokol, Eric R/D-3956-2011; Sokol, Eric R./HZL-4014-2023; Barrett, John E/D-5851-2016</t>
  </si>
  <si>
    <t>Sokol, Eric R./0000-0001-5923-0917; Power, Sarah/0000-0002-4863-290X; Borges, Schuyler/0000-0002-4565-6463</t>
  </si>
  <si>
    <t>US National Science Foundation OPP [1758224, 1745053]; Directorate For Geosciences; Office of Polar Programs (OPP) [1745053] Funding Source: National Science Foundation; Office of Polar Programs (OPP); Directorate For Geosciences [1758224] Funding Source: National Science Foundation</t>
  </si>
  <si>
    <t>US National Science Foundation OPP(National Science Foundation (NSF)); Directorate For Geosciences; Office of Polar Programs (OPP)(National Science Foundation (NSF)NSF - Directorate for Geosciences (GEO)); Office of Polar Programs (OPP); Directorate For Geosciences(National Science Foundation (NSF)NSF - Directorate for Geosciences (GEO))</t>
  </si>
  <si>
    <t>This work was funded by US National Science Foundation OPP awards 1758224 (Antarctic Earth Science) and 1745053 (Antarctic Organisms &amp; Ecosystems) to M. Salvatore.</t>
  </si>
  <si>
    <t>PII S0954102020000176</t>
  </si>
  <si>
    <t>10.1017/S0954102020000176</t>
  </si>
  <si>
    <t>WOS:000550781300003</t>
  </si>
  <si>
    <t>Melzer, RR; Lehmann, T; Mayr, C</t>
  </si>
  <si>
    <t>Melzer, Roland R.; Lehmann, Tobias; Mayr, Christoph</t>
  </si>
  <si>
    <t>Dickdellia on Colossendeis: testing ectoparasitism with stable isotopes</t>
  </si>
  <si>
    <t>LABIOFLECTA DELL</t>
  </si>
  <si>
    <t>[Melzer, Roland R.; Lehmann, Tobias] Zool Staatssammlung Munchen, Munchhausenstr 21, D-81247 Munich, Germany; [Melzer, Roland R.] Ludwig Maximilians Univ Munchen, Dept Biol 2, Grosshaderner Str 2, D-82152 Munich, Germany; [Melzer, Roland R.; Mayr, Christoph] LMU, GeoBioCtr, Richard Wagner Str 10, D-80333 Munich, Germany; [Mayr, Christoph] Friedrich Alexander Univ Erlangen Nurnberg, Inst Geog, Wetterkreuz 15, D-91058 Erlangen, Germany; [Mayr, Christoph] Ludwig Maximilians Univ Munchen, Dept Earth &amp; Environm Sci, Richard Wagner Str 10, D-80333 Munich, Germany</t>
  </si>
  <si>
    <t>University of Munich; University of Munich; University of Erlangen Nuremberg; University of Munich</t>
  </si>
  <si>
    <t>Melzer, RR (corresponding author), Zool Staatssammlung Munchen, Munchhausenstr 21, D-81247 Munich, Germany.;Melzer, RR (corresponding author), Ludwig Maximilians Univ Munchen, Dept Biol 2, Grosshaderner Str 2, D-82152 Munich, Germany.;Melzer, RR (corresponding author), LMU, GeoBioCtr, Richard Wagner Str 10, D-80333 Munich, Germany.</t>
  </si>
  <si>
    <t>melzer@snsb.de</t>
  </si>
  <si>
    <t>Mayr, Christoph/0000-0001-9002-9963</t>
  </si>
  <si>
    <t>PII S0954102020000127</t>
  </si>
  <si>
    <t>10.1017/S0954102020000127</t>
  </si>
  <si>
    <t>WOS:000550781300004</t>
  </si>
  <si>
    <t>Winsor, K; Swanger, KM; Babcock, EL; Dickson, JL; Valletta, RD; Schmidt, DF</t>
  </si>
  <si>
    <t>Winsor, Kelsey; Swanger, Kate M.; Babcock, Esther L.; Dickson, James L.; Valletta, Rachel D.; Schmidt, Daniel F.</t>
  </si>
  <si>
    <t>Origin, structure and geochemistry of a rock glacier near Don Juan Pond, Wright Valley, Antarctica</t>
  </si>
  <si>
    <t>ground-penetrating radar; major ion geochemistry; McMurdo Dry Valleys; permafrost; water tracks; X-ray diffraction</t>
  </si>
  <si>
    <t>MCMURDO DRY VALLEYS; SALTS; WATER; AREA; SOIL; ICE</t>
  </si>
  <si>
    <t>The South Fork of Wright Valley contains one of the largest rock glaciers in the McMurdo Dry Valleys, Antarctica, stretching 7 km from the eastern boundary of the Labyrinth and terminating at Don Juan Pond (DJP). Here, we use results from ground-penetrating radar (GPR), qualitative field observations, soil leaching analyses and X-ray diffraction analyses to investigate rock glacier development. The absence of significant clean ice in GPR data, paired with observations of talus and interstitial ice influx from the valley walls, support rock glacier formation via talus accumulation. A quartz-dominated subsurface composition and discontinuous, well-developed desert pavements suggest initial rock glacier formation occurred before the late Quaternary. Major ion data from soil leaching analyses show higher salt concentrations in the rock glacier and talus samples that are close to hypersaline DJP. These observations suggest that DJP acts as a local salt source to the rock glacier, as well as the surrounding talus slopes that host water track systems that deliver solutes back into the lake, suggesting a local feedback system. Finally, the lack of lacustrine sedimentation on the rock glacier is inconsistent with the advance of a glacially dammed lake into South Fork during the Last Glacial Maximum.</t>
  </si>
  <si>
    <t>[Winsor, Kelsey] No Arizona Univ, Sch Earth &amp; Sustainabil, Flagstaff, AZ 86005 USA; [Swanger, Kate M.] Univ Massachusetts, Dept Environm Earth &amp; Atmospher Sci, Lowell, MA 01854 USA; [Babcock, Esther L.] Log Geophys &amp; Analyt LLC, Anchorage, AK 99508 USA; [Dickson, James L.] CALTECH, Div Geol &amp; Planetary Sci, Pasadena, CA 91125 USA; [Valletta, Rachel D.] Franklin Inst, Philadelphia, PA 19103 USA; [Schmidt, Daniel F.] Univ Massachusetts, Dept Plast Engn, Lowell, MA 01854 USA</t>
  </si>
  <si>
    <t>Northern Arizona University; University of Massachusetts System; University of Massachusetts Lowell; California Institute of Technology; The Franklin Institute; University of Massachusetts System; University of Massachusetts Lowell</t>
  </si>
  <si>
    <t>Swanger, KM (corresponding author), Univ Massachusetts, Dept Environm Earth &amp; Atmospher Sci, Lowell, MA 01854 USA.</t>
  </si>
  <si>
    <t>kate_swanger@uml.edu</t>
  </si>
  <si>
    <t>Schmidt, Daniel F./F-5476-2011</t>
  </si>
  <si>
    <t>Schmidt, Daniel F./0000-0003-2511-1906</t>
  </si>
  <si>
    <t>[1341284]</t>
  </si>
  <si>
    <t>We acknowledge the following funding source for support of this research: United StatesNational Science Foundation Office of Polar Programs grant 1341284 to K.M. Swanger.</t>
  </si>
  <si>
    <t>PII S0954102020000139</t>
  </si>
  <si>
    <t>10.1017/S0954102020000139</t>
  </si>
  <si>
    <t>WOS:000550781300005</t>
  </si>
  <si>
    <t>Donda, F; Leitchenkov, G; Brancolini, G; Romeo, R; De Santis, L; Escutia, C; O'Brien, P; Armand, L; Caburlotto, A; Cotterle, D</t>
  </si>
  <si>
    <t>Donda, Federica; Leitchenkov, German; Brancolini, Giuliano; Romeo, Roberto; De Santis, Laura; Escutia, Carlota; O'Brien, Philip; Armand, Leanne; Caburlotto, Andrea; Cotterle, Diego</t>
  </si>
  <si>
    <t>The influence of Totten Glacier on the Late Cenozoic sedimentary record</t>
  </si>
  <si>
    <t>East Antarctica; multichannel seismic; seismostratigraphy</t>
  </si>
  <si>
    <t>ANTARCTIC ICE-SHEET; WILKES LAND MARGIN; CONTINENTAL-MARGIN; SEA-LEVEL; GLACIATION; OCEAN; PLIOCENE; BED</t>
  </si>
  <si>
    <t>Analysis of multichannel seismic profiles collected on the continental rise off the Sabrina Coast, East Antarctica, has allowed the determination of the acoustic features that are indicative of major evolution steps of the East Antarctic Ice Sheet (EAIS) and highlights the role of meltwater that originated from Totten Glacier in shaping the margin architecture. The arrival of marine-terminating glaciers into the coastal region was recorded by an enhanced sediment input on the continental rise and the nucleation of channel-levees. Downslope sedimentary processes were dominant throughout the Late Cenozoic, testifying to the progressive growth of a highly dynamic, temperate ice sheet on the continent. The last evolutionary step marks the transition to when a full polar glacial regime occurred. The development of a prograding wedge with steeply dipping foresets on the continental shelf and slope exemplifies sedimentation at this time. Other sub-sea-floor observations indicate that downslope fluxes, triggered by glacial meltwater, were still able to deeply erode and deliver sediments to the rise area. This study's findings have led to the identification of expanded and well-preserved sedimentary successions, which we suggest should be considered as priority targets for future International Ocean Discovery Program deep drilling due to the sensitivity of the ice sheet in this area.</t>
  </si>
  <si>
    <t>[Donda, Federica; Brancolini, Giuliano; Romeo, Roberto; De Santis, Laura; Caburlotto, Andrea; Cotterle, Diego] Ist Nazl Oceanog &amp; Geofis Sperimentale OGS, Borgo Grotta Gigante 42-c, I-34010 Trieste, Italy; [Leitchenkov, German] All Russia Sci Res Inst Geol &amp; Mineral Resources, St Petersburg, Russia; [Leitchenkov, German] St Petersburg State Univ, Inst Earth Sci, St Petersburg, Russia; [Escutia, Carlota] Univ Granada, Inst Andaluz Ciencias Tierra, CSIC, Avda Palmeras 4, Armilla 18100, Granada, Spain; [O'Brien, Philip] Macquarie Univ, Sydney, NSW, Australia; [Armand, Leanne] Australian Natl Univ, Acton, ACT, Australia</t>
  </si>
  <si>
    <t>Istituto Nazionale di Oceanografia e di Geofisica Sperimentale; Saint Petersburg State University; University of Granada; Consejo Superior de Investigaciones Cientificas (CSIC); CSIC - Instituto Andaluz de Ciencias de la Tierra (IACT); Macquarie University; Australian National University</t>
  </si>
  <si>
    <t>Donda, F (corresponding author), Ist Nazl Oceanog &amp; Geofis Sperimentale OGS, Borgo Grotta Gigante 42-c, I-34010 Trieste, Italy.</t>
  </si>
  <si>
    <t>fdonda@inogs.it</t>
  </si>
  <si>
    <t>Armand, Leanne K/C-9004-2009; Escutia, Carlota/B-8614-2015</t>
  </si>
  <si>
    <t>De Santis, Laura/0000-0002-7752-7754; Donda, Federica/0000-0002-1284-5866; Leitchenkov, German/0000-0001-6316-8511; O'Brien, Philip/0000-0003-3446-3292; Brancolini, Giuliano/0000-0001-5838-4105; Escutia, Carlota/0000-0002-4932-8619; ROMEO, Roberto/0000-0001-5867-8998; Armand, Leanne/0000-0003-3995-308X; caburlotto, andrea/0000-0001-7259-6884</t>
  </si>
  <si>
    <t>Italian Programma Nazionale di Ricerche in Antartide (PNRA) under the TYTAN Project; Australian Government through Australian Antarctic Science grant AAS [4333]; Australian Research Council grant [DP170100557]; Russian Science Foundation grant [16-17-10139]; Russian Science Foundation [19-17-13016, 16-17-10139] Funding Source: Russian Science Foundation</t>
  </si>
  <si>
    <t>Italian Programma Nazionale di Ricerche in Antartide (PNRA) under the TYTAN Project; Australian Government through Australian Antarctic Science grant AAS; Australian Research Council grant(Australian Research Council); Russian Science Foundation grant(Russian Science Foundation (RSF)); Russian Science Foundation(Russian Science Foundation (RSF))</t>
  </si>
  <si>
    <t>This study is funded by Italian Programma Nazionale di Ricerche in Antartide (PNRA) under the TYTAN Project. The Marine National Facility Survey IN2017-V01 survey was supported by the Australian Government through Australian Antarctic Science grant AAS#4333 and Australian Research Council grant DP170100557. G. Leitchenkov acknowledges the Russian Science Foundation grant 16-17-10139.</t>
  </si>
  <si>
    <t>PII S0954102020000188</t>
  </si>
  <si>
    <t>10.1017/S0954102020000188</t>
  </si>
  <si>
    <t>WOS:000550781300006</t>
  </si>
  <si>
    <t>Dowdeswell, JA; Batchelor, CL; Dorschel, B; Benham, TJ; Christie, FDW; Dowdeswell, EK; Montelli, A; Arndt, JE; Gebhardt, C</t>
  </si>
  <si>
    <t>Dowdeswell, Julian A.; Batchelor, Christine L.; Dorschel, Boris; Benham, Toby J.; Christie, Frazer D. W.; Dowdeswell, Evelyn K.; Montelli, Aleksandr; Arndt, Jan Erik; Gebhardt, Catalina</t>
  </si>
  <si>
    <t>Sea-floor and sea-ice conditions in the western Weddell Sea, Antarctica, around the wreck of Sir Ernest Shackleton'sEndurance</t>
  </si>
  <si>
    <t>acoustic stratigraphy; continental shelf; continental slope; icebergs; sea-floor landforms</t>
  </si>
  <si>
    <t>TROUGH-MOUTH FAN; BELLINGSHAUSEN SEA; PENINSULA; MARGIN; LANDFORMS; ICEBERGS; HISTORY; BAY</t>
  </si>
  <si>
    <t>Marine-geophysical evidence on sea-floor morphology and shallow acoustic stratigraphy are used to examine the substrate around the location at which Sir Ernest Shackleton's shipEndurancesank in 1915 and on the continental slope-shelf sedimentary system above this site in the western Weddell Sea. Few signs of turbidity-current and mass-wasting activity are found near or upslope of the wreck site, and any such activity was probably linked to full-glacial higher-energy conditions when ice last advanced across the continental shelf. The wreck is well below the maximum depth of iceberg keels and will not have been damaged by ice-keel ploughing. The wreck has probably been draped by only a few centimetres of fine-grained sediment since it sank in 1915. Severe modern sea-ice conditions hamper access to the wreck site. Accessing and investigating the wreck ofEndurancein the Weddell Sea therefore represents a significant challenge. An ice-breaking research vessel is required, and even this would not guarantee that the site could be reached. Heavy sea-ice cover at the wreck site, similar to that encountered byAgulhus IIduring the Weddell Sea Expedition 2019, would also make the launch and recovery of autonomous underwater vehicles and remotely operated vehicles deployed to investigate theEndurancewreck problematic.</t>
  </si>
  <si>
    <t>[Dowdeswell, Julian A.; Batchelor, Christine L.; Benham, Toby J.; Christie, Frazer D. W.; Dowdeswell, Evelyn K.; Montelli, Aleksandr] Univ Cambridge, Scott Polar Res Inst, Cambridge CB2 1ER, England; [Batchelor, Christine L.] Norwegian Univ Sci &amp; Technol NTNU, NO-7491 Trondheim, Norway; [Dorschel, Boris; Arndt, Jan Erik; Gebhardt, Catalina] Helmholtz Ctr Polar &amp; Marine Res, Alfred Wegener Inst, Bremerhaven, Germany</t>
  </si>
  <si>
    <t>University of Cambridge; Norwegian University of Science &amp; Technology (NTNU); Helmholtz Association; Alfred Wegener Institute, Helmholtz Centre for Polar &amp; Marine Research</t>
  </si>
  <si>
    <t>Dowdeswell, JA (corresponding author), Univ Cambridge, Scott Polar Res Inst, Cambridge CB2 1ER, England.</t>
  </si>
  <si>
    <t>jd16@cam.ac.uk</t>
  </si>
  <si>
    <t>Batchelor, Christine/JCN-7543-2023; Gebhardt, Catalina/AHI-6432-2022; Christie, Frazer/AAI-2435-2021</t>
  </si>
  <si>
    <t>Gebhardt, Catalina/0000-0002-3227-0676; Christie, Frazer/0000-0002-7378-4243; Dowdeswell, Julian/0000-0003-1369-9482; Arndt, Jan Erik/0000-0002-9413-1612</t>
  </si>
  <si>
    <t>Flotilla Foundation; Marine Archaeology Consultants Switzerland; Norwegian Vista Programme; German Aerospace Center (DLR) [OCE3624]</t>
  </si>
  <si>
    <t>Flotilla Foundation; Marine Archaeology Consultants Switzerland; Norwegian Vista Programme; German Aerospace Center (DLR)(Helmholtz AssociationGerman Aerospace Centre (DLR))</t>
  </si>
  <si>
    <t>Funding from the Flotilla Foundation and Marine Archaeology Consultants Switzerland to JAD supported the Scott Polar Research Institute's work on this paper. CLB was funded by a grant from the Norwegian Vista Programme. TerraSAR-X data were acquired by the German Aerospace Center (DLR) under grant OCE3624.</t>
  </si>
  <si>
    <t>PII S0954102020000103</t>
  </si>
  <si>
    <t>10.1017/S0954102020000103</t>
  </si>
  <si>
    <t>WOS:000550781300007</t>
  </si>
  <si>
    <t>Liu, T; Li, JP; Wang, QY; Zhao, S</t>
  </si>
  <si>
    <t>Liu, Ting; Li, Jianping; Wang, Qiuyun; Zhao, Sen</t>
  </si>
  <si>
    <t>Influence of the Autumn SST in the Southern Pacific Ocean on Winter Precipitation in the North American Monsoon Region</t>
  </si>
  <si>
    <t>SPOD; winter precipitation; North American monsoon region; coupled oceanic-atmospheric bridge</t>
  </si>
  <si>
    <t>HEMISPHERE ANNULAR MODE; SPRING ANTARCTIC OSCILLATION; INTERHEMISPHERIC INFLUENCE; SUMMER PRECIPITATION; IMPACT; TELECONNECTION; PROPAGATION; CIRCULATION; MJO</t>
  </si>
  <si>
    <t>Previous investigations have reported that the impacts of the preceding climate signal in the Southern Hemisphere can extend to Northern Hemisphere middle latitudes during the following season. This study suggests that the positive (negative) boreal autumn south Pacific Ocean dipole (SPOD) sea surface temperature anomalies are usually followed by reduced (increased) precipitation in the following winter over the North American monsoon (NAM) region. The positive autumn SPOD has the potential to regulate the southward fluctuation of the eddy-driven westerly jet in the southern Pacific Ocean, and exert the Rossby wave train stretching across the Pacific Ocean to transport the related energy into the NAM region. This finally results in anomalous high pressure in the troposphere over the NAM region. The related sinking motion and the water vapor conditions further affect the precipitation variability in these regions. This entire process can be referred to as a coupled oceanic-atmospheric bridge, in which the oceanic bridge is the SPOD and the atmospheric bridge is the response of atmospheric circulation in the Pacific Ocean.</t>
  </si>
  <si>
    <t>[Liu, Ting] Minist Nat Resources, State Key Lab Satellite Ocean Environm Dynam, Inst Oceanog 2, Hangzhou 310012, Peoples R China; [Liu, Ting] Southern Marine Sci &amp; Engn Guangdong Lab Zhuhai, Zhuhai 519000, Peoples R China; [Li, Jianping] Ocean Univ China, Frontiers Sci Ctr Deep Ocean Multispheres &amp; Earth, Key Lab Phys Oceanog, Inst Adv Ocean Studies, Qingdao 266100, Peoples R China; [Li, Jianping] Pilot Qingdao Natl Lab Marine Sci &amp; Technol, Lab Ocean Dynam &amp; Climate, Qingdao 266237, Peoples R China; [Wang, Qiuyun] Nanjing Univ, Sch Atmospher Sci, Nanjing 210023, Peoples R China; [Zhao, Sen] Nanjing Univ Informat Sci &amp; Technol, Minist Educ, Key Lab Meteorol Disaster, CIC FEMD ILCEC, Nanjing 210044, Peoples R China; [Zhao, Sen] Nanjing Univ Informat Sci &amp; Technol, Coll Atmospher Sci, Nanjing 210044, Peoples R China; [Zhao, Sen] Univ Hawaii Manoa, Dept Atmospher Sci, Honolulu, HI 96822 USA</t>
  </si>
  <si>
    <t>Ministry of Natural Resources of the People's Republic of China; Southern Marine Science &amp; Engineering Guangdong Laboratory; Southern Marine Science &amp; Engineering Guangdong Laboratory (Zhuhai); Ocean University of China; Laoshan Laboratory; Nanjing University; Nanjing University of Information Science &amp; Technology; Nanjing University of Information Science &amp; Technology; University of Hawaii System; University of Hawaii Manoa</t>
  </si>
  <si>
    <t>Li, JP (corresponding author), Ocean Univ China, Frontiers Sci Ctr Deep Ocean Multispheres &amp; Earth, Key Lab Phys Oceanog, Inst Adv Ocean Studies, Qingdao 266100, Peoples R China.;Li, JP (corresponding author), Pilot Qingdao Natl Lab Marine Sci &amp; Technol, Lab Ocean Dynam &amp; Climate, Qingdao 266237, Peoples R China.</t>
  </si>
  <si>
    <t>liut@sio.org.cn; ljp@ouc.edu.cn; 201531490005@mail.bnu.edu.cn; zhaos@hawaii.edu</t>
  </si>
  <si>
    <t>Zhao, Sen/S-3113-2016; Li, Jianping/I-2661-2012</t>
  </si>
  <si>
    <t>Zhao, Sen/0000-0002-5597-1109; Li, Jianping/0000-0003-0625-1575</t>
  </si>
  <si>
    <t>National Natural Science Foundation of China [41705049, 41690124, 41790474, 41530424, 41690120]; National Key R&amp;D Program of China [2016YFA0601801]; SOA International Cooperation Program on Global Change and Air-Sea Interactions [GASI-IPOVAI-03]; Fundamental Research Funds for the Central Universities [201962009]; Shandong Natural Science Foundation Project [ZR2019ZD12]</t>
  </si>
  <si>
    <t>National Natural Science Foundation of China(National Natural Science Foundation of China (NSFC)); National Key R&amp;D Program of China; SOA International Cooperation Program on Global Change and Air-Sea Interactions; Fundamental Research Funds for the Central Universities(Fundamental Research Funds for the Central Universities); Shandong Natural Science Foundation Project</t>
  </si>
  <si>
    <t>This research was jointly funded by the National Natural Science Foundation of China, 41705049, 41690124, 41790474, 41530424, and 41690120, the National Key R&amp;D Program of China, 2016YFA0601801, the SOA International Cooperation Program on Global Change and Air-Sea Interactions, GASI-IPOVAI-03, the Fundamental Research Funds for the Central Universities, 201962009 and the Shandong Natural Science Foundation Project, ZR2019ZD12.</t>
  </si>
  <si>
    <t>10.3390/atmos11080844</t>
  </si>
  <si>
    <t>NI9TA</t>
  </si>
  <si>
    <t>WOS:000565687100001</t>
  </si>
  <si>
    <t>Abrahamsen, EP; Barreira, S; Bitz, CM; Butler, A; Clem, KR; Colwell, S; Coy, L; de Laat, J; du Plessis, MD; Fogt, RL; Fricker, HA; Fyfe, J; Gardner, AS; Gille, ST; Gorte, T; Gregor, L; Hobbs, W; Johnson, B; Keenan, E; Keller, LM; Kramarova, NA; Lazzara, MA; Lenaerts, JTM; Lieser, JL; Liu, HX; Long, CS; Maclennan, M; Massom, RA; Massonnet, F; Mazloff, MR; Mikolajczyk, D; Narayanan, A; Nash, ER; Newman, PA; Petropavlovskikh, I; Pitts, M; Queste, BY; Reid, P; Roquet, F; Santee, ML; Scambos, TA; Stammerjohn, S; Strahan, S; Swart, S; Wang, L</t>
  </si>
  <si>
    <t>Abrahamsen, E. Povl; Barreira, Sandra; Bitz, Cecilia M.; Butler, Amy; Clem, Kyle R.; Colwell, Steve; Coy, Lawrence; de Laat, Jos; du Plessis, Marcel D.; Fogt, Ryan L.; Fricker, Helen Amanda; Fyfe, John; Gardner, Alex S.; Gille, Sarah T.; Gorte, Tessa; Gregor, L.; Hobbs, Will; Johnson, Bryan; Keenan, Eric; Keller, Linda M.; Kramarova, Natalya A.; Lazzara, Matthew A.; Lenaerts, Jan T. M.; Lieser, Jan L.; Liu, Hongxing; Long, Craig S.; Maclennan, Michelle; Massom, Robert A.; Massonnet, Francois; Mazloff, Matthew R.; Mikolajczyk, David; Narayanan, A.; Nash, Eric R.; Newman, Paul A.; Petropavlovskikh, Irina; Pitts, Michael; Queste, Bastien Y.; Reid, Phillip; Roquet, F.; Santee, Michelle L.; Scambos, Ted A.; Stammerjohn, Sharon; Strahan, Susan; Swart, Sebastiann; Wang, Lei</t>
  </si>
  <si>
    <t>ANTARCTICA AND THE SOUTHERN OCEAN</t>
  </si>
  <si>
    <t>SURFACE MASS-BALANCE; ICE SHELVES; IN-SITU; TRENDS; CLIMATOLOGY; VARIABILITY; DURATION; SNOWFALL; GLACIER; FLUXES</t>
  </si>
  <si>
    <t>[Abrahamsen, E. Povl] British Antarctic Survey, Polar Oceans Grp, Cambridge, England; [Barreira, Sandra] Argentine Naval Hydrog Serv, Buenos Aires, DF, Argentina; [Bitz, Cecilia M.] Univ Washington, Dept Atmospher Sci, Seattle, WA 98195 USA; [Butler, Amy] NOAA, ESRL Chem Sci Div, Boulder, CO USA; [Clem, Kyle R.] Victoria Univ Wellington, Sch Geog Environm &amp; Earth Sci, Wellington, New Zealand; [Colwell, Steve] British Antarctic Survey, Cambridge, England; [Coy, Lawrence; Nash, Eric R.] NASA, Goddard Space Flight Ctr, Sci Syst &amp; Applicat Inc, Greenbelt, MD USA; [de Laat, Jos] Royal Netherlands Meteorol Inst KNMI, De Bilt, Netherlands; [du Plessis, Marcel D.; Queste, Bastien Y.; Roquet, F.; Swart, Sebastiann] Univ Gothenburg, Dept Marine Sci, Gothenburg, Sweden; [du Plessis, Marcel D.] CSIR, Southern Ocean Carbon &amp; Climate Observ, Cape Town, South Africa; [Fogt, Ryan L.] Ohio Univ, Dept Geog, Athens, OH USA; [Fricker, Helen Amanda; Mazloff, Matthew R.] Univ Calif San Diego, Scripps Inst Oceanog, San Diego, CA USA; [Fyfe, John] Univ Victoria, Canadian Ctr Climate Modelling &amp; Anal, Victoria, BC, Canada; [Gardner, Alex S.] CALTECH, Jet Prop Lab, Pasadena, CA USA; [Gille, Sarah T.] Univ Calif San Diego, Scripps Inst Oceanog, La Jolla, CA 92093 USA; [Gorte, Tessa; Keenan, Eric; Lenaerts, Jan T. M.; Maclennan, Michelle] Univ Colorado Boulder, Dept Atmospher &amp; Ocean Sci, Boulder, CO USA; [Gregor, L.] ETH, Zurich, Switzerland; [Hobbs, Will] Univ Tasmania, Australian Antarctic Program Partnership, Hobart, Tas, Australia; [Hobbs, Will] Univ Tasmania, ARC Ctr Excellence Climate Extremes CLEX, Hobart, Tas, Australia; [Johnson, Bryan] NOAA, OAR Earth Syst Res Lab, Global Monitoring Div, Boulder, CO USA; [Johnson, Bryan] Univ Colorado, Boulder, CO USA; [Keller, Linda M.] Univ Wisconsin Madison, Dept Atmospher &amp; Ocean Sci, Madison, WI USA; [Kramarova, Natalya A.; Newman, Paul A.] NASA, Goddard Space Flight Ctr, Greenbelt, MD USA; [Mazloff, Matthew R.] Univ Wisconsin Madison, Sch Arts &amp; Sci, Dept Phys Sci, Madison Area Tech Coll, Madison, WI USA; [Mazloff, Matthew R.; Mikolajczyk, David] Univ Wisconsin Madison, Space Sci &amp; Engn Ctr, Madison, WI USA; [Lieser, Jan L.] Bur Meteorol, Hobart, Tas, Australia; [Lieser, Jan L.] Univ Tasmania, Inst Marine &amp; Antarctic Studies, Hobart, Tas, Australia; [Liu, Hongxing] Univ Cincinnati, Dept Geog, Cincinnati, OH USA; [Long, Craig S.] NOAA, NWS Natl Ctr Environm Predict, College Pk, MD USA; [Massom, Robert A.] Australian Antarctic Div, Hobart, Tas, Australia; [Massom, Robert A.; Reid, Phillip] Australian Antarctic Program Partnership, Hobart, Tas, Australia; [Massonnet, Francois] Catholic Univ Louvain, Earth &amp; Life Inst, Ctr Rech Terre &amp; Climat Georges Lemaitre TECLIM, Louvain La Neuve, Belgium; [Narayanan, A.] Indian Inst Technol, Madras, Tamil Nadu, India; [Petropavlovskikh, Irina] Univ Colorado Boulder, Cooperat Inst Res Environm Sci, Boulder, CO USA; [Petropavlovskikh, Irina] NOAA, OAR Earth Syst Res Lab, Boulder, CO USA; [Pitts, Michael] NASA, Langley Res Ctr, Hampton, VA 23665 USA; [Reid, Phillip] Australian Bur Meteorol, Hobart, Tas, Australia; [Santee, Michelle L.] CALTECH, Jet Prop Lab, NASA, Pasadena, CA USA; [Scambos, Ted A.] Univ Colorado, Earth Sci &amp; Observat Ctr, CIRES, Boulder, CO 80309 USA; [Stammerjohn, Sharon] Univ Colorado, Inst Arctic &amp; Alpine Res, Boulder, CO USA; [Strahan, Susan] Univ Space Res Assoc, NASA, Goddard Space Flight Ctr, Greenbelt, MD USA; [Swart, Sebastiann] Univ Cape Town, Dept Oceanog, Rondebosch, South Africa; [Wang, Lei] Louisiana State Univ, Dept Geog &amp; Anthropol, Baton Rouge, LA USA</t>
  </si>
  <si>
    <t>UK Research &amp; Innovation (UKRI); Natural Environment Research Council (NERC); NERC British Antarctic Survey; University of Washington; University of Washington Seattle; National Oceanic Atmospheric Admin (NOAA) - USA; Victoria University Wellington; UK Research &amp; Innovation (UKRI); Natural Environment Research Council (NERC); NERC British Antarctic Survey; National Aeronautics &amp; Space Administration (NASA); NASA Goddard Space Flight Center; Science Systems and Applications Inc; Royal Netherlands Meteorological Institute; University of Gothenburg; Council for Scientific &amp; Industrial Research (CSIR) - South Africa; University System of Ohio; Ohio University; University of California System; University of California San Diego; Scripps Institution of Oceanography; University of Victoria; Environment &amp; Climate Change Canada; Canadian Centre for Climate Modelling &amp; Analysis (CCCma); National Aeronautics &amp; Space Administration (NASA); NASA Jet Propulsion Laboratory (JPL); California Institute of Technology; University of California System; University of California San Diego; Scripps Institution of Oceanography; University of Colorado System; University of Colorado Boulder; Swiss Federal Institutes of Technology Domain; ETH Zurich; University of Tasmania; University of Tasmania; National Oceanic Atmospheric Admin (NOAA) - USA; University of Colorado System; University of Colorado Boulder; University of Wisconsin System; University of Wisconsin Madison; National Aeronautics &amp; Space Administration (NASA); NASA Goddard Space Flight Center; University of Wisconsin System; University of Wisconsin Madison; University of Wisconsin System; University of Wisconsin Madison; Bureau of Meteorology - Australia; University of Tasmania; University System of Ohio; University of Cincinnati; National Oceanic Atmospheric Admin (NOAA) - USA; Australian Antarctic Division; Universite Catholique Louvain; Indian Institute of Technology System (IIT System); Indian Institute of Technology (IIT) - Madras; University of Colorado System; University of Colorado Boulder; National Oceanic Atmospheric Admin (NOAA) - USA; National Aeronautics &amp; Space Administration (NASA); NASA Langley Research Center; Bureau of Meteorology - Australia; California Institute of Technology; National Aeronautics &amp; Space Administration (NASA); NASA Jet Propulsion Laboratory (JPL); University of Colorado System; University of Colorado Boulder; University of Colorado System; University of Colorado Boulder; Universities Space Research Association (USRA); National Aeronautics &amp; Space Administration (NASA); NASA Goddard Space Flight Center; University of Cape Town; Louisiana State University System; Louisiana State University</t>
  </si>
  <si>
    <t>Scambos, TA (corresponding author), Univ Colorado, Earth Sci &amp; Observat Ctr, CIRES, Boulder, CO 80309 USA.</t>
  </si>
  <si>
    <t>tascambos@colorado.edu</t>
  </si>
  <si>
    <t>Clem, Kyle/AAG-6626-2021; Gregor, Luke/AAY-5082-2021; Abrahamsen, Povl/B-2140-2008; Santee, MIchelle/R-5762-2019; Newman, Paul A/D-6208-2012; Fogt, Ryan L/B-6989-2008</t>
  </si>
  <si>
    <t>Clem, Kyle/0000-0002-1419-2758; Gregor, Luke/0000-0001-6071-1857; Abrahamsen, Povl/0000-0001-5924-5350; Fogt, Ryan L/0000-0002-5398-3990</t>
  </si>
  <si>
    <t>NASA [17 -MEASURES -0075]; NSF [1440435, 0944763]; Australian Government's Australian Antarctic Partnership Program [4116]; Australian Antarctic Division; Argentine Hydrographic Service Naval Meteorological Service; NASA Cryospheric Sciences Program [NNX15AC80G]; NERC [NE/N018095/1]; Office of Polar Programs [1543305, 1924730, VVAF 2015.0186]; Svvedish Research Council [VR 2019-04400]; South African National Research Foundation [SANAP -SNA14071475720]; NASA-GSFC; Directorate For Geosciences; Office of Polar Programs (OPP) [1924730, 1543305] Funding Source: National Science Foundation; Directorate For Geosciences; Office of Polar Programs (OPP) [0944763] Funding Source: National Science Foundation</t>
  </si>
  <si>
    <t>NASA(National Aeronautics &amp; Space Administration (NASA)); NSF(National Science Foundation (NSF)); Australian Government's Australian Antarctic Partnership Program; Australian Antarctic Division; Argentine Hydrographic Service Naval Meteorological Service; NASA Cryospheric Sciences Program(National Aeronautics &amp; Space Administration (NASA)); NERC(UK Research &amp; Innovation (UKRI)Natural Environment Research Council (NERC)); Office of Polar Programs(National Science Foundation (NSF)NSF - Directorate for Geosciences (GEO)); Svvedish Research Council; South African National Research Foundation(National Research Foundation - South Africa); NASA-GSFC(National Aeronautics &amp; Space Administration (NASA)); Directorate For Geosciences; Office of Polar Programs (OPP)(National Science Foundation (NSF)NSF - Directorate for Geosciences (GEO)); Directorate For Geosciences; Office of Polar Programs (OPP)(National Science Foundation (NSF)NSF - Directorate for Geosciences (GEO))</t>
  </si>
  <si>
    <t>Ted Scambos was supported under NASA grant 17 -MEASURES -0075, ITS_LIVE and NSF ANT 0944763, the Antarctic Glaciological Data Center. Sharon Stammerjohn vvas supported under NSF PLR 1440435; she also thanks the Institute of Arctic and Alpine Research and the National Snow and Ice Data Center, both at the University of Colorado Boulder, for institutional and data support. The work of Phil Reid and Rob Massom was supported by the Australian Government's Australian Antarctic Partnership Program, and contributes to AAS Project 4116. Phil Reid and Jan Lieser were also supported through the Australian Bureau of Meteorology, and Rob Massom by the Australian Antarctic Division. Sandra Barreira was supported by the Argentine Hydrographic Service Naval Meteorological Service. Helen Amanda Fricker was supported by the NASA Cryospheric Sciences Program in support of the ICESat-2 mission under avvards NNX15AC80G. Alex Gardner vvas supported by funding from the NASA Cryosphere and MEaSUReS programs. Povl Abrahamsen was supported by NERC grant NE/N018095/1. Support for Linda Keller, David Mikolajczyk, and Matt Lazzara is courtesy of the National Science Foundation, Office of Polar Programs, Grants #1543305 and #1924730. The marine mammal data were collected and made freely available by the International MEOP Consortium and the national programs that contribute to it (http://www.meop.net).VVe acknowledge in particular major contributions in the Southern Ocean in 2019 from IMOS (Integrated Marine Observing System, Australia) and from 5O MEMO (Observing System -Mammals as samplers of the Ocean Environment, France). Seb Swart was supported by a VVallenberg Academy Fellovvship (VVAF 2015.0186) and by the Svvedish Research Council (VR 2019-04400). Swart and Marcel du Plessis are supported by the South African National Research Foundation (SANAP -SNA14071475720). NCEP Reanalysis 2 data provided by the NOAA/OAR/ESRL PSD, Boulder, Colorado, USA, from their website uthttpc8wvvw.esr[nnuo.gov/pxd/The authors of Sidebar 6.3 appreciate the contributions to all the forecast exercises, particularly those presented here from Nico Sun, NASA -G MAO (Richard Cullather, Anna Borovikov, Eric Hackert, Robin Kovach, Zhao Li, Jelena Marshak, Andrea Molod, Steven Pawson, Yury Vikhliaev, Bin Zhao), FIO-ESM (Fangli Qiao, Zhenya Song, Xunqiang Yin, Yajuan Song), NASA-GSFC (Alek Petty), Met Office (Ed Blockley, GloSea5 Seasonal Forecast team), Sandra Barreira and Alvaro Scardilli, as vvell as UC Louvain (Sylvain March', Francois Massonnet).</t>
  </si>
  <si>
    <t>S292</t>
  </si>
  <si>
    <t>S320</t>
  </si>
  <si>
    <t>OR8NC</t>
  </si>
  <si>
    <t>WOS:000589723000023</t>
  </si>
  <si>
    <t>Arndt, DS; Blunden, J; Dunn, RJH</t>
  </si>
  <si>
    <t>Arndt, D. S.; Blunden, J.; Dunn, R. J. H.</t>
  </si>
  <si>
    <t>INTRODUCTION</t>
  </si>
  <si>
    <t>In 2019, the dominant greenhouse gases released into Earth's atmosphere continued to increase. The annual global average carbon dioxide concentration at Earth's surface was 409.8 +/- 0.1 ppm, an increase of 2.5 +/- 0.1 ppm over 2018, and the highest in the modern instrumental record and in ice core records dating back 800 000 years. Combined, greenhouse gases and several halogenated gases contributed 3.14 W m(-2) to radiative forcing, representing a 45% increase since 1990. Carbon dioxide is responsible for about 65% of this radiative forcing. The annual net global uptake of similar to 2.4 billion metric tons of carbon dioxide by oceans was the highest in the record dating to 1982 and 33% higher than the 1997-2017 average. A weak El Nino at the beginning of 2019 transitioned to ENSO-neutral conditions by mid-year. Even so, the annual global surface temperature across land and oceans was still among the three highest in records dating to the mid-to late 1800s. July 2019 was Earth's hottest month on record. Well over a dozen countries across Africa, Europe, Asia, Australia, and the Caribbean reported record high annual temperatures. In North America, Alaska experienced its warmest year on record, while the high northern latitudes that encompass the Arctic were second warmest, behind only 2016. Stations in several countries, including Vietnam, the Netherlands, Belgium, Luxembourg, France, and the United Kingdom, set new all-time daily high temperature records for their nations. Australia set a new nationally averaged daily maximum temperature record of 41.9 degrees C on 18 December, breaking the previous record set in 2013 by 1.6 degrees C. Daily temperatures surpassed 40 degrees C for the first time in Belgium and the Netherlands. Lake temperatures increased on average across the globe in 2019; observed lakes in the Northern Hemisphere were covered in ice seven days fewer than the 1981-2010 average, according to phenological indicators. Over land, the growing season was an average of eight days longer than the 2000-10 average in the NH. Above Earth's surface, the annual lower troposphere temperature was third highest to record high, and the lower stratosphere temperature was third lowest to record low, depending on the dataset analyzed. Middle- and upper-stratospheric temperatures were lowest on record since satellite records began in 1979. In September, Antarctica experienced a dramatic upper-atmosphere warming event that led to the smallest ozone hole since the early 1980s. Below-average Antarctic sea ice extent persisted throughout 2019, continuing a trend that began in September 2016. Net sea ice extent was below the 1981-2010 average for all days of the year, and January and June each set a new low monthly mean sea ice extent record. The Antarctic ice sheet continued to lose mass, with the highest rates of loss occurring in West Antarctica and Wilkes Land, East Antarctica. Across the cryosphere, alpine glaciers continued to lose mass for the 32nd consecutive year. Permafrost temperatures in the European Alps were slightly below the record temperatures measured in 2015, while record high permafrost temperatures were observed at a majority of the observation sites across the high northern latitudes. For the first time in the observational record at 26 sites in interior Alaska and the Seward Peninsula, the active layer did not freeze completely, a result of long-term permafrost warming and back-to-back relatively mild and snowy winters. In March, when Arctic sea ice reached its annual maximum extent, thin, first-year ice comprised similar to 77% of all ice, compared to about 55% in the 1980s. In September, the minimum sea ice extent tied for the second smallest extent in the 41-year satellite record. In the Bering Sea, increasing ocean temperatures and reduced sea ice-which was the lowest on record there for the second consecutive winter-are leading to shifts in fish distributions within some of the most valuable fisheries in the world. Larger and more abundant boreal species, as opposed to smaller and less abundant Arctic species, dominated a large portion of the Arctic shelf in 2018 and 2019. During the 2019 melt season, the extent and magnitude of ice loss over the Greenland ice sheet rivaled 2012, the previous year of record ice loss. Melting of glaciers and ice sheets, along with warming oceans, account for the trend in rising global mean sea level. In 2019, global mean sea level set a new record for the eighth consecutive year, reaching 87.6 mm above the 1993 average when satellite measurements began, with an annual average increase of 6.1 mm from 2018. Ocean heat content measured to 700 m depth was record high, and the globally averaged sea surface temperature was the second highest on record, surpassed only by the record El Nino year of 2016. In October, the Indian Ocean dipole exhibited its greatest magnitude since 1997, associated with dramatic upper ocean warming in the western Indian Ocean basin. While ENSO conditions during 2019 appeared to have limited impacts, many climate events were influenced by the strong positive IOD, which contributed to a large rainfall deficit from the eastern Indian Ocean to the South Pacific Ocean east of Australia. Record heat and dryness in Australia intensified drought conditions already in place following below-average rainfall in 2017 and 2018, leading to severe impacts during late austral spring and summer, including catastrophic wildfires. Smoke from these wildfires, along with the volcanic eruptions of Raikoke (Russia) and Ulawun (Papua New Guinea), helped load the stratosphere with aerosol levels unprecedented since the post-Mt. Pinatubo era of the early 1990s. Indonesia also suffered severe drought and extreme wildfires toward the end of 2019; no rainfall was observed in the East Sumba District of the East Nusa Tenggara Province for 263 days. Conversely, the positive IOD also contributed to excess rainfall over the Horn of Africa from August through December, resulting in widespread flooding across East Africa. Elsewhere, India experienced one of its heaviest summer monsoon rains since 1995 despite a delayed and suppressed monsoon during June. In the United States, rapid snowmelt in the spring, as well as heavy and frequent precipitation in the first half of the year, contributed to extensive flooding in the Midwest throughout spring and summer, notably the Mississippi and Missouri basins. Dry conditions persisted over large parts of western South Africa, in some locations having continued for approximately seven years. Antecedent dry conditions and extreme summer heat waves pushed most of Europe into extreme drought. Due in part to precipitation deficits during December 2018 to January 2019-the peak of the rainy season-wildfires scorched vast areas of the southern Amazonian forests in Bolivia, Brazil, and Peru, as well as in northern Paraguay, later in 2019. Millions of trees and animals perished, with some local extinctions reported. In Siberia, fire activity during the summer was both strong and farther north than usual. This led to a new record of 27 teragrams (10(12) g) of carbon emitted from fires in the Arctic, which was more than twice as high than in any preceding year. Closer to the equator, 96 named tropical storms were observed during the Northern and Southern Hemisphere storm seasons, well above the 1981-2010 average of 82. Five tropical cyclones reached Saffir-Simpson scale Category 5 intensity. In the North Atlantic basin, Hurricane Dorian caused unprecedented and tremendous devastation, with over 70 fatalities and damages totaling $3.4 billion (U.S. dollars) in The Bahamas. Tropical Cyclones Idai and Kenneth severely impacted southeastern Africa in March and April, respectively. Idai resulted in total damages of at least $2.2 billion (U.S. dollars), the costliest storm on record for the South Indian Ocean basin, as well as the deadliest with over 1200 fatalities across Mozambique, Zimbabwe, Malawi, and Madagascar.</t>
  </si>
  <si>
    <t>Arndt, Derek S/J-3022-2013</t>
  </si>
  <si>
    <t>Arndt, Derek S/0000-0001-7698-6740</t>
  </si>
  <si>
    <t>S4</t>
  </si>
  <si>
    <t>WOS:000589723000018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</si>
</sst>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74</v>
      </c>
      <c r="U2" t="s">
        <v>80</v>
      </c>
      <c r="V2" t="s">
        <v>81</v>
      </c>
      <c r="W2" t="s">
        <v>82</v>
      </c>
      <c r="X2" t="s">
        <v>83</v>
      </c>
      <c r="Y2" t="s">
        <v>84</v>
      </c>
      <c r="Z2" t="s">
        <v>85</v>
      </c>
      <c r="AA2" t="s">
        <v>86</v>
      </c>
      <c r="AB2" t="s">
        <v>87</v>
      </c>
      <c r="AC2" t="s">
        <v>88</v>
      </c>
      <c r="AD2" t="s">
        <v>89</v>
      </c>
      <c r="AE2" t="s">
        <v>90</v>
      </c>
      <c r="AF2" t="s">
        <v>74</v>
      </c>
      <c r="AG2">
        <v>120</v>
      </c>
      <c r="AH2">
        <v>100</v>
      </c>
      <c r="AI2">
        <v>103</v>
      </c>
      <c r="AJ2">
        <v>3</v>
      </c>
      <c r="AK2">
        <v>24</v>
      </c>
      <c r="AL2" t="s">
        <v>91</v>
      </c>
      <c r="AM2" t="s">
        <v>92</v>
      </c>
      <c r="AN2" t="s">
        <v>93</v>
      </c>
      <c r="AO2" t="s">
        <v>94</v>
      </c>
      <c r="AP2" t="s">
        <v>95</v>
      </c>
      <c r="AQ2" t="s">
        <v>74</v>
      </c>
      <c r="AR2" t="s">
        <v>77</v>
      </c>
      <c r="AS2" t="s">
        <v>96</v>
      </c>
      <c r="AT2" t="s">
        <v>97</v>
      </c>
      <c r="AU2">
        <v>2020</v>
      </c>
      <c r="AV2">
        <v>14</v>
      </c>
      <c r="AW2">
        <v>11</v>
      </c>
      <c r="AX2" t="s">
        <v>74</v>
      </c>
      <c r="AY2" t="s">
        <v>74</v>
      </c>
      <c r="AZ2" t="s">
        <v>74</v>
      </c>
      <c r="BA2" t="s">
        <v>74</v>
      </c>
      <c r="BB2">
        <v>3935</v>
      </c>
      <c r="BC2">
        <v>3958</v>
      </c>
      <c r="BD2" t="s">
        <v>74</v>
      </c>
      <c r="BE2" t="s">
        <v>98</v>
      </c>
      <c r="BF2" t="str">
        <f>HYPERLINK("http://dx.doi.org/10.5194/tc-14-3935-2020","http://dx.doi.org/10.5194/tc-14-3935-2020")</f>
        <v>http://dx.doi.org/10.5194/tc-14-3935-2020</v>
      </c>
      <c r="BG2" t="s">
        <v>74</v>
      </c>
      <c r="BH2" t="s">
        <v>74</v>
      </c>
      <c r="BI2">
        <v>24</v>
      </c>
      <c r="BJ2" t="s">
        <v>99</v>
      </c>
      <c r="BK2" t="s">
        <v>100</v>
      </c>
      <c r="BL2" t="s">
        <v>101</v>
      </c>
      <c r="BM2" t="s">
        <v>102</v>
      </c>
      <c r="BN2" t="s">
        <v>74</v>
      </c>
      <c r="BO2" t="s">
        <v>103</v>
      </c>
      <c r="BP2" t="s">
        <v>74</v>
      </c>
      <c r="BQ2" t="s">
        <v>74</v>
      </c>
      <c r="BR2" t="s">
        <v>104</v>
      </c>
      <c r="BS2" t="s">
        <v>105</v>
      </c>
      <c r="BT2" t="str">
        <f>HYPERLINK("https%3A%2F%2Fwww.webofscience.com%2Fwos%2Fwoscc%2Ffull-record%2FWOS:000592254800003","View Full Record in Web of Science")</f>
        <v>View Full Record in Web of Science</v>
      </c>
    </row>
    <row r="3" spans="1:72" x14ac:dyDescent="0.15">
      <c r="A3" t="s">
        <v>72</v>
      </c>
      <c r="B3" t="s">
        <v>106</v>
      </c>
      <c r="C3" t="s">
        <v>74</v>
      </c>
      <c r="D3" t="s">
        <v>74</v>
      </c>
      <c r="E3" t="s">
        <v>74</v>
      </c>
      <c r="F3" t="s">
        <v>107</v>
      </c>
      <c r="G3" t="s">
        <v>74</v>
      </c>
      <c r="H3" t="s">
        <v>74</v>
      </c>
      <c r="I3" t="s">
        <v>108</v>
      </c>
      <c r="J3" t="s">
        <v>109</v>
      </c>
      <c r="K3" t="s">
        <v>74</v>
      </c>
      <c r="L3" t="s">
        <v>74</v>
      </c>
      <c r="M3" t="s">
        <v>78</v>
      </c>
      <c r="N3" t="s">
        <v>79</v>
      </c>
      <c r="O3" t="s">
        <v>74</v>
      </c>
      <c r="P3" t="s">
        <v>74</v>
      </c>
      <c r="Q3" t="s">
        <v>74</v>
      </c>
      <c r="R3" t="s">
        <v>74</v>
      </c>
      <c r="S3" t="s">
        <v>74</v>
      </c>
      <c r="T3" t="s">
        <v>110</v>
      </c>
      <c r="U3" t="s">
        <v>111</v>
      </c>
      <c r="V3" t="s">
        <v>112</v>
      </c>
      <c r="W3" t="s">
        <v>113</v>
      </c>
      <c r="X3" t="s">
        <v>114</v>
      </c>
      <c r="Y3" t="s">
        <v>115</v>
      </c>
      <c r="Z3" t="s">
        <v>116</v>
      </c>
      <c r="AA3" t="s">
        <v>117</v>
      </c>
      <c r="AB3" t="s">
        <v>118</v>
      </c>
      <c r="AC3" t="s">
        <v>119</v>
      </c>
      <c r="AD3" t="s">
        <v>120</v>
      </c>
      <c r="AE3" t="s">
        <v>121</v>
      </c>
      <c r="AF3" t="s">
        <v>74</v>
      </c>
      <c r="AG3">
        <v>58</v>
      </c>
      <c r="AH3">
        <v>12</v>
      </c>
      <c r="AI3">
        <v>13</v>
      </c>
      <c r="AJ3">
        <v>6</v>
      </c>
      <c r="AK3">
        <v>29</v>
      </c>
      <c r="AL3" t="s">
        <v>122</v>
      </c>
      <c r="AM3" t="s">
        <v>123</v>
      </c>
      <c r="AN3" t="s">
        <v>124</v>
      </c>
      <c r="AO3" t="s">
        <v>125</v>
      </c>
      <c r="AP3" t="s">
        <v>126</v>
      </c>
      <c r="AQ3" t="s">
        <v>74</v>
      </c>
      <c r="AR3" t="s">
        <v>127</v>
      </c>
      <c r="AS3" t="s">
        <v>128</v>
      </c>
      <c r="AT3" t="s">
        <v>97</v>
      </c>
      <c r="AU3">
        <v>2020</v>
      </c>
      <c r="AV3">
        <v>287</v>
      </c>
      <c r="AW3">
        <v>1938</v>
      </c>
      <c r="AX3" t="s">
        <v>74</v>
      </c>
      <c r="AY3" t="s">
        <v>74</v>
      </c>
      <c r="AZ3" t="s">
        <v>74</v>
      </c>
      <c r="BA3" t="s">
        <v>74</v>
      </c>
      <c r="BB3" t="s">
        <v>74</v>
      </c>
      <c r="BC3" t="s">
        <v>74</v>
      </c>
      <c r="BD3">
        <v>20201341</v>
      </c>
      <c r="BE3" t="s">
        <v>129</v>
      </c>
      <c r="BF3" t="str">
        <f>HYPERLINK("http://dx.doi.org/10.1098/rspb.2020.1341","http://dx.doi.org/10.1098/rspb.2020.1341")</f>
        <v>http://dx.doi.org/10.1098/rspb.2020.1341</v>
      </c>
      <c r="BG3" t="s">
        <v>74</v>
      </c>
      <c r="BH3" t="s">
        <v>74</v>
      </c>
      <c r="BI3">
        <v>9</v>
      </c>
      <c r="BJ3" t="s">
        <v>130</v>
      </c>
      <c r="BK3" t="s">
        <v>100</v>
      </c>
      <c r="BL3" t="s">
        <v>131</v>
      </c>
      <c r="BM3" t="s">
        <v>132</v>
      </c>
      <c r="BN3">
        <v>33143585</v>
      </c>
      <c r="BO3" t="s">
        <v>133</v>
      </c>
      <c r="BP3" t="s">
        <v>74</v>
      </c>
      <c r="BQ3" t="s">
        <v>74</v>
      </c>
      <c r="BR3" t="s">
        <v>104</v>
      </c>
      <c r="BS3" t="s">
        <v>134</v>
      </c>
      <c r="BT3" t="str">
        <f>HYPERLINK("https%3A%2F%2Fwww.webofscience.com%2Fwos%2Fwoscc%2Ffull-record%2FWOS:000589671900001","View Full Record in Web of Science")</f>
        <v>View Full Record in Web of Science</v>
      </c>
    </row>
    <row r="4" spans="1:72" x14ac:dyDescent="0.15">
      <c r="A4" t="s">
        <v>72</v>
      </c>
      <c r="B4" t="s">
        <v>135</v>
      </c>
      <c r="C4" t="s">
        <v>74</v>
      </c>
      <c r="D4" t="s">
        <v>74</v>
      </c>
      <c r="E4" t="s">
        <v>74</v>
      </c>
      <c r="F4" t="s">
        <v>136</v>
      </c>
      <c r="G4" t="s">
        <v>74</v>
      </c>
      <c r="H4" t="s">
        <v>74</v>
      </c>
      <c r="I4" t="s">
        <v>137</v>
      </c>
      <c r="J4" t="s">
        <v>77</v>
      </c>
      <c r="K4" t="s">
        <v>74</v>
      </c>
      <c r="L4" t="s">
        <v>74</v>
      </c>
      <c r="M4" t="s">
        <v>78</v>
      </c>
      <c r="N4" t="s">
        <v>138</v>
      </c>
      <c r="O4" t="s">
        <v>74</v>
      </c>
      <c r="P4" t="s">
        <v>74</v>
      </c>
      <c r="Q4" t="s">
        <v>74</v>
      </c>
      <c r="R4" t="s">
        <v>74</v>
      </c>
      <c r="S4" t="s">
        <v>74</v>
      </c>
      <c r="T4" t="s">
        <v>74</v>
      </c>
      <c r="U4" t="s">
        <v>139</v>
      </c>
      <c r="V4" t="s">
        <v>140</v>
      </c>
      <c r="W4" t="s">
        <v>141</v>
      </c>
      <c r="X4" t="s">
        <v>142</v>
      </c>
      <c r="Y4" t="s">
        <v>143</v>
      </c>
      <c r="Z4" t="s">
        <v>144</v>
      </c>
      <c r="AA4" t="s">
        <v>74</v>
      </c>
      <c r="AB4" t="s">
        <v>145</v>
      </c>
      <c r="AC4" t="s">
        <v>146</v>
      </c>
      <c r="AD4" t="s">
        <v>147</v>
      </c>
      <c r="AE4" t="s">
        <v>148</v>
      </c>
      <c r="AF4" t="s">
        <v>74</v>
      </c>
      <c r="AG4">
        <v>211</v>
      </c>
      <c r="AH4">
        <v>36</v>
      </c>
      <c r="AI4">
        <v>38</v>
      </c>
      <c r="AJ4">
        <v>5</v>
      </c>
      <c r="AK4">
        <v>11</v>
      </c>
      <c r="AL4" t="s">
        <v>91</v>
      </c>
      <c r="AM4" t="s">
        <v>92</v>
      </c>
      <c r="AN4" t="s">
        <v>93</v>
      </c>
      <c r="AO4" t="s">
        <v>94</v>
      </c>
      <c r="AP4" t="s">
        <v>95</v>
      </c>
      <c r="AQ4" t="s">
        <v>74</v>
      </c>
      <c r="AR4" t="s">
        <v>77</v>
      </c>
      <c r="AS4" t="s">
        <v>96</v>
      </c>
      <c r="AT4" t="s">
        <v>149</v>
      </c>
      <c r="AU4">
        <v>2020</v>
      </c>
      <c r="AV4">
        <v>14</v>
      </c>
      <c r="AW4">
        <v>11</v>
      </c>
      <c r="AX4" t="s">
        <v>74</v>
      </c>
      <c r="AY4" t="s">
        <v>74</v>
      </c>
      <c r="AZ4" t="s">
        <v>74</v>
      </c>
      <c r="BA4" t="s">
        <v>74</v>
      </c>
      <c r="BB4">
        <v>3843</v>
      </c>
      <c r="BC4">
        <v>3873</v>
      </c>
      <c r="BD4" t="s">
        <v>74</v>
      </c>
      <c r="BE4" t="s">
        <v>150</v>
      </c>
      <c r="BF4" t="str">
        <f>HYPERLINK("http://dx.doi.org/10.5194/tc-14-3843-2020","http://dx.doi.org/10.5194/tc-14-3843-2020")</f>
        <v>http://dx.doi.org/10.5194/tc-14-3843-2020</v>
      </c>
      <c r="BG4" t="s">
        <v>74</v>
      </c>
      <c r="BH4" t="s">
        <v>74</v>
      </c>
      <c r="BI4">
        <v>31</v>
      </c>
      <c r="BJ4" t="s">
        <v>99</v>
      </c>
      <c r="BK4" t="s">
        <v>100</v>
      </c>
      <c r="BL4" t="s">
        <v>101</v>
      </c>
      <c r="BM4" t="s">
        <v>151</v>
      </c>
      <c r="BN4" t="s">
        <v>74</v>
      </c>
      <c r="BO4" t="s">
        <v>152</v>
      </c>
      <c r="BP4" t="s">
        <v>74</v>
      </c>
      <c r="BQ4" t="s">
        <v>74</v>
      </c>
      <c r="BR4" t="s">
        <v>104</v>
      </c>
      <c r="BS4" t="s">
        <v>153</v>
      </c>
      <c r="BT4" t="str">
        <f>HYPERLINK("https%3A%2F%2Fwww.webofscience.com%2Fwos%2Fwoscc%2Ffull-record%2FWOS:000590409800001","View Full Record in Web of Science")</f>
        <v>View Full Record in Web of Science</v>
      </c>
    </row>
    <row r="5" spans="1:72" x14ac:dyDescent="0.15">
      <c r="A5" t="s">
        <v>72</v>
      </c>
      <c r="B5" t="s">
        <v>154</v>
      </c>
      <c r="C5" t="s">
        <v>74</v>
      </c>
      <c r="D5" t="s">
        <v>74</v>
      </c>
      <c r="E5" t="s">
        <v>74</v>
      </c>
      <c r="F5" t="s">
        <v>155</v>
      </c>
      <c r="G5" t="s">
        <v>74</v>
      </c>
      <c r="H5" t="s">
        <v>74</v>
      </c>
      <c r="I5" t="s">
        <v>156</v>
      </c>
      <c r="J5" t="s">
        <v>157</v>
      </c>
      <c r="K5" t="s">
        <v>74</v>
      </c>
      <c r="L5" t="s">
        <v>74</v>
      </c>
      <c r="M5" t="s">
        <v>78</v>
      </c>
      <c r="N5" t="s">
        <v>79</v>
      </c>
      <c r="O5" t="s">
        <v>74</v>
      </c>
      <c r="P5" t="s">
        <v>74</v>
      </c>
      <c r="Q5" t="s">
        <v>74</v>
      </c>
      <c r="R5" t="s">
        <v>74</v>
      </c>
      <c r="S5" t="s">
        <v>74</v>
      </c>
      <c r="T5" t="s">
        <v>158</v>
      </c>
      <c r="U5" t="s">
        <v>159</v>
      </c>
      <c r="V5" t="s">
        <v>160</v>
      </c>
      <c r="W5" t="s">
        <v>161</v>
      </c>
      <c r="X5" t="s">
        <v>162</v>
      </c>
      <c r="Y5" t="s">
        <v>163</v>
      </c>
      <c r="Z5" t="s">
        <v>164</v>
      </c>
      <c r="AA5" t="s">
        <v>165</v>
      </c>
      <c r="AB5" t="s">
        <v>166</v>
      </c>
      <c r="AC5" t="s">
        <v>167</v>
      </c>
      <c r="AD5" t="s">
        <v>167</v>
      </c>
      <c r="AE5" t="s">
        <v>168</v>
      </c>
      <c r="AF5" t="s">
        <v>74</v>
      </c>
      <c r="AG5">
        <v>74</v>
      </c>
      <c r="AH5">
        <v>5</v>
      </c>
      <c r="AI5">
        <v>5</v>
      </c>
      <c r="AJ5">
        <v>1</v>
      </c>
      <c r="AK5">
        <v>4</v>
      </c>
      <c r="AL5" t="s">
        <v>169</v>
      </c>
      <c r="AM5" t="s">
        <v>170</v>
      </c>
      <c r="AN5" t="s">
        <v>171</v>
      </c>
      <c r="AO5" t="s">
        <v>172</v>
      </c>
      <c r="AP5" t="s">
        <v>173</v>
      </c>
      <c r="AQ5" t="s">
        <v>74</v>
      </c>
      <c r="AR5" t="s">
        <v>157</v>
      </c>
      <c r="AS5" t="s">
        <v>174</v>
      </c>
      <c r="AT5" t="s">
        <v>149</v>
      </c>
      <c r="AU5">
        <v>2020</v>
      </c>
      <c r="AV5">
        <v>471</v>
      </c>
      <c r="AW5">
        <v>1</v>
      </c>
      <c r="AX5" t="s">
        <v>74</v>
      </c>
      <c r="AY5" t="s">
        <v>74</v>
      </c>
      <c r="AZ5" t="s">
        <v>74</v>
      </c>
      <c r="BA5" t="s">
        <v>74</v>
      </c>
      <c r="BB5">
        <v>1</v>
      </c>
      <c r="BC5">
        <v>15</v>
      </c>
      <c r="BD5" t="s">
        <v>74</v>
      </c>
      <c r="BE5" t="s">
        <v>175</v>
      </c>
      <c r="BF5" t="str">
        <f>HYPERLINK("http://dx.doi.org/10.11646/phytotaxa.471.1.1","http://dx.doi.org/10.11646/phytotaxa.471.1.1")</f>
        <v>http://dx.doi.org/10.11646/phytotaxa.471.1.1</v>
      </c>
      <c r="BG5" t="s">
        <v>74</v>
      </c>
      <c r="BH5" t="s">
        <v>74</v>
      </c>
      <c r="BI5">
        <v>15</v>
      </c>
      <c r="BJ5" t="s">
        <v>176</v>
      </c>
      <c r="BK5" t="s">
        <v>100</v>
      </c>
      <c r="BL5" t="s">
        <v>176</v>
      </c>
      <c r="BM5" t="s">
        <v>177</v>
      </c>
      <c r="BN5" t="s">
        <v>74</v>
      </c>
      <c r="BO5" t="s">
        <v>74</v>
      </c>
      <c r="BP5" t="s">
        <v>74</v>
      </c>
      <c r="BQ5" t="s">
        <v>74</v>
      </c>
      <c r="BR5" t="s">
        <v>104</v>
      </c>
      <c r="BS5" t="s">
        <v>178</v>
      </c>
      <c r="BT5" t="str">
        <f>HYPERLINK("https%3A%2F%2Fwww.webofscience.com%2Fwos%2Fwoscc%2Ffull-record%2FWOS:000590840700001","View Full Record in Web of Science")</f>
        <v>View Full Record in Web of Science</v>
      </c>
    </row>
    <row r="6" spans="1:72" x14ac:dyDescent="0.15">
      <c r="A6" t="s">
        <v>72</v>
      </c>
      <c r="B6" t="s">
        <v>179</v>
      </c>
      <c r="C6" t="s">
        <v>74</v>
      </c>
      <c r="D6" t="s">
        <v>74</v>
      </c>
      <c r="E6" t="s">
        <v>74</v>
      </c>
      <c r="F6" t="s">
        <v>180</v>
      </c>
      <c r="G6" t="s">
        <v>74</v>
      </c>
      <c r="H6" t="s">
        <v>74</v>
      </c>
      <c r="I6" t="s">
        <v>181</v>
      </c>
      <c r="J6" t="s">
        <v>182</v>
      </c>
      <c r="K6" t="s">
        <v>74</v>
      </c>
      <c r="L6" t="s">
        <v>74</v>
      </c>
      <c r="M6" t="s">
        <v>78</v>
      </c>
      <c r="N6" t="s">
        <v>79</v>
      </c>
      <c r="O6" t="s">
        <v>74</v>
      </c>
      <c r="P6" t="s">
        <v>74</v>
      </c>
      <c r="Q6" t="s">
        <v>74</v>
      </c>
      <c r="R6" t="s">
        <v>74</v>
      </c>
      <c r="S6" t="s">
        <v>74</v>
      </c>
      <c r="T6" t="s">
        <v>74</v>
      </c>
      <c r="U6" t="s">
        <v>183</v>
      </c>
      <c r="V6" t="s">
        <v>184</v>
      </c>
      <c r="W6" t="s">
        <v>185</v>
      </c>
      <c r="X6" t="s">
        <v>186</v>
      </c>
      <c r="Y6" t="s">
        <v>187</v>
      </c>
      <c r="Z6" t="s">
        <v>188</v>
      </c>
      <c r="AA6" t="s">
        <v>189</v>
      </c>
      <c r="AB6" t="s">
        <v>190</v>
      </c>
      <c r="AC6" t="s">
        <v>191</v>
      </c>
      <c r="AD6" t="s">
        <v>192</v>
      </c>
      <c r="AE6" t="s">
        <v>193</v>
      </c>
      <c r="AF6" t="s">
        <v>74</v>
      </c>
      <c r="AG6">
        <v>42</v>
      </c>
      <c r="AH6">
        <v>1</v>
      </c>
      <c r="AI6">
        <v>1</v>
      </c>
      <c r="AJ6">
        <v>2</v>
      </c>
      <c r="AK6">
        <v>5</v>
      </c>
      <c r="AL6" t="s">
        <v>194</v>
      </c>
      <c r="AM6" t="s">
        <v>123</v>
      </c>
      <c r="AN6" t="s">
        <v>195</v>
      </c>
      <c r="AO6" t="s">
        <v>196</v>
      </c>
      <c r="AP6" t="s">
        <v>197</v>
      </c>
      <c r="AQ6" t="s">
        <v>74</v>
      </c>
      <c r="AR6" t="s">
        <v>182</v>
      </c>
      <c r="AS6" t="s">
        <v>198</v>
      </c>
      <c r="AT6" t="s">
        <v>149</v>
      </c>
      <c r="AU6">
        <v>2020</v>
      </c>
      <c r="AV6">
        <v>2020</v>
      </c>
      <c r="AW6" t="s">
        <v>74</v>
      </c>
      <c r="AX6" t="s">
        <v>74</v>
      </c>
      <c r="AY6" t="s">
        <v>74</v>
      </c>
      <c r="AZ6" t="s">
        <v>74</v>
      </c>
      <c r="BA6" t="s">
        <v>74</v>
      </c>
      <c r="BB6" t="s">
        <v>74</v>
      </c>
      <c r="BC6" t="s">
        <v>74</v>
      </c>
      <c r="BD6">
        <v>8843048</v>
      </c>
      <c r="BE6" t="s">
        <v>199</v>
      </c>
      <c r="BF6" t="str">
        <f>HYPERLINK("http://dx.doi.org/10.1155/2020/8843048","http://dx.doi.org/10.1155/2020/8843048")</f>
        <v>http://dx.doi.org/10.1155/2020/8843048</v>
      </c>
      <c r="BG6" t="s">
        <v>74</v>
      </c>
      <c r="BH6" t="s">
        <v>74</v>
      </c>
      <c r="BI6">
        <v>9</v>
      </c>
      <c r="BJ6" t="s">
        <v>200</v>
      </c>
      <c r="BK6" t="s">
        <v>100</v>
      </c>
      <c r="BL6" t="s">
        <v>200</v>
      </c>
      <c r="BM6" t="s">
        <v>201</v>
      </c>
      <c r="BN6" t="s">
        <v>74</v>
      </c>
      <c r="BO6" t="s">
        <v>202</v>
      </c>
      <c r="BP6" t="s">
        <v>74</v>
      </c>
      <c r="BQ6" t="s">
        <v>74</v>
      </c>
      <c r="BR6" t="s">
        <v>104</v>
      </c>
      <c r="BS6" t="s">
        <v>203</v>
      </c>
      <c r="BT6" t="str">
        <f>HYPERLINK("https%3A%2F%2Fwww.webofscience.com%2Fwos%2Fwoscc%2Ffull-record%2FWOS:000595628500003","View Full Record in Web of Science")</f>
        <v>View Full Record in Web of Science</v>
      </c>
    </row>
    <row r="7" spans="1:72" x14ac:dyDescent="0.15">
      <c r="A7" t="s">
        <v>72</v>
      </c>
      <c r="B7" t="s">
        <v>204</v>
      </c>
      <c r="C7" t="s">
        <v>74</v>
      </c>
      <c r="D7" t="s">
        <v>74</v>
      </c>
      <c r="E7" t="s">
        <v>74</v>
      </c>
      <c r="F7" t="s">
        <v>205</v>
      </c>
      <c r="G7" t="s">
        <v>74</v>
      </c>
      <c r="H7" t="s">
        <v>74</v>
      </c>
      <c r="I7" t="s">
        <v>206</v>
      </c>
      <c r="J7" t="s">
        <v>207</v>
      </c>
      <c r="K7" t="s">
        <v>74</v>
      </c>
      <c r="L7" t="s">
        <v>74</v>
      </c>
      <c r="M7" t="s">
        <v>78</v>
      </c>
      <c r="N7" t="s">
        <v>79</v>
      </c>
      <c r="O7" t="s">
        <v>74</v>
      </c>
      <c r="P7" t="s">
        <v>74</v>
      </c>
      <c r="Q7" t="s">
        <v>74</v>
      </c>
      <c r="R7" t="s">
        <v>74</v>
      </c>
      <c r="S7" t="s">
        <v>74</v>
      </c>
      <c r="T7" t="s">
        <v>74</v>
      </c>
      <c r="U7" t="s">
        <v>208</v>
      </c>
      <c r="V7" t="s">
        <v>209</v>
      </c>
      <c r="W7" t="s">
        <v>210</v>
      </c>
      <c r="X7" t="s">
        <v>211</v>
      </c>
      <c r="Y7" t="s">
        <v>212</v>
      </c>
      <c r="Z7" t="s">
        <v>213</v>
      </c>
      <c r="AA7" t="s">
        <v>214</v>
      </c>
      <c r="AB7" t="s">
        <v>215</v>
      </c>
      <c r="AC7" t="s">
        <v>216</v>
      </c>
      <c r="AD7" t="s">
        <v>217</v>
      </c>
      <c r="AE7" t="s">
        <v>218</v>
      </c>
      <c r="AF7" t="s">
        <v>74</v>
      </c>
      <c r="AG7">
        <v>102</v>
      </c>
      <c r="AH7">
        <v>16</v>
      </c>
      <c r="AI7">
        <v>16</v>
      </c>
      <c r="AJ7">
        <v>2</v>
      </c>
      <c r="AK7">
        <v>34</v>
      </c>
      <c r="AL7" t="s">
        <v>219</v>
      </c>
      <c r="AM7" t="s">
        <v>220</v>
      </c>
      <c r="AN7" t="s">
        <v>221</v>
      </c>
      <c r="AO7" t="s">
        <v>222</v>
      </c>
      <c r="AP7" t="s">
        <v>223</v>
      </c>
      <c r="AQ7" t="s">
        <v>74</v>
      </c>
      <c r="AR7" t="s">
        <v>224</v>
      </c>
      <c r="AS7" t="s">
        <v>225</v>
      </c>
      <c r="AT7" t="s">
        <v>226</v>
      </c>
      <c r="AU7">
        <v>2021</v>
      </c>
      <c r="AV7">
        <v>23</v>
      </c>
      <c r="AW7">
        <v>7</v>
      </c>
      <c r="AX7" t="s">
        <v>74</v>
      </c>
      <c r="AY7" t="s">
        <v>74</v>
      </c>
      <c r="AZ7" t="s">
        <v>74</v>
      </c>
      <c r="BA7" t="s">
        <v>74</v>
      </c>
      <c r="BB7">
        <v>3646</v>
      </c>
      <c r="BC7">
        <v>3664</v>
      </c>
      <c r="BD7" t="s">
        <v>74</v>
      </c>
      <c r="BE7" t="s">
        <v>227</v>
      </c>
      <c r="BF7" t="str">
        <f>HYPERLINK("http://dx.doi.org/10.1111/1462-2920.15300","http://dx.doi.org/10.1111/1462-2920.15300")</f>
        <v>http://dx.doi.org/10.1111/1462-2920.15300</v>
      </c>
      <c r="BG7" t="s">
        <v>74</v>
      </c>
      <c r="BH7" t="s">
        <v>228</v>
      </c>
      <c r="BI7">
        <v>19</v>
      </c>
      <c r="BJ7" t="s">
        <v>229</v>
      </c>
      <c r="BK7" t="s">
        <v>100</v>
      </c>
      <c r="BL7" t="s">
        <v>229</v>
      </c>
      <c r="BM7" t="s">
        <v>230</v>
      </c>
      <c r="BN7">
        <v>33140504</v>
      </c>
      <c r="BO7" t="s">
        <v>74</v>
      </c>
      <c r="BP7" t="s">
        <v>74</v>
      </c>
      <c r="BQ7" t="s">
        <v>74</v>
      </c>
      <c r="BR7" t="s">
        <v>104</v>
      </c>
      <c r="BS7" t="s">
        <v>231</v>
      </c>
      <c r="BT7" t="str">
        <f>HYPERLINK("https%3A%2F%2Fwww.webofscience.com%2Fwos%2Fwoscc%2Ffull-record%2FWOS:000587703900001","View Full Record in Web of Science")</f>
        <v>View Full Record in Web of Science</v>
      </c>
    </row>
    <row r="8" spans="1:72" x14ac:dyDescent="0.15">
      <c r="A8" t="s">
        <v>72</v>
      </c>
      <c r="B8" t="s">
        <v>232</v>
      </c>
      <c r="C8" t="s">
        <v>74</v>
      </c>
      <c r="D8" t="s">
        <v>74</v>
      </c>
      <c r="E8" t="s">
        <v>74</v>
      </c>
      <c r="F8" t="s">
        <v>233</v>
      </c>
      <c r="G8" t="s">
        <v>74</v>
      </c>
      <c r="H8" t="s">
        <v>74</v>
      </c>
      <c r="I8" t="s">
        <v>234</v>
      </c>
      <c r="J8" t="s">
        <v>235</v>
      </c>
      <c r="K8" t="s">
        <v>74</v>
      </c>
      <c r="L8" t="s">
        <v>74</v>
      </c>
      <c r="M8" t="s">
        <v>78</v>
      </c>
      <c r="N8" t="s">
        <v>79</v>
      </c>
      <c r="O8" t="s">
        <v>74</v>
      </c>
      <c r="P8" t="s">
        <v>74</v>
      </c>
      <c r="Q8" t="s">
        <v>74</v>
      </c>
      <c r="R8" t="s">
        <v>74</v>
      </c>
      <c r="S8" t="s">
        <v>74</v>
      </c>
      <c r="T8" t="s">
        <v>236</v>
      </c>
      <c r="U8" t="s">
        <v>237</v>
      </c>
      <c r="V8" t="s">
        <v>238</v>
      </c>
      <c r="W8" t="s">
        <v>239</v>
      </c>
      <c r="X8" t="s">
        <v>240</v>
      </c>
      <c r="Y8" t="s">
        <v>241</v>
      </c>
      <c r="Z8" t="s">
        <v>242</v>
      </c>
      <c r="AA8" t="s">
        <v>243</v>
      </c>
      <c r="AB8" t="s">
        <v>244</v>
      </c>
      <c r="AC8" t="s">
        <v>245</v>
      </c>
      <c r="AD8" t="s">
        <v>246</v>
      </c>
      <c r="AE8" t="s">
        <v>247</v>
      </c>
      <c r="AF8" t="s">
        <v>74</v>
      </c>
      <c r="AG8">
        <v>119</v>
      </c>
      <c r="AH8">
        <v>44</v>
      </c>
      <c r="AI8">
        <v>44</v>
      </c>
      <c r="AJ8">
        <v>8</v>
      </c>
      <c r="AK8">
        <v>27</v>
      </c>
      <c r="AL8" t="s">
        <v>219</v>
      </c>
      <c r="AM8" t="s">
        <v>220</v>
      </c>
      <c r="AN8" t="s">
        <v>221</v>
      </c>
      <c r="AO8" t="s">
        <v>248</v>
      </c>
      <c r="AP8" t="s">
        <v>249</v>
      </c>
      <c r="AQ8" t="s">
        <v>74</v>
      </c>
      <c r="AR8" t="s">
        <v>250</v>
      </c>
      <c r="AS8" t="s">
        <v>251</v>
      </c>
      <c r="AT8" t="s">
        <v>252</v>
      </c>
      <c r="AU8">
        <v>2021</v>
      </c>
      <c r="AV8">
        <v>27</v>
      </c>
      <c r="AW8">
        <v>2</v>
      </c>
      <c r="AX8" t="s">
        <v>74</v>
      </c>
      <c r="AY8" t="s">
        <v>74</v>
      </c>
      <c r="AZ8" t="s">
        <v>74</v>
      </c>
      <c r="BA8" t="s">
        <v>74</v>
      </c>
      <c r="BB8">
        <v>220</v>
      </c>
      <c r="BC8">
        <v>236</v>
      </c>
      <c r="BD8" t="s">
        <v>74</v>
      </c>
      <c r="BE8" t="s">
        <v>253</v>
      </c>
      <c r="BF8" t="str">
        <f>HYPERLINK("http://dx.doi.org/10.1111/gcb.15404","http://dx.doi.org/10.1111/gcb.15404")</f>
        <v>http://dx.doi.org/10.1111/gcb.15404</v>
      </c>
      <c r="BG8" t="s">
        <v>74</v>
      </c>
      <c r="BH8" t="s">
        <v>228</v>
      </c>
      <c r="BI8">
        <v>17</v>
      </c>
      <c r="BJ8" t="s">
        <v>254</v>
      </c>
      <c r="BK8" t="s">
        <v>255</v>
      </c>
      <c r="BL8" t="s">
        <v>256</v>
      </c>
      <c r="BM8" t="s">
        <v>257</v>
      </c>
      <c r="BN8">
        <v>33067925</v>
      </c>
      <c r="BO8" t="s">
        <v>258</v>
      </c>
      <c r="BP8" t="s">
        <v>74</v>
      </c>
      <c r="BQ8" t="s">
        <v>74</v>
      </c>
      <c r="BR8" t="s">
        <v>104</v>
      </c>
      <c r="BS8" t="s">
        <v>259</v>
      </c>
      <c r="BT8" t="str">
        <f>HYPERLINK("https%3A%2F%2Fwww.webofscience.com%2Fwos%2Fwoscc%2Ffull-record%2FWOS:000587698100001","View Full Record in Web of Science")</f>
        <v>View Full Record in Web of Science</v>
      </c>
    </row>
    <row r="9" spans="1:72" x14ac:dyDescent="0.15">
      <c r="A9" t="s">
        <v>72</v>
      </c>
      <c r="B9" t="s">
        <v>260</v>
      </c>
      <c r="C9" t="s">
        <v>74</v>
      </c>
      <c r="D9" t="s">
        <v>74</v>
      </c>
      <c r="E9" t="s">
        <v>74</v>
      </c>
      <c r="F9" t="s">
        <v>261</v>
      </c>
      <c r="G9" t="s">
        <v>74</v>
      </c>
      <c r="H9" t="s">
        <v>74</v>
      </c>
      <c r="I9" t="s">
        <v>262</v>
      </c>
      <c r="J9" t="s">
        <v>263</v>
      </c>
      <c r="K9" t="s">
        <v>74</v>
      </c>
      <c r="L9" t="s">
        <v>74</v>
      </c>
      <c r="M9" t="s">
        <v>78</v>
      </c>
      <c r="N9" t="s">
        <v>79</v>
      </c>
      <c r="O9" t="s">
        <v>74</v>
      </c>
      <c r="P9" t="s">
        <v>74</v>
      </c>
      <c r="Q9" t="s">
        <v>74</v>
      </c>
      <c r="R9" t="s">
        <v>74</v>
      </c>
      <c r="S9" t="s">
        <v>74</v>
      </c>
      <c r="T9" t="s">
        <v>264</v>
      </c>
      <c r="U9" t="s">
        <v>265</v>
      </c>
      <c r="V9" t="s">
        <v>266</v>
      </c>
      <c r="W9" t="s">
        <v>267</v>
      </c>
      <c r="X9" t="s">
        <v>268</v>
      </c>
      <c r="Y9" t="s">
        <v>269</v>
      </c>
      <c r="Z9" t="s">
        <v>270</v>
      </c>
      <c r="AA9" t="s">
        <v>74</v>
      </c>
      <c r="AB9" t="s">
        <v>271</v>
      </c>
      <c r="AC9" t="s">
        <v>272</v>
      </c>
      <c r="AD9" t="s">
        <v>273</v>
      </c>
      <c r="AE9" t="s">
        <v>274</v>
      </c>
      <c r="AF9" t="s">
        <v>74</v>
      </c>
      <c r="AG9">
        <v>53</v>
      </c>
      <c r="AH9">
        <v>13</v>
      </c>
      <c r="AI9">
        <v>13</v>
      </c>
      <c r="AJ9">
        <v>2</v>
      </c>
      <c r="AK9">
        <v>61</v>
      </c>
      <c r="AL9" t="s">
        <v>275</v>
      </c>
      <c r="AM9" t="s">
        <v>276</v>
      </c>
      <c r="AN9" t="s">
        <v>277</v>
      </c>
      <c r="AO9" t="s">
        <v>278</v>
      </c>
      <c r="AP9" t="s">
        <v>279</v>
      </c>
      <c r="AQ9" t="s">
        <v>74</v>
      </c>
      <c r="AR9" t="s">
        <v>280</v>
      </c>
      <c r="AS9" t="s">
        <v>281</v>
      </c>
      <c r="AT9" t="s">
        <v>149</v>
      </c>
      <c r="AU9">
        <v>2020</v>
      </c>
      <c r="AV9">
        <v>742</v>
      </c>
      <c r="AW9" t="s">
        <v>74</v>
      </c>
      <c r="AX9" t="s">
        <v>74</v>
      </c>
      <c r="AY9" t="s">
        <v>74</v>
      </c>
      <c r="AZ9" t="s">
        <v>74</v>
      </c>
      <c r="BA9" t="s">
        <v>74</v>
      </c>
      <c r="BB9" t="s">
        <v>74</v>
      </c>
      <c r="BC9" t="s">
        <v>74</v>
      </c>
      <c r="BD9">
        <v>140417</v>
      </c>
      <c r="BE9" t="s">
        <v>282</v>
      </c>
      <c r="BF9" t="str">
        <f>HYPERLINK("http://dx.doi.org/10.1016/j.scitotenv.2020.140417","http://dx.doi.org/10.1016/j.scitotenv.2020.140417")</f>
        <v>http://dx.doi.org/10.1016/j.scitotenv.2020.140417</v>
      </c>
      <c r="BG9" t="s">
        <v>74</v>
      </c>
      <c r="BH9" t="s">
        <v>74</v>
      </c>
      <c r="BI9">
        <v>8</v>
      </c>
      <c r="BJ9" t="s">
        <v>283</v>
      </c>
      <c r="BK9" t="s">
        <v>100</v>
      </c>
      <c r="BL9" t="s">
        <v>284</v>
      </c>
      <c r="BM9" t="s">
        <v>285</v>
      </c>
      <c r="BN9">
        <v>32629248</v>
      </c>
      <c r="BO9" t="s">
        <v>74</v>
      </c>
      <c r="BP9" t="s">
        <v>74</v>
      </c>
      <c r="BQ9" t="s">
        <v>74</v>
      </c>
      <c r="BR9" t="s">
        <v>104</v>
      </c>
      <c r="BS9" t="s">
        <v>286</v>
      </c>
      <c r="BT9" t="str">
        <f>HYPERLINK("https%3A%2F%2Fwww.webofscience.com%2Fwos%2Fwoscc%2Ffull-record%2FWOS:000569415400019","View Full Record in Web of Science")</f>
        <v>View Full Record in Web of Science</v>
      </c>
    </row>
    <row r="10" spans="1:72" x14ac:dyDescent="0.15">
      <c r="A10" t="s">
        <v>72</v>
      </c>
      <c r="B10" t="s">
        <v>287</v>
      </c>
      <c r="C10" t="s">
        <v>74</v>
      </c>
      <c r="D10" t="s">
        <v>74</v>
      </c>
      <c r="E10" t="s">
        <v>74</v>
      </c>
      <c r="F10" t="s">
        <v>288</v>
      </c>
      <c r="G10" t="s">
        <v>74</v>
      </c>
      <c r="H10" t="s">
        <v>74</v>
      </c>
      <c r="I10" t="s">
        <v>289</v>
      </c>
      <c r="J10" t="s">
        <v>263</v>
      </c>
      <c r="K10" t="s">
        <v>74</v>
      </c>
      <c r="L10" t="s">
        <v>74</v>
      </c>
      <c r="M10" t="s">
        <v>78</v>
      </c>
      <c r="N10" t="s">
        <v>79</v>
      </c>
      <c r="O10" t="s">
        <v>74</v>
      </c>
      <c r="P10" t="s">
        <v>74</v>
      </c>
      <c r="Q10" t="s">
        <v>74</v>
      </c>
      <c r="R10" t="s">
        <v>74</v>
      </c>
      <c r="S10" t="s">
        <v>74</v>
      </c>
      <c r="T10" t="s">
        <v>290</v>
      </c>
      <c r="U10" t="s">
        <v>291</v>
      </c>
      <c r="V10" t="s">
        <v>292</v>
      </c>
      <c r="W10" t="s">
        <v>293</v>
      </c>
      <c r="X10" t="s">
        <v>294</v>
      </c>
      <c r="Y10" t="s">
        <v>295</v>
      </c>
      <c r="Z10" t="s">
        <v>296</v>
      </c>
      <c r="AA10" t="s">
        <v>297</v>
      </c>
      <c r="AB10" t="s">
        <v>298</v>
      </c>
      <c r="AC10" t="s">
        <v>299</v>
      </c>
      <c r="AD10" t="s">
        <v>300</v>
      </c>
      <c r="AE10" t="s">
        <v>301</v>
      </c>
      <c r="AF10" t="s">
        <v>74</v>
      </c>
      <c r="AG10">
        <v>84</v>
      </c>
      <c r="AH10">
        <v>21</v>
      </c>
      <c r="AI10">
        <v>22</v>
      </c>
      <c r="AJ10">
        <v>3</v>
      </c>
      <c r="AK10">
        <v>64</v>
      </c>
      <c r="AL10" t="s">
        <v>275</v>
      </c>
      <c r="AM10" t="s">
        <v>276</v>
      </c>
      <c r="AN10" t="s">
        <v>277</v>
      </c>
      <c r="AO10" t="s">
        <v>278</v>
      </c>
      <c r="AP10" t="s">
        <v>279</v>
      </c>
      <c r="AQ10" t="s">
        <v>74</v>
      </c>
      <c r="AR10" t="s">
        <v>280</v>
      </c>
      <c r="AS10" t="s">
        <v>281</v>
      </c>
      <c r="AT10" t="s">
        <v>149</v>
      </c>
      <c r="AU10">
        <v>2020</v>
      </c>
      <c r="AV10">
        <v>742</v>
      </c>
      <c r="AW10" t="s">
        <v>74</v>
      </c>
      <c r="AX10" t="s">
        <v>74</v>
      </c>
      <c r="AY10" t="s">
        <v>74</v>
      </c>
      <c r="AZ10" t="s">
        <v>74</v>
      </c>
      <c r="BA10" t="s">
        <v>74</v>
      </c>
      <c r="BB10" t="s">
        <v>74</v>
      </c>
      <c r="BC10" t="s">
        <v>74</v>
      </c>
      <c r="BD10">
        <v>140499</v>
      </c>
      <c r="BE10" t="s">
        <v>302</v>
      </c>
      <c r="BF10" t="str">
        <f>HYPERLINK("http://dx.doi.org/10.1016/j.scitotenv.2020.140499","http://dx.doi.org/10.1016/j.scitotenv.2020.140499")</f>
        <v>http://dx.doi.org/10.1016/j.scitotenv.2020.140499</v>
      </c>
      <c r="BG10" t="s">
        <v>74</v>
      </c>
      <c r="BH10" t="s">
        <v>74</v>
      </c>
      <c r="BI10">
        <v>12</v>
      </c>
      <c r="BJ10" t="s">
        <v>283</v>
      </c>
      <c r="BK10" t="s">
        <v>100</v>
      </c>
      <c r="BL10" t="s">
        <v>284</v>
      </c>
      <c r="BM10" t="s">
        <v>303</v>
      </c>
      <c r="BN10">
        <v>33167295</v>
      </c>
      <c r="BO10" t="s">
        <v>304</v>
      </c>
      <c r="BP10" t="s">
        <v>74</v>
      </c>
      <c r="BQ10" t="s">
        <v>74</v>
      </c>
      <c r="BR10" t="s">
        <v>104</v>
      </c>
      <c r="BS10" t="s">
        <v>305</v>
      </c>
      <c r="BT10" t="str">
        <f>HYPERLINK("https%3A%2F%2Fwww.webofscience.com%2Fwos%2Fwoscc%2Ffull-record%2FWOS:000569415100012","View Full Record in Web of Science")</f>
        <v>View Full Record in Web of Science</v>
      </c>
    </row>
    <row r="11" spans="1:72" x14ac:dyDescent="0.15">
      <c r="A11" t="s">
        <v>72</v>
      </c>
      <c r="B11" t="s">
        <v>306</v>
      </c>
      <c r="C11" t="s">
        <v>74</v>
      </c>
      <c r="D11" t="s">
        <v>74</v>
      </c>
      <c r="E11" t="s">
        <v>74</v>
      </c>
      <c r="F11" t="s">
        <v>307</v>
      </c>
      <c r="G11" t="s">
        <v>74</v>
      </c>
      <c r="H11" t="s">
        <v>74</v>
      </c>
      <c r="I11" t="s">
        <v>308</v>
      </c>
      <c r="J11" t="s">
        <v>309</v>
      </c>
      <c r="K11" t="s">
        <v>74</v>
      </c>
      <c r="L11" t="s">
        <v>74</v>
      </c>
      <c r="M11" t="s">
        <v>78</v>
      </c>
      <c r="N11" t="s">
        <v>79</v>
      </c>
      <c r="O11" t="s">
        <v>74</v>
      </c>
      <c r="P11" t="s">
        <v>74</v>
      </c>
      <c r="Q11" t="s">
        <v>74</v>
      </c>
      <c r="R11" t="s">
        <v>74</v>
      </c>
      <c r="S11" t="s">
        <v>74</v>
      </c>
      <c r="T11" t="s">
        <v>74</v>
      </c>
      <c r="U11" t="s">
        <v>310</v>
      </c>
      <c r="V11" t="s">
        <v>311</v>
      </c>
      <c r="W11" t="s">
        <v>312</v>
      </c>
      <c r="X11" t="s">
        <v>313</v>
      </c>
      <c r="Y11" t="s">
        <v>314</v>
      </c>
      <c r="Z11" t="s">
        <v>315</v>
      </c>
      <c r="AA11" t="s">
        <v>316</v>
      </c>
      <c r="AB11" t="s">
        <v>317</v>
      </c>
      <c r="AC11" t="s">
        <v>318</v>
      </c>
      <c r="AD11" t="s">
        <v>319</v>
      </c>
      <c r="AE11" t="s">
        <v>320</v>
      </c>
      <c r="AF11" t="s">
        <v>74</v>
      </c>
      <c r="AG11">
        <v>54</v>
      </c>
      <c r="AH11">
        <v>23</v>
      </c>
      <c r="AI11">
        <v>25</v>
      </c>
      <c r="AJ11">
        <v>3</v>
      </c>
      <c r="AK11">
        <v>22</v>
      </c>
      <c r="AL11" t="s">
        <v>321</v>
      </c>
      <c r="AM11" t="s">
        <v>322</v>
      </c>
      <c r="AN11" t="s">
        <v>323</v>
      </c>
      <c r="AO11" t="s">
        <v>324</v>
      </c>
      <c r="AP11" t="s">
        <v>74</v>
      </c>
      <c r="AQ11" t="s">
        <v>74</v>
      </c>
      <c r="AR11" t="s">
        <v>325</v>
      </c>
      <c r="AS11" t="s">
        <v>326</v>
      </c>
      <c r="AT11" t="s">
        <v>327</v>
      </c>
      <c r="AU11">
        <v>2020</v>
      </c>
      <c r="AV11">
        <v>10</v>
      </c>
      <c r="AW11">
        <v>1</v>
      </c>
      <c r="AX11" t="s">
        <v>74</v>
      </c>
      <c r="AY11" t="s">
        <v>74</v>
      </c>
      <c r="AZ11" t="s">
        <v>74</v>
      </c>
      <c r="BA11" t="s">
        <v>74</v>
      </c>
      <c r="BB11" t="s">
        <v>74</v>
      </c>
      <c r="BC11" t="s">
        <v>74</v>
      </c>
      <c r="BD11">
        <v>19297</v>
      </c>
      <c r="BE11" t="s">
        <v>328</v>
      </c>
      <c r="BF11" t="str">
        <f>HYPERLINK("http://dx.doi.org/10.1038/s41598-020-76371-0","http://dx.doi.org/10.1038/s41598-020-76371-0")</f>
        <v>http://dx.doi.org/10.1038/s41598-020-76371-0</v>
      </c>
      <c r="BG11" t="s">
        <v>74</v>
      </c>
      <c r="BH11" t="s">
        <v>74</v>
      </c>
      <c r="BI11">
        <v>8</v>
      </c>
      <c r="BJ11" t="s">
        <v>329</v>
      </c>
      <c r="BK11" t="s">
        <v>100</v>
      </c>
      <c r="BL11" t="s">
        <v>330</v>
      </c>
      <c r="BM11" t="s">
        <v>331</v>
      </c>
      <c r="BN11">
        <v>33168918</v>
      </c>
      <c r="BO11" t="s">
        <v>332</v>
      </c>
      <c r="BP11" t="s">
        <v>74</v>
      </c>
      <c r="BQ11" t="s">
        <v>74</v>
      </c>
      <c r="BR11" t="s">
        <v>104</v>
      </c>
      <c r="BS11" t="s">
        <v>333</v>
      </c>
      <c r="BT11" t="str">
        <f>HYPERLINK("https%3A%2F%2Fwww.webofscience.com%2Fwos%2Fwoscc%2Ffull-record%2FWOS:000594625900008","View Full Record in Web of Science")</f>
        <v>View Full Record in Web of Science</v>
      </c>
    </row>
    <row r="12" spans="1:72" x14ac:dyDescent="0.15">
      <c r="A12" t="s">
        <v>72</v>
      </c>
      <c r="B12" t="s">
        <v>334</v>
      </c>
      <c r="C12" t="s">
        <v>74</v>
      </c>
      <c r="D12" t="s">
        <v>74</v>
      </c>
      <c r="E12" t="s">
        <v>74</v>
      </c>
      <c r="F12" t="s">
        <v>335</v>
      </c>
      <c r="G12" t="s">
        <v>74</v>
      </c>
      <c r="H12" t="s">
        <v>74</v>
      </c>
      <c r="I12" t="s">
        <v>336</v>
      </c>
      <c r="J12" t="s">
        <v>77</v>
      </c>
      <c r="K12" t="s">
        <v>74</v>
      </c>
      <c r="L12" t="s">
        <v>74</v>
      </c>
      <c r="M12" t="s">
        <v>78</v>
      </c>
      <c r="N12" t="s">
        <v>79</v>
      </c>
      <c r="O12" t="s">
        <v>74</v>
      </c>
      <c r="P12" t="s">
        <v>74</v>
      </c>
      <c r="Q12" t="s">
        <v>74</v>
      </c>
      <c r="R12" t="s">
        <v>74</v>
      </c>
      <c r="S12" t="s">
        <v>74</v>
      </c>
      <c r="T12" t="s">
        <v>74</v>
      </c>
      <c r="U12" t="s">
        <v>337</v>
      </c>
      <c r="V12" t="s">
        <v>338</v>
      </c>
      <c r="W12" t="s">
        <v>339</v>
      </c>
      <c r="X12" t="s">
        <v>340</v>
      </c>
      <c r="Y12" t="s">
        <v>341</v>
      </c>
      <c r="Z12" t="s">
        <v>342</v>
      </c>
      <c r="AA12" t="s">
        <v>343</v>
      </c>
      <c r="AB12" t="s">
        <v>344</v>
      </c>
      <c r="AC12" t="s">
        <v>345</v>
      </c>
      <c r="AD12" t="s">
        <v>346</v>
      </c>
      <c r="AE12" t="s">
        <v>347</v>
      </c>
      <c r="AF12" t="s">
        <v>74</v>
      </c>
      <c r="AG12">
        <v>76</v>
      </c>
      <c r="AH12">
        <v>10</v>
      </c>
      <c r="AI12">
        <v>11</v>
      </c>
      <c r="AJ12">
        <v>7</v>
      </c>
      <c r="AK12">
        <v>33</v>
      </c>
      <c r="AL12" t="s">
        <v>91</v>
      </c>
      <c r="AM12" t="s">
        <v>92</v>
      </c>
      <c r="AN12" t="s">
        <v>93</v>
      </c>
      <c r="AO12" t="s">
        <v>94</v>
      </c>
      <c r="AP12" t="s">
        <v>95</v>
      </c>
      <c r="AQ12" t="s">
        <v>74</v>
      </c>
      <c r="AR12" t="s">
        <v>77</v>
      </c>
      <c r="AS12" t="s">
        <v>96</v>
      </c>
      <c r="AT12" t="s">
        <v>327</v>
      </c>
      <c r="AU12">
        <v>2020</v>
      </c>
      <c r="AV12">
        <v>14</v>
      </c>
      <c r="AW12">
        <v>11</v>
      </c>
      <c r="AX12" t="s">
        <v>74</v>
      </c>
      <c r="AY12" t="s">
        <v>74</v>
      </c>
      <c r="AZ12" t="s">
        <v>74</v>
      </c>
      <c r="BA12" t="s">
        <v>74</v>
      </c>
      <c r="BB12">
        <v>3811</v>
      </c>
      <c r="BC12">
        <v>3827</v>
      </c>
      <c r="BD12" t="s">
        <v>74</v>
      </c>
      <c r="BE12" t="s">
        <v>348</v>
      </c>
      <c r="BF12" t="str">
        <f>HYPERLINK("http://dx.doi.org/10.5194/tc-14-3811-2020","http://dx.doi.org/10.5194/tc-14-3811-2020")</f>
        <v>http://dx.doi.org/10.5194/tc-14-3811-2020</v>
      </c>
      <c r="BG12" t="s">
        <v>74</v>
      </c>
      <c r="BH12" t="s">
        <v>74</v>
      </c>
      <c r="BI12">
        <v>17</v>
      </c>
      <c r="BJ12" t="s">
        <v>99</v>
      </c>
      <c r="BK12" t="s">
        <v>100</v>
      </c>
      <c r="BL12" t="s">
        <v>101</v>
      </c>
      <c r="BM12" t="s">
        <v>349</v>
      </c>
      <c r="BN12" t="s">
        <v>74</v>
      </c>
      <c r="BO12" t="s">
        <v>350</v>
      </c>
      <c r="BP12" t="s">
        <v>74</v>
      </c>
      <c r="BQ12" t="s">
        <v>74</v>
      </c>
      <c r="BR12" t="s">
        <v>104</v>
      </c>
      <c r="BS12" t="s">
        <v>351</v>
      </c>
      <c r="BT12" t="str">
        <f>HYPERLINK("https%3A%2F%2Fwww.webofscience.com%2Fwos%2Fwoscc%2Ffull-record%2FWOS:000589956500001","View Full Record in Web of Science")</f>
        <v>View Full Record in Web of Science</v>
      </c>
    </row>
    <row r="13" spans="1:72" x14ac:dyDescent="0.15">
      <c r="A13" t="s">
        <v>72</v>
      </c>
      <c r="B13" t="s">
        <v>352</v>
      </c>
      <c r="C13" t="s">
        <v>74</v>
      </c>
      <c r="D13" t="s">
        <v>74</v>
      </c>
      <c r="E13" t="s">
        <v>74</v>
      </c>
      <c r="F13" t="s">
        <v>353</v>
      </c>
      <c r="G13" t="s">
        <v>74</v>
      </c>
      <c r="H13" t="s">
        <v>74</v>
      </c>
      <c r="I13" t="s">
        <v>354</v>
      </c>
      <c r="J13" t="s">
        <v>355</v>
      </c>
      <c r="K13" t="s">
        <v>74</v>
      </c>
      <c r="L13" t="s">
        <v>74</v>
      </c>
      <c r="M13" t="s">
        <v>78</v>
      </c>
      <c r="N13" t="s">
        <v>79</v>
      </c>
      <c r="O13" t="s">
        <v>74</v>
      </c>
      <c r="P13" t="s">
        <v>74</v>
      </c>
      <c r="Q13" t="s">
        <v>74</v>
      </c>
      <c r="R13" t="s">
        <v>74</v>
      </c>
      <c r="S13" t="s">
        <v>74</v>
      </c>
      <c r="T13" t="s">
        <v>356</v>
      </c>
      <c r="U13" t="s">
        <v>357</v>
      </c>
      <c r="V13" t="s">
        <v>358</v>
      </c>
      <c r="W13" t="s">
        <v>359</v>
      </c>
      <c r="X13" t="s">
        <v>360</v>
      </c>
      <c r="Y13" t="s">
        <v>361</v>
      </c>
      <c r="Z13" t="s">
        <v>362</v>
      </c>
      <c r="AA13" t="s">
        <v>363</v>
      </c>
      <c r="AB13" t="s">
        <v>364</v>
      </c>
      <c r="AC13" t="s">
        <v>365</v>
      </c>
      <c r="AD13" t="s">
        <v>366</v>
      </c>
      <c r="AE13" t="s">
        <v>367</v>
      </c>
      <c r="AF13" t="s">
        <v>74</v>
      </c>
      <c r="AG13">
        <v>65</v>
      </c>
      <c r="AH13">
        <v>12</v>
      </c>
      <c r="AI13">
        <v>13</v>
      </c>
      <c r="AJ13">
        <v>5</v>
      </c>
      <c r="AK13">
        <v>34</v>
      </c>
      <c r="AL13" t="s">
        <v>219</v>
      </c>
      <c r="AM13" t="s">
        <v>220</v>
      </c>
      <c r="AN13" t="s">
        <v>221</v>
      </c>
      <c r="AO13" t="s">
        <v>368</v>
      </c>
      <c r="AP13" t="s">
        <v>369</v>
      </c>
      <c r="AQ13" t="s">
        <v>74</v>
      </c>
      <c r="AR13" t="s">
        <v>370</v>
      </c>
      <c r="AS13" t="s">
        <v>371</v>
      </c>
      <c r="AT13" t="s">
        <v>372</v>
      </c>
      <c r="AU13">
        <v>2021</v>
      </c>
      <c r="AV13">
        <v>38</v>
      </c>
      <c r="AW13">
        <v>3</v>
      </c>
      <c r="AX13" t="s">
        <v>74</v>
      </c>
      <c r="AY13" t="s">
        <v>74</v>
      </c>
      <c r="AZ13" t="s">
        <v>74</v>
      </c>
      <c r="BA13" t="s">
        <v>74</v>
      </c>
      <c r="BB13">
        <v>402</v>
      </c>
      <c r="BC13">
        <v>428</v>
      </c>
      <c r="BD13" t="s">
        <v>74</v>
      </c>
      <c r="BE13" t="s">
        <v>373</v>
      </c>
      <c r="BF13" t="str">
        <f>HYPERLINK("http://dx.doi.org/10.1002/rob.21994","http://dx.doi.org/10.1002/rob.21994")</f>
        <v>http://dx.doi.org/10.1002/rob.21994</v>
      </c>
      <c r="BG13" t="s">
        <v>74</v>
      </c>
      <c r="BH13" t="s">
        <v>228</v>
      </c>
      <c r="BI13">
        <v>27</v>
      </c>
      <c r="BJ13" t="s">
        <v>374</v>
      </c>
      <c r="BK13" t="s">
        <v>100</v>
      </c>
      <c r="BL13" t="s">
        <v>374</v>
      </c>
      <c r="BM13" t="s">
        <v>375</v>
      </c>
      <c r="BN13" t="s">
        <v>74</v>
      </c>
      <c r="BO13" t="s">
        <v>376</v>
      </c>
      <c r="BP13" t="s">
        <v>74</v>
      </c>
      <c r="BQ13" t="s">
        <v>74</v>
      </c>
      <c r="BR13" t="s">
        <v>104</v>
      </c>
      <c r="BS13" t="s">
        <v>377</v>
      </c>
      <c r="BT13" t="str">
        <f>HYPERLINK("https%3A%2F%2Fwww.webofscience.com%2Fwos%2Fwoscc%2Ffull-record%2FWOS:000587475100001","View Full Record in Web of Science")</f>
        <v>View Full Record in Web of Science</v>
      </c>
    </row>
    <row r="14" spans="1:72" x14ac:dyDescent="0.15">
      <c r="A14" t="s">
        <v>72</v>
      </c>
      <c r="B14" t="s">
        <v>378</v>
      </c>
      <c r="C14" t="s">
        <v>74</v>
      </c>
      <c r="D14" t="s">
        <v>74</v>
      </c>
      <c r="E14" t="s">
        <v>74</v>
      </c>
      <c r="F14" t="s">
        <v>379</v>
      </c>
      <c r="G14" t="s">
        <v>74</v>
      </c>
      <c r="H14" t="s">
        <v>74</v>
      </c>
      <c r="I14" t="s">
        <v>380</v>
      </c>
      <c r="J14" t="s">
        <v>381</v>
      </c>
      <c r="K14" t="s">
        <v>74</v>
      </c>
      <c r="L14" t="s">
        <v>74</v>
      </c>
      <c r="M14" t="s">
        <v>78</v>
      </c>
      <c r="N14" t="s">
        <v>79</v>
      </c>
      <c r="O14" t="s">
        <v>74</v>
      </c>
      <c r="P14" t="s">
        <v>74</v>
      </c>
      <c r="Q14" t="s">
        <v>74</v>
      </c>
      <c r="R14" t="s">
        <v>74</v>
      </c>
      <c r="S14" t="s">
        <v>74</v>
      </c>
      <c r="T14" t="s">
        <v>74</v>
      </c>
      <c r="U14" t="s">
        <v>382</v>
      </c>
      <c r="V14" t="s">
        <v>383</v>
      </c>
      <c r="W14" t="s">
        <v>384</v>
      </c>
      <c r="X14" t="s">
        <v>385</v>
      </c>
      <c r="Y14" t="s">
        <v>386</v>
      </c>
      <c r="Z14" t="s">
        <v>387</v>
      </c>
      <c r="AA14" t="s">
        <v>74</v>
      </c>
      <c r="AB14" t="s">
        <v>388</v>
      </c>
      <c r="AC14" t="s">
        <v>389</v>
      </c>
      <c r="AD14" t="s">
        <v>390</v>
      </c>
      <c r="AE14" t="s">
        <v>391</v>
      </c>
      <c r="AF14" t="s">
        <v>74</v>
      </c>
      <c r="AG14">
        <v>97</v>
      </c>
      <c r="AH14">
        <v>17</v>
      </c>
      <c r="AI14">
        <v>18</v>
      </c>
      <c r="AJ14">
        <v>0</v>
      </c>
      <c r="AK14">
        <v>19</v>
      </c>
      <c r="AL14" t="s">
        <v>321</v>
      </c>
      <c r="AM14" t="s">
        <v>322</v>
      </c>
      <c r="AN14" t="s">
        <v>323</v>
      </c>
      <c r="AO14" t="s">
        <v>392</v>
      </c>
      <c r="AP14" t="s">
        <v>74</v>
      </c>
      <c r="AQ14" t="s">
        <v>74</v>
      </c>
      <c r="AR14" t="s">
        <v>393</v>
      </c>
      <c r="AS14" t="s">
        <v>394</v>
      </c>
      <c r="AT14" t="s">
        <v>327</v>
      </c>
      <c r="AU14">
        <v>2020</v>
      </c>
      <c r="AV14">
        <v>11</v>
      </c>
      <c r="AW14">
        <v>1</v>
      </c>
      <c r="AX14" t="s">
        <v>74</v>
      </c>
      <c r="AY14" t="s">
        <v>74</v>
      </c>
      <c r="AZ14" t="s">
        <v>74</v>
      </c>
      <c r="BA14" t="s">
        <v>74</v>
      </c>
      <c r="BB14" t="s">
        <v>74</v>
      </c>
      <c r="BC14" t="s">
        <v>74</v>
      </c>
      <c r="BD14">
        <v>5655</v>
      </c>
      <c r="BE14" t="s">
        <v>395</v>
      </c>
      <c r="BF14" t="str">
        <f>HYPERLINK("http://dx.doi.org/10.1038/s41467-020-18858-y","http://dx.doi.org/10.1038/s41467-020-18858-y")</f>
        <v>http://dx.doi.org/10.1038/s41467-020-18858-y</v>
      </c>
      <c r="BG14" t="s">
        <v>74</v>
      </c>
      <c r="BH14" t="s">
        <v>74</v>
      </c>
      <c r="BI14">
        <v>11</v>
      </c>
      <c r="BJ14" t="s">
        <v>329</v>
      </c>
      <c r="BK14" t="s">
        <v>100</v>
      </c>
      <c r="BL14" t="s">
        <v>330</v>
      </c>
      <c r="BM14" t="s">
        <v>396</v>
      </c>
      <c r="BN14">
        <v>33168803</v>
      </c>
      <c r="BO14" t="s">
        <v>397</v>
      </c>
      <c r="BP14" t="s">
        <v>74</v>
      </c>
      <c r="BQ14" t="s">
        <v>74</v>
      </c>
      <c r="BR14" t="s">
        <v>104</v>
      </c>
      <c r="BS14" t="s">
        <v>398</v>
      </c>
      <c r="BT14" t="str">
        <f>HYPERLINK("https%3A%2F%2Fwww.webofscience.com%2Fwos%2Fwoscc%2Ffull-record%2FWOS:000590821000001","View Full Record in Web of Science")</f>
        <v>View Full Record in Web of Science</v>
      </c>
    </row>
    <row r="15" spans="1:72" x14ac:dyDescent="0.15">
      <c r="A15" t="s">
        <v>72</v>
      </c>
      <c r="B15" t="s">
        <v>399</v>
      </c>
      <c r="C15" t="s">
        <v>74</v>
      </c>
      <c r="D15" t="s">
        <v>74</v>
      </c>
      <c r="E15" t="s">
        <v>74</v>
      </c>
      <c r="F15" t="s">
        <v>400</v>
      </c>
      <c r="G15" t="s">
        <v>74</v>
      </c>
      <c r="H15" t="s">
        <v>74</v>
      </c>
      <c r="I15" t="s">
        <v>401</v>
      </c>
      <c r="J15" t="s">
        <v>309</v>
      </c>
      <c r="K15" t="s">
        <v>74</v>
      </c>
      <c r="L15" t="s">
        <v>74</v>
      </c>
      <c r="M15" t="s">
        <v>78</v>
      </c>
      <c r="N15" t="s">
        <v>79</v>
      </c>
      <c r="O15" t="s">
        <v>74</v>
      </c>
      <c r="P15" t="s">
        <v>74</v>
      </c>
      <c r="Q15" t="s">
        <v>74</v>
      </c>
      <c r="R15" t="s">
        <v>74</v>
      </c>
      <c r="S15" t="s">
        <v>74</v>
      </c>
      <c r="T15" t="s">
        <v>74</v>
      </c>
      <c r="U15" t="s">
        <v>402</v>
      </c>
      <c r="V15" t="s">
        <v>403</v>
      </c>
      <c r="W15" t="s">
        <v>404</v>
      </c>
      <c r="X15" t="s">
        <v>405</v>
      </c>
      <c r="Y15" t="s">
        <v>406</v>
      </c>
      <c r="Z15" t="s">
        <v>407</v>
      </c>
      <c r="AA15" t="s">
        <v>408</v>
      </c>
      <c r="AB15" t="s">
        <v>409</v>
      </c>
      <c r="AC15" t="s">
        <v>410</v>
      </c>
      <c r="AD15" t="s">
        <v>411</v>
      </c>
      <c r="AE15" t="s">
        <v>412</v>
      </c>
      <c r="AF15" t="s">
        <v>74</v>
      </c>
      <c r="AG15">
        <v>53</v>
      </c>
      <c r="AH15">
        <v>152</v>
      </c>
      <c r="AI15">
        <v>156</v>
      </c>
      <c r="AJ15">
        <v>28</v>
      </c>
      <c r="AK15">
        <v>93</v>
      </c>
      <c r="AL15" t="s">
        <v>413</v>
      </c>
      <c r="AM15" t="s">
        <v>322</v>
      </c>
      <c r="AN15" t="s">
        <v>323</v>
      </c>
      <c r="AO15" t="s">
        <v>324</v>
      </c>
      <c r="AP15" t="s">
        <v>74</v>
      </c>
      <c r="AQ15" t="s">
        <v>74</v>
      </c>
      <c r="AR15" t="s">
        <v>325</v>
      </c>
      <c r="AS15" t="s">
        <v>326</v>
      </c>
      <c r="AT15" t="s">
        <v>327</v>
      </c>
      <c r="AU15">
        <v>2020</v>
      </c>
      <c r="AV15">
        <v>10</v>
      </c>
      <c r="AW15">
        <v>1</v>
      </c>
      <c r="AX15" t="s">
        <v>74</v>
      </c>
      <c r="AY15" t="s">
        <v>74</v>
      </c>
      <c r="AZ15" t="s">
        <v>74</v>
      </c>
      <c r="BA15" t="s">
        <v>74</v>
      </c>
      <c r="BB15" t="s">
        <v>74</v>
      </c>
      <c r="BC15" t="s">
        <v>74</v>
      </c>
      <c r="BD15">
        <v>19359</v>
      </c>
      <c r="BE15" t="s">
        <v>414</v>
      </c>
      <c r="BF15" t="str">
        <f>HYPERLINK("http://dx.doi.org/10.1038/s41598-020-75445-3","http://dx.doi.org/10.1038/s41598-020-75445-3")</f>
        <v>http://dx.doi.org/10.1038/s41598-020-75445-3</v>
      </c>
      <c r="BG15" t="s">
        <v>74</v>
      </c>
      <c r="BH15" t="s">
        <v>74</v>
      </c>
      <c r="BI15">
        <v>15</v>
      </c>
      <c r="BJ15" t="s">
        <v>329</v>
      </c>
      <c r="BK15" t="s">
        <v>100</v>
      </c>
      <c r="BL15" t="s">
        <v>330</v>
      </c>
      <c r="BM15" t="s">
        <v>415</v>
      </c>
      <c r="BN15">
        <v>33168858</v>
      </c>
      <c r="BO15" t="s">
        <v>416</v>
      </c>
      <c r="BP15" t="s">
        <v>417</v>
      </c>
      <c r="BQ15" t="s">
        <v>418</v>
      </c>
      <c r="BR15" t="s">
        <v>104</v>
      </c>
      <c r="BS15" t="s">
        <v>419</v>
      </c>
      <c r="BT15" t="str">
        <f>HYPERLINK("https%3A%2F%2Fwww.webofscience.com%2Fwos%2Fwoscc%2Ffull-record%2FWOS:000594628800021","View Full Record in Web of Science")</f>
        <v>View Full Record in Web of Science</v>
      </c>
    </row>
    <row r="16" spans="1:72" x14ac:dyDescent="0.15">
      <c r="A16" t="s">
        <v>72</v>
      </c>
      <c r="B16" t="s">
        <v>420</v>
      </c>
      <c r="C16" t="s">
        <v>74</v>
      </c>
      <c r="D16" t="s">
        <v>74</v>
      </c>
      <c r="E16" t="s">
        <v>74</v>
      </c>
      <c r="F16" t="s">
        <v>421</v>
      </c>
      <c r="G16" t="s">
        <v>74</v>
      </c>
      <c r="H16" t="s">
        <v>74</v>
      </c>
      <c r="I16" t="s">
        <v>422</v>
      </c>
      <c r="J16" t="s">
        <v>423</v>
      </c>
      <c r="K16" t="s">
        <v>74</v>
      </c>
      <c r="L16" t="s">
        <v>74</v>
      </c>
      <c r="M16" t="s">
        <v>78</v>
      </c>
      <c r="N16" t="s">
        <v>79</v>
      </c>
      <c r="O16" t="s">
        <v>74</v>
      </c>
      <c r="P16" t="s">
        <v>74</v>
      </c>
      <c r="Q16" t="s">
        <v>74</v>
      </c>
      <c r="R16" t="s">
        <v>74</v>
      </c>
      <c r="S16" t="s">
        <v>74</v>
      </c>
      <c r="T16" t="s">
        <v>424</v>
      </c>
      <c r="U16" t="s">
        <v>425</v>
      </c>
      <c r="V16" t="s">
        <v>426</v>
      </c>
      <c r="W16" t="s">
        <v>427</v>
      </c>
      <c r="X16" t="s">
        <v>428</v>
      </c>
      <c r="Y16" t="s">
        <v>429</v>
      </c>
      <c r="Z16" t="s">
        <v>430</v>
      </c>
      <c r="AA16" t="s">
        <v>74</v>
      </c>
      <c r="AB16" t="s">
        <v>74</v>
      </c>
      <c r="AC16" t="s">
        <v>431</v>
      </c>
      <c r="AD16" t="s">
        <v>431</v>
      </c>
      <c r="AE16" t="s">
        <v>432</v>
      </c>
      <c r="AF16" t="s">
        <v>74</v>
      </c>
      <c r="AG16">
        <v>43</v>
      </c>
      <c r="AH16">
        <v>10</v>
      </c>
      <c r="AI16">
        <v>11</v>
      </c>
      <c r="AJ16">
        <v>3</v>
      </c>
      <c r="AK16">
        <v>19</v>
      </c>
      <c r="AL16" t="s">
        <v>194</v>
      </c>
      <c r="AM16" t="s">
        <v>123</v>
      </c>
      <c r="AN16" t="s">
        <v>195</v>
      </c>
      <c r="AO16" t="s">
        <v>433</v>
      </c>
      <c r="AP16" t="s">
        <v>434</v>
      </c>
      <c r="AQ16" t="s">
        <v>74</v>
      </c>
      <c r="AR16" t="s">
        <v>435</v>
      </c>
      <c r="AS16" t="s">
        <v>436</v>
      </c>
      <c r="AT16" t="s">
        <v>437</v>
      </c>
      <c r="AU16">
        <v>2021</v>
      </c>
      <c r="AV16">
        <v>27</v>
      </c>
      <c r="AW16">
        <v>2</v>
      </c>
      <c r="AX16" t="s">
        <v>74</v>
      </c>
      <c r="AY16" t="s">
        <v>74</v>
      </c>
      <c r="AZ16" t="s">
        <v>74</v>
      </c>
      <c r="BA16" t="s">
        <v>74</v>
      </c>
      <c r="BB16">
        <v>327</v>
      </c>
      <c r="BC16">
        <v>341</v>
      </c>
      <c r="BD16" t="s">
        <v>74</v>
      </c>
      <c r="BE16" t="s">
        <v>438</v>
      </c>
      <c r="BF16" t="str">
        <f>HYPERLINK("http://dx.doi.org/10.1111/anu.13187","http://dx.doi.org/10.1111/anu.13187")</f>
        <v>http://dx.doi.org/10.1111/anu.13187</v>
      </c>
      <c r="BG16" t="s">
        <v>74</v>
      </c>
      <c r="BH16" t="s">
        <v>228</v>
      </c>
      <c r="BI16">
        <v>15</v>
      </c>
      <c r="BJ16" t="s">
        <v>439</v>
      </c>
      <c r="BK16" t="s">
        <v>100</v>
      </c>
      <c r="BL16" t="s">
        <v>439</v>
      </c>
      <c r="BM16" t="s">
        <v>440</v>
      </c>
      <c r="BN16" t="s">
        <v>74</v>
      </c>
      <c r="BO16" t="s">
        <v>202</v>
      </c>
      <c r="BP16" t="s">
        <v>74</v>
      </c>
      <c r="BQ16" t="s">
        <v>74</v>
      </c>
      <c r="BR16" t="s">
        <v>104</v>
      </c>
      <c r="BS16" t="s">
        <v>441</v>
      </c>
      <c r="BT16" t="str">
        <f>HYPERLINK("https%3A%2F%2Fwww.webofscience.com%2Fwos%2Fwoscc%2Ffull-record%2FWOS:000587320400001","View Full Record in Web of Science")</f>
        <v>View Full Record in Web of Science</v>
      </c>
    </row>
    <row r="17" spans="1:72" x14ac:dyDescent="0.15">
      <c r="A17" t="s">
        <v>72</v>
      </c>
      <c r="B17" t="s">
        <v>442</v>
      </c>
      <c r="C17" t="s">
        <v>74</v>
      </c>
      <c r="D17" t="s">
        <v>74</v>
      </c>
      <c r="E17" t="s">
        <v>74</v>
      </c>
      <c r="F17" t="s">
        <v>443</v>
      </c>
      <c r="G17" t="s">
        <v>74</v>
      </c>
      <c r="H17" t="s">
        <v>74</v>
      </c>
      <c r="I17" t="s">
        <v>444</v>
      </c>
      <c r="J17" t="s">
        <v>445</v>
      </c>
      <c r="K17" t="s">
        <v>74</v>
      </c>
      <c r="L17" t="s">
        <v>74</v>
      </c>
      <c r="M17" t="s">
        <v>78</v>
      </c>
      <c r="N17" t="s">
        <v>79</v>
      </c>
      <c r="O17" t="s">
        <v>74</v>
      </c>
      <c r="P17" t="s">
        <v>74</v>
      </c>
      <c r="Q17" t="s">
        <v>74</v>
      </c>
      <c r="R17" t="s">
        <v>74</v>
      </c>
      <c r="S17" t="s">
        <v>74</v>
      </c>
      <c r="T17" t="s">
        <v>446</v>
      </c>
      <c r="U17" t="s">
        <v>447</v>
      </c>
      <c r="V17" t="s">
        <v>448</v>
      </c>
      <c r="W17" t="s">
        <v>449</v>
      </c>
      <c r="X17" t="s">
        <v>450</v>
      </c>
      <c r="Y17" t="s">
        <v>451</v>
      </c>
      <c r="Z17" t="s">
        <v>452</v>
      </c>
      <c r="AA17" t="s">
        <v>453</v>
      </c>
      <c r="AB17" t="s">
        <v>454</v>
      </c>
      <c r="AC17" t="s">
        <v>455</v>
      </c>
      <c r="AD17" t="s">
        <v>456</v>
      </c>
      <c r="AE17" t="s">
        <v>457</v>
      </c>
      <c r="AF17" t="s">
        <v>74</v>
      </c>
      <c r="AG17">
        <v>146</v>
      </c>
      <c r="AH17">
        <v>21</v>
      </c>
      <c r="AI17">
        <v>22</v>
      </c>
      <c r="AJ17">
        <v>4</v>
      </c>
      <c r="AK17">
        <v>35</v>
      </c>
      <c r="AL17" t="s">
        <v>219</v>
      </c>
      <c r="AM17" t="s">
        <v>220</v>
      </c>
      <c r="AN17" t="s">
        <v>221</v>
      </c>
      <c r="AO17" t="s">
        <v>458</v>
      </c>
      <c r="AP17" t="s">
        <v>459</v>
      </c>
      <c r="AQ17" t="s">
        <v>74</v>
      </c>
      <c r="AR17" t="s">
        <v>460</v>
      </c>
      <c r="AS17" t="s">
        <v>461</v>
      </c>
      <c r="AT17" t="s">
        <v>462</v>
      </c>
      <c r="AU17">
        <v>2021</v>
      </c>
      <c r="AV17">
        <v>22</v>
      </c>
      <c r="AW17">
        <v>2</v>
      </c>
      <c r="AX17" t="s">
        <v>74</v>
      </c>
      <c r="AY17" t="s">
        <v>74</v>
      </c>
      <c r="AZ17" t="s">
        <v>74</v>
      </c>
      <c r="BA17" t="s">
        <v>74</v>
      </c>
      <c r="BB17">
        <v>356</v>
      </c>
      <c r="BC17">
        <v>376</v>
      </c>
      <c r="BD17" t="s">
        <v>74</v>
      </c>
      <c r="BE17" t="s">
        <v>463</v>
      </c>
      <c r="BF17" t="str">
        <f>HYPERLINK("http://dx.doi.org/10.1111/faf.12523","http://dx.doi.org/10.1111/faf.12523")</f>
        <v>http://dx.doi.org/10.1111/faf.12523</v>
      </c>
      <c r="BG17" t="s">
        <v>74</v>
      </c>
      <c r="BH17" t="s">
        <v>228</v>
      </c>
      <c r="BI17">
        <v>21</v>
      </c>
      <c r="BJ17" t="s">
        <v>439</v>
      </c>
      <c r="BK17" t="s">
        <v>100</v>
      </c>
      <c r="BL17" t="s">
        <v>439</v>
      </c>
      <c r="BM17" t="s">
        <v>464</v>
      </c>
      <c r="BN17" t="s">
        <v>74</v>
      </c>
      <c r="BO17" t="s">
        <v>74</v>
      </c>
      <c r="BP17" t="s">
        <v>74</v>
      </c>
      <c r="BQ17" t="s">
        <v>74</v>
      </c>
      <c r="BR17" t="s">
        <v>104</v>
      </c>
      <c r="BS17" t="s">
        <v>465</v>
      </c>
      <c r="BT17" t="str">
        <f>HYPERLINK("https%3A%2F%2Fwww.webofscience.com%2Fwos%2Fwoscc%2Ffull-record%2FWOS:000587151900001","View Full Record in Web of Science")</f>
        <v>View Full Record in Web of Science</v>
      </c>
    </row>
    <row r="18" spans="1:72" x14ac:dyDescent="0.15">
      <c r="A18" t="s">
        <v>72</v>
      </c>
      <c r="B18" t="s">
        <v>466</v>
      </c>
      <c r="C18" t="s">
        <v>74</v>
      </c>
      <c r="D18" t="s">
        <v>74</v>
      </c>
      <c r="E18" t="s">
        <v>74</v>
      </c>
      <c r="F18" t="s">
        <v>467</v>
      </c>
      <c r="G18" t="s">
        <v>74</v>
      </c>
      <c r="H18" t="s">
        <v>74</v>
      </c>
      <c r="I18" t="s">
        <v>468</v>
      </c>
      <c r="J18" t="s">
        <v>469</v>
      </c>
      <c r="K18" t="s">
        <v>74</v>
      </c>
      <c r="L18" t="s">
        <v>74</v>
      </c>
      <c r="M18" t="s">
        <v>78</v>
      </c>
      <c r="N18" t="s">
        <v>79</v>
      </c>
      <c r="O18" t="s">
        <v>74</v>
      </c>
      <c r="P18" t="s">
        <v>74</v>
      </c>
      <c r="Q18" t="s">
        <v>74</v>
      </c>
      <c r="R18" t="s">
        <v>74</v>
      </c>
      <c r="S18" t="s">
        <v>74</v>
      </c>
      <c r="T18" t="s">
        <v>470</v>
      </c>
      <c r="U18" t="s">
        <v>471</v>
      </c>
      <c r="V18" t="s">
        <v>472</v>
      </c>
      <c r="W18" t="s">
        <v>473</v>
      </c>
      <c r="X18" t="s">
        <v>474</v>
      </c>
      <c r="Y18" t="s">
        <v>475</v>
      </c>
      <c r="Z18" t="s">
        <v>476</v>
      </c>
      <c r="AA18" t="s">
        <v>477</v>
      </c>
      <c r="AB18" t="s">
        <v>478</v>
      </c>
      <c r="AC18" t="s">
        <v>479</v>
      </c>
      <c r="AD18" t="s">
        <v>480</v>
      </c>
      <c r="AE18" t="s">
        <v>481</v>
      </c>
      <c r="AF18" t="s">
        <v>74</v>
      </c>
      <c r="AG18">
        <v>60</v>
      </c>
      <c r="AH18">
        <v>26</v>
      </c>
      <c r="AI18">
        <v>26</v>
      </c>
      <c r="AJ18">
        <v>2</v>
      </c>
      <c r="AK18">
        <v>21</v>
      </c>
      <c r="AL18" t="s">
        <v>482</v>
      </c>
      <c r="AM18" t="s">
        <v>483</v>
      </c>
      <c r="AN18" t="s">
        <v>484</v>
      </c>
      <c r="AO18" t="s">
        <v>485</v>
      </c>
      <c r="AP18" t="s">
        <v>486</v>
      </c>
      <c r="AQ18" t="s">
        <v>74</v>
      </c>
      <c r="AR18" t="s">
        <v>487</v>
      </c>
      <c r="AS18" t="s">
        <v>488</v>
      </c>
      <c r="AT18" t="s">
        <v>226</v>
      </c>
      <c r="AU18">
        <v>2021</v>
      </c>
      <c r="AV18">
        <v>82</v>
      </c>
      <c r="AW18">
        <v>1</v>
      </c>
      <c r="AX18" t="s">
        <v>74</v>
      </c>
      <c r="AY18" t="s">
        <v>74</v>
      </c>
      <c r="AZ18" t="s">
        <v>489</v>
      </c>
      <c r="BA18" t="s">
        <v>74</v>
      </c>
      <c r="BB18">
        <v>165</v>
      </c>
      <c r="BC18">
        <v>172</v>
      </c>
      <c r="BD18" t="s">
        <v>74</v>
      </c>
      <c r="BE18" t="s">
        <v>490</v>
      </c>
      <c r="BF18" t="str">
        <f>HYPERLINK("http://dx.doi.org/10.1007/s00248-020-01627-1","http://dx.doi.org/10.1007/s00248-020-01627-1")</f>
        <v>http://dx.doi.org/10.1007/s00248-020-01627-1</v>
      </c>
      <c r="BG18" t="s">
        <v>74</v>
      </c>
      <c r="BH18" t="s">
        <v>228</v>
      </c>
      <c r="BI18">
        <v>8</v>
      </c>
      <c r="BJ18" t="s">
        <v>491</v>
      </c>
      <c r="BK18" t="s">
        <v>100</v>
      </c>
      <c r="BL18" t="s">
        <v>492</v>
      </c>
      <c r="BM18" t="s">
        <v>493</v>
      </c>
      <c r="BN18">
        <v>33161522</v>
      </c>
      <c r="BO18" t="s">
        <v>376</v>
      </c>
      <c r="BP18" t="s">
        <v>74</v>
      </c>
      <c r="BQ18" t="s">
        <v>74</v>
      </c>
      <c r="BR18" t="s">
        <v>104</v>
      </c>
      <c r="BS18" t="s">
        <v>494</v>
      </c>
      <c r="BT18" t="str">
        <f>HYPERLINK("https%3A%2F%2Fwww.webofscience.com%2Fwos%2Fwoscc%2Ffull-record%2FWOS:000587610800002","View Full Record in Web of Science")</f>
        <v>View Full Record in Web of Science</v>
      </c>
    </row>
    <row r="19" spans="1:72" x14ac:dyDescent="0.15">
      <c r="A19" t="s">
        <v>72</v>
      </c>
      <c r="B19" t="s">
        <v>495</v>
      </c>
      <c r="C19" t="s">
        <v>74</v>
      </c>
      <c r="D19" t="s">
        <v>74</v>
      </c>
      <c r="E19" t="s">
        <v>74</v>
      </c>
      <c r="F19" t="s">
        <v>496</v>
      </c>
      <c r="G19" t="s">
        <v>74</v>
      </c>
      <c r="H19" t="s">
        <v>74</v>
      </c>
      <c r="I19" t="s">
        <v>497</v>
      </c>
      <c r="J19" t="s">
        <v>309</v>
      </c>
      <c r="K19" t="s">
        <v>74</v>
      </c>
      <c r="L19" t="s">
        <v>74</v>
      </c>
      <c r="M19" t="s">
        <v>78</v>
      </c>
      <c r="N19" t="s">
        <v>79</v>
      </c>
      <c r="O19" t="s">
        <v>74</v>
      </c>
      <c r="P19" t="s">
        <v>74</v>
      </c>
      <c r="Q19" t="s">
        <v>74</v>
      </c>
      <c r="R19" t="s">
        <v>74</v>
      </c>
      <c r="S19" t="s">
        <v>74</v>
      </c>
      <c r="T19" t="s">
        <v>74</v>
      </c>
      <c r="U19" t="s">
        <v>498</v>
      </c>
      <c r="V19" t="s">
        <v>499</v>
      </c>
      <c r="W19" t="s">
        <v>500</v>
      </c>
      <c r="X19" t="s">
        <v>501</v>
      </c>
      <c r="Y19" t="s">
        <v>502</v>
      </c>
      <c r="Z19" t="s">
        <v>503</v>
      </c>
      <c r="AA19" t="s">
        <v>504</v>
      </c>
      <c r="AB19" t="s">
        <v>505</v>
      </c>
      <c r="AC19" t="s">
        <v>506</v>
      </c>
      <c r="AD19" t="s">
        <v>507</v>
      </c>
      <c r="AE19" t="s">
        <v>508</v>
      </c>
      <c r="AF19" t="s">
        <v>74</v>
      </c>
      <c r="AG19">
        <v>75</v>
      </c>
      <c r="AH19">
        <v>8</v>
      </c>
      <c r="AI19">
        <v>8</v>
      </c>
      <c r="AJ19">
        <v>0</v>
      </c>
      <c r="AK19">
        <v>17</v>
      </c>
      <c r="AL19" t="s">
        <v>413</v>
      </c>
      <c r="AM19" t="s">
        <v>322</v>
      </c>
      <c r="AN19" t="s">
        <v>323</v>
      </c>
      <c r="AO19" t="s">
        <v>324</v>
      </c>
      <c r="AP19" t="s">
        <v>74</v>
      </c>
      <c r="AQ19" t="s">
        <v>74</v>
      </c>
      <c r="AR19" t="s">
        <v>325</v>
      </c>
      <c r="AS19" t="s">
        <v>326</v>
      </c>
      <c r="AT19" t="s">
        <v>509</v>
      </c>
      <c r="AU19">
        <v>2020</v>
      </c>
      <c r="AV19">
        <v>10</v>
      </c>
      <c r="AW19">
        <v>1</v>
      </c>
      <c r="AX19" t="s">
        <v>74</v>
      </c>
      <c r="AY19" t="s">
        <v>74</v>
      </c>
      <c r="AZ19" t="s">
        <v>74</v>
      </c>
      <c r="BA19" t="s">
        <v>74</v>
      </c>
      <c r="BB19" t="s">
        <v>74</v>
      </c>
      <c r="BC19" t="s">
        <v>74</v>
      </c>
      <c r="BD19">
        <v>19262</v>
      </c>
      <c r="BE19" t="s">
        <v>510</v>
      </c>
      <c r="BF19" t="str">
        <f>HYPERLINK("http://dx.doi.org/10.1038/s41598-020-76293-x","http://dx.doi.org/10.1038/s41598-020-76293-x")</f>
        <v>http://dx.doi.org/10.1038/s41598-020-76293-x</v>
      </c>
      <c r="BG19" t="s">
        <v>74</v>
      </c>
      <c r="BH19" t="s">
        <v>74</v>
      </c>
      <c r="BI19">
        <v>13</v>
      </c>
      <c r="BJ19" t="s">
        <v>329</v>
      </c>
      <c r="BK19" t="s">
        <v>100</v>
      </c>
      <c r="BL19" t="s">
        <v>330</v>
      </c>
      <c r="BM19" t="s">
        <v>511</v>
      </c>
      <c r="BN19">
        <v>33159130</v>
      </c>
      <c r="BO19" t="s">
        <v>512</v>
      </c>
      <c r="BP19" t="s">
        <v>74</v>
      </c>
      <c r="BQ19" t="s">
        <v>74</v>
      </c>
      <c r="BR19" t="s">
        <v>104</v>
      </c>
      <c r="BS19" t="s">
        <v>513</v>
      </c>
      <c r="BT19" t="str">
        <f>HYPERLINK("https%3A%2F%2Fwww.webofscience.com%2Fwos%2Fwoscc%2Ffull-record%2FWOS:000591306700011","View Full Record in Web of Science")</f>
        <v>View Full Record in Web of Science</v>
      </c>
    </row>
    <row r="20" spans="1:72" x14ac:dyDescent="0.15">
      <c r="A20" t="s">
        <v>72</v>
      </c>
      <c r="B20" t="s">
        <v>514</v>
      </c>
      <c r="C20" t="s">
        <v>74</v>
      </c>
      <c r="D20" t="s">
        <v>74</v>
      </c>
      <c r="E20" t="s">
        <v>74</v>
      </c>
      <c r="F20" t="s">
        <v>515</v>
      </c>
      <c r="G20" t="s">
        <v>74</v>
      </c>
      <c r="H20" t="s">
        <v>74</v>
      </c>
      <c r="I20" t="s">
        <v>516</v>
      </c>
      <c r="J20" t="s">
        <v>517</v>
      </c>
      <c r="K20" t="s">
        <v>74</v>
      </c>
      <c r="L20" t="s">
        <v>74</v>
      </c>
      <c r="M20" t="s">
        <v>78</v>
      </c>
      <c r="N20" t="s">
        <v>79</v>
      </c>
      <c r="O20" t="s">
        <v>74</v>
      </c>
      <c r="P20" t="s">
        <v>74</v>
      </c>
      <c r="Q20" t="s">
        <v>74</v>
      </c>
      <c r="R20" t="s">
        <v>74</v>
      </c>
      <c r="S20" t="s">
        <v>74</v>
      </c>
      <c r="T20" t="s">
        <v>74</v>
      </c>
      <c r="U20" t="s">
        <v>518</v>
      </c>
      <c r="V20" t="s">
        <v>519</v>
      </c>
      <c r="W20" t="s">
        <v>520</v>
      </c>
      <c r="X20" t="s">
        <v>521</v>
      </c>
      <c r="Y20" t="s">
        <v>522</v>
      </c>
      <c r="Z20" t="s">
        <v>523</v>
      </c>
      <c r="AA20" t="s">
        <v>524</v>
      </c>
      <c r="AB20" t="s">
        <v>525</v>
      </c>
      <c r="AC20" t="s">
        <v>526</v>
      </c>
      <c r="AD20" t="s">
        <v>527</v>
      </c>
      <c r="AE20" t="s">
        <v>528</v>
      </c>
      <c r="AF20" t="s">
        <v>74</v>
      </c>
      <c r="AG20">
        <v>105</v>
      </c>
      <c r="AH20">
        <v>16</v>
      </c>
      <c r="AI20">
        <v>16</v>
      </c>
      <c r="AJ20">
        <v>1</v>
      </c>
      <c r="AK20">
        <v>12</v>
      </c>
      <c r="AL20" t="s">
        <v>91</v>
      </c>
      <c r="AM20" t="s">
        <v>92</v>
      </c>
      <c r="AN20" t="s">
        <v>93</v>
      </c>
      <c r="AO20" t="s">
        <v>529</v>
      </c>
      <c r="AP20" t="s">
        <v>530</v>
      </c>
      <c r="AQ20" t="s">
        <v>74</v>
      </c>
      <c r="AR20" t="s">
        <v>531</v>
      </c>
      <c r="AS20" t="s">
        <v>532</v>
      </c>
      <c r="AT20" t="s">
        <v>509</v>
      </c>
      <c r="AU20">
        <v>2020</v>
      </c>
      <c r="AV20">
        <v>11</v>
      </c>
      <c r="AW20">
        <v>4</v>
      </c>
      <c r="AX20" t="s">
        <v>74</v>
      </c>
      <c r="AY20" t="s">
        <v>74</v>
      </c>
      <c r="AZ20" t="s">
        <v>74</v>
      </c>
      <c r="BA20" t="s">
        <v>74</v>
      </c>
      <c r="BB20">
        <v>953</v>
      </c>
      <c r="BC20">
        <v>976</v>
      </c>
      <c r="BD20" t="s">
        <v>74</v>
      </c>
      <c r="BE20" t="s">
        <v>533</v>
      </c>
      <c r="BF20" t="str">
        <f>HYPERLINK("http://dx.doi.org/10.5194/esd-11-953-2020","http://dx.doi.org/10.5194/esd-11-953-2020")</f>
        <v>http://dx.doi.org/10.5194/esd-11-953-2020</v>
      </c>
      <c r="BG20" t="s">
        <v>74</v>
      </c>
      <c r="BH20" t="s">
        <v>74</v>
      </c>
      <c r="BI20">
        <v>24</v>
      </c>
      <c r="BJ20" t="s">
        <v>534</v>
      </c>
      <c r="BK20" t="s">
        <v>100</v>
      </c>
      <c r="BL20" t="s">
        <v>535</v>
      </c>
      <c r="BM20" t="s">
        <v>536</v>
      </c>
      <c r="BN20" t="s">
        <v>74</v>
      </c>
      <c r="BO20" t="s">
        <v>350</v>
      </c>
      <c r="BP20" t="s">
        <v>74</v>
      </c>
      <c r="BQ20" t="s">
        <v>74</v>
      </c>
      <c r="BR20" t="s">
        <v>104</v>
      </c>
      <c r="BS20" t="s">
        <v>537</v>
      </c>
      <c r="BT20" t="str">
        <f>HYPERLINK("https%3A%2F%2Fwww.webofscience.com%2Fwos%2Fwoscc%2Ffull-record%2FWOS:000589408200001","View Full Record in Web of Science")</f>
        <v>View Full Record in Web of Science</v>
      </c>
    </row>
    <row r="21" spans="1:72" x14ac:dyDescent="0.15">
      <c r="A21" t="s">
        <v>72</v>
      </c>
      <c r="B21" t="s">
        <v>538</v>
      </c>
      <c r="C21" t="s">
        <v>74</v>
      </c>
      <c r="D21" t="s">
        <v>74</v>
      </c>
      <c r="E21" t="s">
        <v>74</v>
      </c>
      <c r="F21" t="s">
        <v>539</v>
      </c>
      <c r="G21" t="s">
        <v>74</v>
      </c>
      <c r="H21" t="s">
        <v>74</v>
      </c>
      <c r="I21" t="s">
        <v>540</v>
      </c>
      <c r="J21" t="s">
        <v>541</v>
      </c>
      <c r="K21" t="s">
        <v>74</v>
      </c>
      <c r="L21" t="s">
        <v>74</v>
      </c>
      <c r="M21" t="s">
        <v>78</v>
      </c>
      <c r="N21" t="s">
        <v>79</v>
      </c>
      <c r="O21" t="s">
        <v>74</v>
      </c>
      <c r="P21" t="s">
        <v>74</v>
      </c>
      <c r="Q21" t="s">
        <v>74</v>
      </c>
      <c r="R21" t="s">
        <v>74</v>
      </c>
      <c r="S21" t="s">
        <v>74</v>
      </c>
      <c r="T21" t="s">
        <v>542</v>
      </c>
      <c r="U21" t="s">
        <v>543</v>
      </c>
      <c r="V21" t="s">
        <v>544</v>
      </c>
      <c r="W21" t="s">
        <v>545</v>
      </c>
      <c r="X21" t="s">
        <v>546</v>
      </c>
      <c r="Y21" t="s">
        <v>547</v>
      </c>
      <c r="Z21" t="s">
        <v>548</v>
      </c>
      <c r="AA21" t="s">
        <v>549</v>
      </c>
      <c r="AB21" t="s">
        <v>550</v>
      </c>
      <c r="AC21" t="s">
        <v>551</v>
      </c>
      <c r="AD21" t="s">
        <v>552</v>
      </c>
      <c r="AE21" t="s">
        <v>553</v>
      </c>
      <c r="AF21" t="s">
        <v>74</v>
      </c>
      <c r="AG21">
        <v>102</v>
      </c>
      <c r="AH21">
        <v>6</v>
      </c>
      <c r="AI21">
        <v>6</v>
      </c>
      <c r="AJ21">
        <v>2</v>
      </c>
      <c r="AK21">
        <v>13</v>
      </c>
      <c r="AL21" t="s">
        <v>482</v>
      </c>
      <c r="AM21" t="s">
        <v>554</v>
      </c>
      <c r="AN21" t="s">
        <v>555</v>
      </c>
      <c r="AO21" t="s">
        <v>556</v>
      </c>
      <c r="AP21" t="s">
        <v>557</v>
      </c>
      <c r="AQ21" t="s">
        <v>74</v>
      </c>
      <c r="AR21" t="s">
        <v>558</v>
      </c>
      <c r="AS21" t="s">
        <v>559</v>
      </c>
      <c r="AT21" t="s">
        <v>509</v>
      </c>
      <c r="AU21">
        <v>2020</v>
      </c>
      <c r="AV21">
        <v>22</v>
      </c>
      <c r="AW21">
        <v>11</v>
      </c>
      <c r="AX21" t="s">
        <v>74</v>
      </c>
      <c r="AY21" t="s">
        <v>74</v>
      </c>
      <c r="AZ21" t="s">
        <v>74</v>
      </c>
      <c r="BA21" t="s">
        <v>74</v>
      </c>
      <c r="BB21" t="s">
        <v>74</v>
      </c>
      <c r="BC21" t="s">
        <v>74</v>
      </c>
      <c r="BD21">
        <v>344</v>
      </c>
      <c r="BE21" t="s">
        <v>560</v>
      </c>
      <c r="BF21" t="str">
        <f>HYPERLINK("http://dx.doi.org/10.1007/s11051-020-05075-3","http://dx.doi.org/10.1007/s11051-020-05075-3")</f>
        <v>http://dx.doi.org/10.1007/s11051-020-05075-3</v>
      </c>
      <c r="BG21" t="s">
        <v>74</v>
      </c>
      <c r="BH21" t="s">
        <v>74</v>
      </c>
      <c r="BI21">
        <v>17</v>
      </c>
      <c r="BJ21" t="s">
        <v>561</v>
      </c>
      <c r="BK21" t="s">
        <v>100</v>
      </c>
      <c r="BL21" t="s">
        <v>562</v>
      </c>
      <c r="BM21" t="s">
        <v>563</v>
      </c>
      <c r="BN21" t="s">
        <v>74</v>
      </c>
      <c r="BO21" t="s">
        <v>564</v>
      </c>
      <c r="BP21" t="s">
        <v>74</v>
      </c>
      <c r="BQ21" t="s">
        <v>74</v>
      </c>
      <c r="BR21" t="s">
        <v>104</v>
      </c>
      <c r="BS21" t="s">
        <v>565</v>
      </c>
      <c r="BT21" t="str">
        <f>HYPERLINK("https%3A%2F%2Fwww.webofscience.com%2Fwos%2Fwoscc%2Ffull-record%2FWOS:000587116100001","View Full Record in Web of Science")</f>
        <v>View Full Record in Web of Science</v>
      </c>
    </row>
    <row r="22" spans="1:72" x14ac:dyDescent="0.15">
      <c r="A22" t="s">
        <v>72</v>
      </c>
      <c r="B22" t="s">
        <v>566</v>
      </c>
      <c r="C22" t="s">
        <v>74</v>
      </c>
      <c r="D22" t="s">
        <v>74</v>
      </c>
      <c r="E22" t="s">
        <v>74</v>
      </c>
      <c r="F22" t="s">
        <v>567</v>
      </c>
      <c r="G22" t="s">
        <v>74</v>
      </c>
      <c r="H22" t="s">
        <v>74</v>
      </c>
      <c r="I22" t="s">
        <v>568</v>
      </c>
      <c r="J22" t="s">
        <v>569</v>
      </c>
      <c r="K22" t="s">
        <v>74</v>
      </c>
      <c r="L22" t="s">
        <v>74</v>
      </c>
      <c r="M22" t="s">
        <v>78</v>
      </c>
      <c r="N22" t="s">
        <v>138</v>
      </c>
      <c r="O22" t="s">
        <v>74</v>
      </c>
      <c r="P22" t="s">
        <v>74</v>
      </c>
      <c r="Q22" t="s">
        <v>74</v>
      </c>
      <c r="R22" t="s">
        <v>74</v>
      </c>
      <c r="S22" t="s">
        <v>74</v>
      </c>
      <c r="T22" t="s">
        <v>570</v>
      </c>
      <c r="U22" t="s">
        <v>571</v>
      </c>
      <c r="V22" t="s">
        <v>572</v>
      </c>
      <c r="W22" t="s">
        <v>573</v>
      </c>
      <c r="X22" t="s">
        <v>574</v>
      </c>
      <c r="Y22" t="s">
        <v>575</v>
      </c>
      <c r="Z22" t="s">
        <v>576</v>
      </c>
      <c r="AA22" t="s">
        <v>74</v>
      </c>
      <c r="AB22" t="s">
        <v>577</v>
      </c>
      <c r="AC22" t="s">
        <v>578</v>
      </c>
      <c r="AD22" t="s">
        <v>579</v>
      </c>
      <c r="AE22" t="s">
        <v>580</v>
      </c>
      <c r="AF22" t="s">
        <v>74</v>
      </c>
      <c r="AG22">
        <v>342</v>
      </c>
      <c r="AH22">
        <v>21</v>
      </c>
      <c r="AI22">
        <v>22</v>
      </c>
      <c r="AJ22">
        <v>3</v>
      </c>
      <c r="AK22">
        <v>13</v>
      </c>
      <c r="AL22" t="s">
        <v>581</v>
      </c>
      <c r="AM22" t="s">
        <v>582</v>
      </c>
      <c r="AN22" t="s">
        <v>583</v>
      </c>
      <c r="AO22" t="s">
        <v>584</v>
      </c>
      <c r="AP22" t="s">
        <v>585</v>
      </c>
      <c r="AQ22" t="s">
        <v>74</v>
      </c>
      <c r="AR22" t="s">
        <v>586</v>
      </c>
      <c r="AS22" t="s">
        <v>587</v>
      </c>
      <c r="AT22" t="s">
        <v>509</v>
      </c>
      <c r="AU22">
        <v>2020</v>
      </c>
      <c r="AV22">
        <v>50</v>
      </c>
      <c r="AW22">
        <v>6</v>
      </c>
      <c r="AX22" t="s">
        <v>74</v>
      </c>
      <c r="AY22" t="s">
        <v>74</v>
      </c>
      <c r="AZ22" t="s">
        <v>74</v>
      </c>
      <c r="BA22" t="s">
        <v>74</v>
      </c>
      <c r="BB22" t="s">
        <v>74</v>
      </c>
      <c r="BC22" t="s">
        <v>74</v>
      </c>
      <c r="BD22">
        <v>98</v>
      </c>
      <c r="BE22" t="s">
        <v>588</v>
      </c>
      <c r="BF22" t="str">
        <f>HYPERLINK("http://dx.doi.org/10.1007/s12526-020-01113-4","http://dx.doi.org/10.1007/s12526-020-01113-4")</f>
        <v>http://dx.doi.org/10.1007/s12526-020-01113-4</v>
      </c>
      <c r="BG22" t="s">
        <v>74</v>
      </c>
      <c r="BH22" t="s">
        <v>74</v>
      </c>
      <c r="BI22">
        <v>42</v>
      </c>
      <c r="BJ22" t="s">
        <v>589</v>
      </c>
      <c r="BK22" t="s">
        <v>100</v>
      </c>
      <c r="BL22" t="s">
        <v>590</v>
      </c>
      <c r="BM22" t="s">
        <v>591</v>
      </c>
      <c r="BN22" t="s">
        <v>74</v>
      </c>
      <c r="BO22" t="s">
        <v>74</v>
      </c>
      <c r="BP22" t="s">
        <v>74</v>
      </c>
      <c r="BQ22" t="s">
        <v>74</v>
      </c>
      <c r="BR22" t="s">
        <v>104</v>
      </c>
      <c r="BS22" t="s">
        <v>592</v>
      </c>
      <c r="BT22" t="str">
        <f>HYPERLINK("https%3A%2F%2Fwww.webofscience.com%2Fwos%2Fwoscc%2Ffull-record%2FWOS:000587116500001","View Full Record in Web of Science")</f>
        <v>View Full Record in Web of Science</v>
      </c>
    </row>
    <row r="23" spans="1:72" x14ac:dyDescent="0.15">
      <c r="A23" t="s">
        <v>72</v>
      </c>
      <c r="B23" t="s">
        <v>593</v>
      </c>
      <c r="C23" t="s">
        <v>74</v>
      </c>
      <c r="D23" t="s">
        <v>74</v>
      </c>
      <c r="E23" t="s">
        <v>74</v>
      </c>
      <c r="F23" t="s">
        <v>594</v>
      </c>
      <c r="G23" t="s">
        <v>74</v>
      </c>
      <c r="H23" t="s">
        <v>74</v>
      </c>
      <c r="I23" t="s">
        <v>595</v>
      </c>
      <c r="J23" t="s">
        <v>596</v>
      </c>
      <c r="K23" t="s">
        <v>74</v>
      </c>
      <c r="L23" t="s">
        <v>74</v>
      </c>
      <c r="M23" t="s">
        <v>78</v>
      </c>
      <c r="N23" t="s">
        <v>138</v>
      </c>
      <c r="O23" t="s">
        <v>74</v>
      </c>
      <c r="P23" t="s">
        <v>74</v>
      </c>
      <c r="Q23" t="s">
        <v>74</v>
      </c>
      <c r="R23" t="s">
        <v>74</v>
      </c>
      <c r="S23" t="s">
        <v>74</v>
      </c>
      <c r="T23" t="s">
        <v>74</v>
      </c>
      <c r="U23" t="s">
        <v>597</v>
      </c>
      <c r="V23" t="s">
        <v>598</v>
      </c>
      <c r="W23" t="s">
        <v>599</v>
      </c>
      <c r="X23" t="s">
        <v>600</v>
      </c>
      <c r="Y23" t="s">
        <v>601</v>
      </c>
      <c r="Z23" t="s">
        <v>602</v>
      </c>
      <c r="AA23" t="s">
        <v>603</v>
      </c>
      <c r="AB23" t="s">
        <v>604</v>
      </c>
      <c r="AC23" t="s">
        <v>605</v>
      </c>
      <c r="AD23" t="s">
        <v>606</v>
      </c>
      <c r="AE23" t="s">
        <v>607</v>
      </c>
      <c r="AF23" t="s">
        <v>74</v>
      </c>
      <c r="AG23">
        <v>112</v>
      </c>
      <c r="AH23">
        <v>232</v>
      </c>
      <c r="AI23">
        <v>266</v>
      </c>
      <c r="AJ23">
        <v>68</v>
      </c>
      <c r="AK23">
        <v>435</v>
      </c>
      <c r="AL23" t="s">
        <v>608</v>
      </c>
      <c r="AM23" t="s">
        <v>609</v>
      </c>
      <c r="AN23" t="s">
        <v>610</v>
      </c>
      <c r="AO23" t="s">
        <v>611</v>
      </c>
      <c r="AP23" t="s">
        <v>612</v>
      </c>
      <c r="AQ23" t="s">
        <v>74</v>
      </c>
      <c r="AR23" t="s">
        <v>596</v>
      </c>
      <c r="AS23" t="s">
        <v>613</v>
      </c>
      <c r="AT23" t="s">
        <v>509</v>
      </c>
      <c r="AU23">
        <v>2020</v>
      </c>
      <c r="AV23">
        <v>370</v>
      </c>
      <c r="AW23">
        <v>6517</v>
      </c>
      <c r="AX23" t="s">
        <v>74</v>
      </c>
      <c r="AY23" t="s">
        <v>74</v>
      </c>
      <c r="AZ23" t="s">
        <v>489</v>
      </c>
      <c r="BA23" t="s">
        <v>74</v>
      </c>
      <c r="BB23">
        <v>680</v>
      </c>
      <c r="BC23" t="s">
        <v>614</v>
      </c>
      <c r="BD23" t="s">
        <v>615</v>
      </c>
      <c r="BE23" t="s">
        <v>616</v>
      </c>
      <c r="BF23" t="str">
        <f>HYPERLINK("http://dx.doi.org/10.1126/science.aay3701","http://dx.doi.org/10.1126/science.aay3701")</f>
        <v>http://dx.doi.org/10.1126/science.aay3701</v>
      </c>
      <c r="BG23" t="s">
        <v>74</v>
      </c>
      <c r="BH23" t="s">
        <v>74</v>
      </c>
      <c r="BI23">
        <v>10</v>
      </c>
      <c r="BJ23" t="s">
        <v>329</v>
      </c>
      <c r="BK23" t="s">
        <v>100</v>
      </c>
      <c r="BL23" t="s">
        <v>330</v>
      </c>
      <c r="BM23" t="s">
        <v>617</v>
      </c>
      <c r="BN23">
        <v>33154110</v>
      </c>
      <c r="BO23" t="s">
        <v>618</v>
      </c>
      <c r="BP23" t="s">
        <v>417</v>
      </c>
      <c r="BQ23" t="s">
        <v>418</v>
      </c>
      <c r="BR23" t="s">
        <v>104</v>
      </c>
      <c r="BS23" t="s">
        <v>619</v>
      </c>
      <c r="BT23" t="str">
        <f>HYPERLINK("https%3A%2F%2Fwww.webofscience.com%2Fwos%2Fwoscc%2Ffull-record%2FWOS:000586868600034","View Full Record in Web of Science")</f>
        <v>View Full Record in Web of Science</v>
      </c>
    </row>
    <row r="24" spans="1:72" x14ac:dyDescent="0.15">
      <c r="A24" t="s">
        <v>72</v>
      </c>
      <c r="B24" t="s">
        <v>620</v>
      </c>
      <c r="C24" t="s">
        <v>74</v>
      </c>
      <c r="D24" t="s">
        <v>74</v>
      </c>
      <c r="E24" t="s">
        <v>74</v>
      </c>
      <c r="F24" t="s">
        <v>621</v>
      </c>
      <c r="G24" t="s">
        <v>74</v>
      </c>
      <c r="H24" t="s">
        <v>74</v>
      </c>
      <c r="I24" t="s">
        <v>622</v>
      </c>
      <c r="J24" t="s">
        <v>623</v>
      </c>
      <c r="K24" t="s">
        <v>74</v>
      </c>
      <c r="L24" t="s">
        <v>74</v>
      </c>
      <c r="M24" t="s">
        <v>78</v>
      </c>
      <c r="N24" t="s">
        <v>79</v>
      </c>
      <c r="O24" t="s">
        <v>74</v>
      </c>
      <c r="P24" t="s">
        <v>74</v>
      </c>
      <c r="Q24" t="s">
        <v>74</v>
      </c>
      <c r="R24" t="s">
        <v>74</v>
      </c>
      <c r="S24" t="s">
        <v>74</v>
      </c>
      <c r="T24" t="s">
        <v>624</v>
      </c>
      <c r="U24" t="s">
        <v>625</v>
      </c>
      <c r="V24" t="s">
        <v>626</v>
      </c>
      <c r="W24" t="s">
        <v>627</v>
      </c>
      <c r="X24" t="s">
        <v>628</v>
      </c>
      <c r="Y24" t="s">
        <v>629</v>
      </c>
      <c r="Z24" t="s">
        <v>630</v>
      </c>
      <c r="AA24" t="s">
        <v>74</v>
      </c>
      <c r="AB24" t="s">
        <v>631</v>
      </c>
      <c r="AC24" t="s">
        <v>632</v>
      </c>
      <c r="AD24" t="s">
        <v>633</v>
      </c>
      <c r="AE24" t="s">
        <v>634</v>
      </c>
      <c r="AF24" t="s">
        <v>74</v>
      </c>
      <c r="AG24">
        <v>101</v>
      </c>
      <c r="AH24">
        <v>3</v>
      </c>
      <c r="AI24">
        <v>3</v>
      </c>
      <c r="AJ24">
        <v>5</v>
      </c>
      <c r="AK24">
        <v>40</v>
      </c>
      <c r="AL24" t="s">
        <v>635</v>
      </c>
      <c r="AM24" t="s">
        <v>123</v>
      </c>
      <c r="AN24" t="s">
        <v>636</v>
      </c>
      <c r="AO24" t="s">
        <v>637</v>
      </c>
      <c r="AP24" t="s">
        <v>638</v>
      </c>
      <c r="AQ24" t="s">
        <v>74</v>
      </c>
      <c r="AR24" t="s">
        <v>639</v>
      </c>
      <c r="AS24" t="s">
        <v>640</v>
      </c>
      <c r="AT24" t="s">
        <v>641</v>
      </c>
      <c r="AU24">
        <v>2020</v>
      </c>
      <c r="AV24">
        <v>246</v>
      </c>
      <c r="AW24" t="s">
        <v>74</v>
      </c>
      <c r="AX24" t="s">
        <v>74</v>
      </c>
      <c r="AY24" t="s">
        <v>74</v>
      </c>
      <c r="AZ24" t="s">
        <v>74</v>
      </c>
      <c r="BA24" t="s">
        <v>74</v>
      </c>
      <c r="BB24" t="s">
        <v>74</v>
      </c>
      <c r="BC24" t="s">
        <v>74</v>
      </c>
      <c r="BD24">
        <v>107019</v>
      </c>
      <c r="BE24" t="s">
        <v>642</v>
      </c>
      <c r="BF24" t="str">
        <f>HYPERLINK("http://dx.doi.org/10.1016/j.ecss.2020.107019","http://dx.doi.org/10.1016/j.ecss.2020.107019")</f>
        <v>http://dx.doi.org/10.1016/j.ecss.2020.107019</v>
      </c>
      <c r="BG24" t="s">
        <v>74</v>
      </c>
      <c r="BH24" t="s">
        <v>74</v>
      </c>
      <c r="BI24">
        <v>10</v>
      </c>
      <c r="BJ24" t="s">
        <v>643</v>
      </c>
      <c r="BK24" t="s">
        <v>100</v>
      </c>
      <c r="BL24" t="s">
        <v>643</v>
      </c>
      <c r="BM24" t="s">
        <v>644</v>
      </c>
      <c r="BN24" t="s">
        <v>74</v>
      </c>
      <c r="BO24" t="s">
        <v>74</v>
      </c>
      <c r="BP24" t="s">
        <v>74</v>
      </c>
      <c r="BQ24" t="s">
        <v>74</v>
      </c>
      <c r="BR24" t="s">
        <v>104</v>
      </c>
      <c r="BS24" t="s">
        <v>645</v>
      </c>
      <c r="BT24" t="str">
        <f>HYPERLINK("https%3A%2F%2Fwww.webofscience.com%2Fwos%2Fwoscc%2Ffull-record%2FWOS:000591635300001","View Full Record in Web of Science")</f>
        <v>View Full Record in Web of Science</v>
      </c>
    </row>
    <row r="25" spans="1:72" x14ac:dyDescent="0.15">
      <c r="A25" t="s">
        <v>72</v>
      </c>
      <c r="B25" t="s">
        <v>646</v>
      </c>
      <c r="C25" t="s">
        <v>74</v>
      </c>
      <c r="D25" t="s">
        <v>74</v>
      </c>
      <c r="E25" t="s">
        <v>74</v>
      </c>
      <c r="F25" t="s">
        <v>647</v>
      </c>
      <c r="G25" t="s">
        <v>74</v>
      </c>
      <c r="H25" t="s">
        <v>74</v>
      </c>
      <c r="I25" t="s">
        <v>648</v>
      </c>
      <c r="J25" t="s">
        <v>77</v>
      </c>
      <c r="K25" t="s">
        <v>74</v>
      </c>
      <c r="L25" t="s">
        <v>74</v>
      </c>
      <c r="M25" t="s">
        <v>78</v>
      </c>
      <c r="N25" t="s">
        <v>79</v>
      </c>
      <c r="O25" t="s">
        <v>74</v>
      </c>
      <c r="P25" t="s">
        <v>74</v>
      </c>
      <c r="Q25" t="s">
        <v>74</v>
      </c>
      <c r="R25" t="s">
        <v>74</v>
      </c>
      <c r="S25" t="s">
        <v>74</v>
      </c>
      <c r="T25" t="s">
        <v>74</v>
      </c>
      <c r="U25" t="s">
        <v>649</v>
      </c>
      <c r="V25" t="s">
        <v>650</v>
      </c>
      <c r="W25" t="s">
        <v>651</v>
      </c>
      <c r="X25" t="s">
        <v>652</v>
      </c>
      <c r="Y25" t="s">
        <v>653</v>
      </c>
      <c r="Z25" t="s">
        <v>654</v>
      </c>
      <c r="AA25" t="s">
        <v>655</v>
      </c>
      <c r="AB25" t="s">
        <v>656</v>
      </c>
      <c r="AC25" t="s">
        <v>657</v>
      </c>
      <c r="AD25" t="s">
        <v>657</v>
      </c>
      <c r="AE25" t="s">
        <v>658</v>
      </c>
      <c r="AF25" t="s">
        <v>74</v>
      </c>
      <c r="AG25">
        <v>67</v>
      </c>
      <c r="AH25">
        <v>9</v>
      </c>
      <c r="AI25">
        <v>9</v>
      </c>
      <c r="AJ25">
        <v>1</v>
      </c>
      <c r="AK25">
        <v>9</v>
      </c>
      <c r="AL25" t="s">
        <v>91</v>
      </c>
      <c r="AM25" t="s">
        <v>92</v>
      </c>
      <c r="AN25" t="s">
        <v>93</v>
      </c>
      <c r="AO25" t="s">
        <v>94</v>
      </c>
      <c r="AP25" t="s">
        <v>95</v>
      </c>
      <c r="AQ25" t="s">
        <v>74</v>
      </c>
      <c r="AR25" t="s">
        <v>77</v>
      </c>
      <c r="AS25" t="s">
        <v>96</v>
      </c>
      <c r="AT25" t="s">
        <v>641</v>
      </c>
      <c r="AU25">
        <v>2020</v>
      </c>
      <c r="AV25">
        <v>14</v>
      </c>
      <c r="AW25">
        <v>11</v>
      </c>
      <c r="AX25" t="s">
        <v>74</v>
      </c>
      <c r="AY25" t="s">
        <v>74</v>
      </c>
      <c r="AZ25" t="s">
        <v>74</v>
      </c>
      <c r="BA25" t="s">
        <v>74</v>
      </c>
      <c r="BB25">
        <v>3663</v>
      </c>
      <c r="BC25">
        <v>3685</v>
      </c>
      <c r="BD25" t="s">
        <v>74</v>
      </c>
      <c r="BE25" t="s">
        <v>659</v>
      </c>
      <c r="BF25" t="str">
        <f>HYPERLINK("http://dx.doi.org/10.5194/tc-14-3663-2020","http://dx.doi.org/10.5194/tc-14-3663-2020")</f>
        <v>http://dx.doi.org/10.5194/tc-14-3663-2020</v>
      </c>
      <c r="BG25" t="s">
        <v>74</v>
      </c>
      <c r="BH25" t="s">
        <v>74</v>
      </c>
      <c r="BI25">
        <v>23</v>
      </c>
      <c r="BJ25" t="s">
        <v>99</v>
      </c>
      <c r="BK25" t="s">
        <v>100</v>
      </c>
      <c r="BL25" t="s">
        <v>101</v>
      </c>
      <c r="BM25" t="s">
        <v>660</v>
      </c>
      <c r="BN25" t="s">
        <v>74</v>
      </c>
      <c r="BO25" t="s">
        <v>350</v>
      </c>
      <c r="BP25" t="s">
        <v>74</v>
      </c>
      <c r="BQ25" t="s">
        <v>74</v>
      </c>
      <c r="BR25" t="s">
        <v>104</v>
      </c>
      <c r="BS25" t="s">
        <v>661</v>
      </c>
      <c r="BT25" t="str">
        <f>HYPERLINK("https%3A%2F%2Fwww.webofscience.com%2Fwos%2Fwoscc%2Ffull-record%2FWOS:000589361800001","View Full Record in Web of Science")</f>
        <v>View Full Record in Web of Science</v>
      </c>
    </row>
    <row r="26" spans="1:72" x14ac:dyDescent="0.15">
      <c r="A26" t="s">
        <v>72</v>
      </c>
      <c r="B26" t="s">
        <v>662</v>
      </c>
      <c r="C26" t="s">
        <v>74</v>
      </c>
      <c r="D26" t="s">
        <v>74</v>
      </c>
      <c r="E26" t="s">
        <v>74</v>
      </c>
      <c r="F26" t="s">
        <v>663</v>
      </c>
      <c r="G26" t="s">
        <v>74</v>
      </c>
      <c r="H26" t="s">
        <v>74</v>
      </c>
      <c r="I26" t="s">
        <v>664</v>
      </c>
      <c r="J26" t="s">
        <v>77</v>
      </c>
      <c r="K26" t="s">
        <v>74</v>
      </c>
      <c r="L26" t="s">
        <v>74</v>
      </c>
      <c r="M26" t="s">
        <v>78</v>
      </c>
      <c r="N26" t="s">
        <v>79</v>
      </c>
      <c r="O26" t="s">
        <v>74</v>
      </c>
      <c r="P26" t="s">
        <v>74</v>
      </c>
      <c r="Q26" t="s">
        <v>74</v>
      </c>
      <c r="R26" t="s">
        <v>74</v>
      </c>
      <c r="S26" t="s">
        <v>74</v>
      </c>
      <c r="T26" t="s">
        <v>74</v>
      </c>
      <c r="U26" t="s">
        <v>665</v>
      </c>
      <c r="V26" t="s">
        <v>666</v>
      </c>
      <c r="W26" t="s">
        <v>667</v>
      </c>
      <c r="X26" t="s">
        <v>668</v>
      </c>
      <c r="Y26" t="s">
        <v>669</v>
      </c>
      <c r="Z26" t="s">
        <v>670</v>
      </c>
      <c r="AA26" t="s">
        <v>671</v>
      </c>
      <c r="AB26" t="s">
        <v>672</v>
      </c>
      <c r="AC26" t="s">
        <v>673</v>
      </c>
      <c r="AD26" t="s">
        <v>674</v>
      </c>
      <c r="AE26" t="s">
        <v>675</v>
      </c>
      <c r="AF26" t="s">
        <v>74</v>
      </c>
      <c r="AG26">
        <v>88</v>
      </c>
      <c r="AH26">
        <v>14</v>
      </c>
      <c r="AI26">
        <v>14</v>
      </c>
      <c r="AJ26">
        <v>1</v>
      </c>
      <c r="AK26">
        <v>18</v>
      </c>
      <c r="AL26" t="s">
        <v>91</v>
      </c>
      <c r="AM26" t="s">
        <v>92</v>
      </c>
      <c r="AN26" t="s">
        <v>93</v>
      </c>
      <c r="AO26" t="s">
        <v>94</v>
      </c>
      <c r="AP26" t="s">
        <v>95</v>
      </c>
      <c r="AQ26" t="s">
        <v>74</v>
      </c>
      <c r="AR26" t="s">
        <v>77</v>
      </c>
      <c r="AS26" t="s">
        <v>96</v>
      </c>
      <c r="AT26" t="s">
        <v>641</v>
      </c>
      <c r="AU26">
        <v>2020</v>
      </c>
      <c r="AV26">
        <v>14</v>
      </c>
      <c r="AW26">
        <v>11</v>
      </c>
      <c r="AX26" t="s">
        <v>74</v>
      </c>
      <c r="AY26" t="s">
        <v>74</v>
      </c>
      <c r="AZ26" t="s">
        <v>74</v>
      </c>
      <c r="BA26" t="s">
        <v>74</v>
      </c>
      <c r="BB26">
        <v>3687</v>
      </c>
      <c r="BC26">
        <v>3705</v>
      </c>
      <c r="BD26" t="s">
        <v>74</v>
      </c>
      <c r="BE26" t="s">
        <v>676</v>
      </c>
      <c r="BF26" t="str">
        <f>HYPERLINK("http://dx.doi.org/10.5194/tc-14-3687-2020","http://dx.doi.org/10.5194/tc-14-3687-2020")</f>
        <v>http://dx.doi.org/10.5194/tc-14-3687-2020</v>
      </c>
      <c r="BG26" t="s">
        <v>74</v>
      </c>
      <c r="BH26" t="s">
        <v>74</v>
      </c>
      <c r="BI26">
        <v>19</v>
      </c>
      <c r="BJ26" t="s">
        <v>99</v>
      </c>
      <c r="BK26" t="s">
        <v>100</v>
      </c>
      <c r="BL26" t="s">
        <v>101</v>
      </c>
      <c r="BM26" t="s">
        <v>660</v>
      </c>
      <c r="BN26" t="s">
        <v>74</v>
      </c>
      <c r="BO26" t="s">
        <v>677</v>
      </c>
      <c r="BP26" t="s">
        <v>74</v>
      </c>
      <c r="BQ26" t="s">
        <v>74</v>
      </c>
      <c r="BR26" t="s">
        <v>104</v>
      </c>
      <c r="BS26" t="s">
        <v>678</v>
      </c>
      <c r="BT26" t="str">
        <f>HYPERLINK("https%3A%2F%2Fwww.webofscience.com%2Fwos%2Fwoscc%2Ffull-record%2FWOS:000589361800002","View Full Record in Web of Science")</f>
        <v>View Full Record in Web of Science</v>
      </c>
    </row>
    <row r="27" spans="1:72" x14ac:dyDescent="0.15">
      <c r="A27" t="s">
        <v>72</v>
      </c>
      <c r="B27" t="s">
        <v>679</v>
      </c>
      <c r="C27" t="s">
        <v>74</v>
      </c>
      <c r="D27" t="s">
        <v>74</v>
      </c>
      <c r="E27" t="s">
        <v>74</v>
      </c>
      <c r="F27" t="s">
        <v>680</v>
      </c>
      <c r="G27" t="s">
        <v>74</v>
      </c>
      <c r="H27" t="s">
        <v>74</v>
      </c>
      <c r="I27" t="s">
        <v>681</v>
      </c>
      <c r="J27" t="s">
        <v>682</v>
      </c>
      <c r="K27" t="s">
        <v>74</v>
      </c>
      <c r="L27" t="s">
        <v>74</v>
      </c>
      <c r="M27" t="s">
        <v>78</v>
      </c>
      <c r="N27" t="s">
        <v>79</v>
      </c>
      <c r="O27" t="s">
        <v>74</v>
      </c>
      <c r="P27" t="s">
        <v>74</v>
      </c>
      <c r="Q27" t="s">
        <v>74</v>
      </c>
      <c r="R27" t="s">
        <v>74</v>
      </c>
      <c r="S27" t="s">
        <v>74</v>
      </c>
      <c r="T27" t="s">
        <v>683</v>
      </c>
      <c r="U27" t="s">
        <v>684</v>
      </c>
      <c r="V27" t="s">
        <v>685</v>
      </c>
      <c r="W27" t="s">
        <v>686</v>
      </c>
      <c r="X27" t="s">
        <v>687</v>
      </c>
      <c r="Y27" t="s">
        <v>688</v>
      </c>
      <c r="Z27" t="s">
        <v>689</v>
      </c>
      <c r="AA27" t="s">
        <v>690</v>
      </c>
      <c r="AB27" t="s">
        <v>691</v>
      </c>
      <c r="AC27" t="s">
        <v>74</v>
      </c>
      <c r="AD27" t="s">
        <v>74</v>
      </c>
      <c r="AE27" t="s">
        <v>74</v>
      </c>
      <c r="AF27" t="s">
        <v>74</v>
      </c>
      <c r="AG27">
        <v>51</v>
      </c>
      <c r="AH27">
        <v>1</v>
      </c>
      <c r="AI27">
        <v>1</v>
      </c>
      <c r="AJ27">
        <v>0</v>
      </c>
      <c r="AK27">
        <v>11</v>
      </c>
      <c r="AL27" t="s">
        <v>692</v>
      </c>
      <c r="AM27" t="s">
        <v>693</v>
      </c>
      <c r="AN27" t="s">
        <v>694</v>
      </c>
      <c r="AO27" t="s">
        <v>695</v>
      </c>
      <c r="AP27" t="s">
        <v>696</v>
      </c>
      <c r="AQ27" t="s">
        <v>74</v>
      </c>
      <c r="AR27" t="s">
        <v>697</v>
      </c>
      <c r="AS27" t="s">
        <v>698</v>
      </c>
      <c r="AT27" t="s">
        <v>641</v>
      </c>
      <c r="AU27">
        <v>2020</v>
      </c>
      <c r="AV27">
        <v>155</v>
      </c>
      <c r="AW27">
        <v>1</v>
      </c>
      <c r="AX27" t="s">
        <v>74</v>
      </c>
      <c r="AY27" t="s">
        <v>74</v>
      </c>
      <c r="AZ27" t="s">
        <v>74</v>
      </c>
      <c r="BA27" t="s">
        <v>74</v>
      </c>
      <c r="BB27">
        <v>5</v>
      </c>
      <c r="BC27">
        <v>15</v>
      </c>
      <c r="BD27" t="s">
        <v>74</v>
      </c>
      <c r="BE27" t="s">
        <v>699</v>
      </c>
      <c r="BF27" t="str">
        <f>HYPERLINK("http://dx.doi.org/10.1080/11263504.2020.1840455","http://dx.doi.org/10.1080/11263504.2020.1840455")</f>
        <v>http://dx.doi.org/10.1080/11263504.2020.1840455</v>
      </c>
      <c r="BG27" t="s">
        <v>74</v>
      </c>
      <c r="BH27" t="s">
        <v>228</v>
      </c>
      <c r="BI27">
        <v>11</v>
      </c>
      <c r="BJ27" t="s">
        <v>176</v>
      </c>
      <c r="BK27" t="s">
        <v>100</v>
      </c>
      <c r="BL27" t="s">
        <v>176</v>
      </c>
      <c r="BM27" t="s">
        <v>700</v>
      </c>
      <c r="BN27" t="s">
        <v>74</v>
      </c>
      <c r="BO27" t="s">
        <v>701</v>
      </c>
      <c r="BP27" t="s">
        <v>74</v>
      </c>
      <c r="BQ27" t="s">
        <v>74</v>
      </c>
      <c r="BR27" t="s">
        <v>104</v>
      </c>
      <c r="BS27" t="s">
        <v>702</v>
      </c>
      <c r="BT27" t="str">
        <f>HYPERLINK("https%3A%2F%2Fwww.webofscience.com%2Fwos%2Fwoscc%2Ffull-record%2FWOS:000587558900001","View Full Record in Web of Science")</f>
        <v>View Full Record in Web of Science</v>
      </c>
    </row>
    <row r="28" spans="1:72" x14ac:dyDescent="0.15">
      <c r="A28" t="s">
        <v>72</v>
      </c>
      <c r="B28" t="s">
        <v>703</v>
      </c>
      <c r="C28" t="s">
        <v>74</v>
      </c>
      <c r="D28" t="s">
        <v>74</v>
      </c>
      <c r="E28" t="s">
        <v>74</v>
      </c>
      <c r="F28" t="s">
        <v>704</v>
      </c>
      <c r="G28" t="s">
        <v>74</v>
      </c>
      <c r="H28" t="s">
        <v>74</v>
      </c>
      <c r="I28" t="s">
        <v>705</v>
      </c>
      <c r="J28" t="s">
        <v>706</v>
      </c>
      <c r="K28" t="s">
        <v>74</v>
      </c>
      <c r="L28" t="s">
        <v>74</v>
      </c>
      <c r="M28" t="s">
        <v>78</v>
      </c>
      <c r="N28" t="s">
        <v>79</v>
      </c>
      <c r="O28" t="s">
        <v>74</v>
      </c>
      <c r="P28" t="s">
        <v>74</v>
      </c>
      <c r="Q28" t="s">
        <v>74</v>
      </c>
      <c r="R28" t="s">
        <v>74</v>
      </c>
      <c r="S28" t="s">
        <v>74</v>
      </c>
      <c r="T28" t="s">
        <v>707</v>
      </c>
      <c r="U28" t="s">
        <v>708</v>
      </c>
      <c r="V28" t="s">
        <v>709</v>
      </c>
      <c r="W28" t="s">
        <v>710</v>
      </c>
      <c r="X28" t="s">
        <v>711</v>
      </c>
      <c r="Y28" t="s">
        <v>712</v>
      </c>
      <c r="Z28" t="s">
        <v>713</v>
      </c>
      <c r="AA28" t="s">
        <v>714</v>
      </c>
      <c r="AB28" t="s">
        <v>715</v>
      </c>
      <c r="AC28" t="s">
        <v>716</v>
      </c>
      <c r="AD28" t="s">
        <v>716</v>
      </c>
      <c r="AE28" t="s">
        <v>716</v>
      </c>
      <c r="AF28" t="s">
        <v>74</v>
      </c>
      <c r="AG28">
        <v>55</v>
      </c>
      <c r="AH28">
        <v>10</v>
      </c>
      <c r="AI28">
        <v>11</v>
      </c>
      <c r="AJ28">
        <v>1</v>
      </c>
      <c r="AK28">
        <v>10</v>
      </c>
      <c r="AL28" t="s">
        <v>219</v>
      </c>
      <c r="AM28" t="s">
        <v>220</v>
      </c>
      <c r="AN28" t="s">
        <v>221</v>
      </c>
      <c r="AO28" t="s">
        <v>717</v>
      </c>
      <c r="AP28" t="s">
        <v>74</v>
      </c>
      <c r="AQ28" t="s">
        <v>74</v>
      </c>
      <c r="AR28" t="s">
        <v>718</v>
      </c>
      <c r="AS28" t="s">
        <v>719</v>
      </c>
      <c r="AT28" t="s">
        <v>720</v>
      </c>
      <c r="AU28">
        <v>2020</v>
      </c>
      <c r="AV28">
        <v>10</v>
      </c>
      <c r="AW28">
        <v>24</v>
      </c>
      <c r="AX28" t="s">
        <v>74</v>
      </c>
      <c r="AY28" t="s">
        <v>74</v>
      </c>
      <c r="AZ28" t="s">
        <v>74</v>
      </c>
      <c r="BA28" t="s">
        <v>74</v>
      </c>
      <c r="BB28">
        <v>13836</v>
      </c>
      <c r="BC28">
        <v>13846</v>
      </c>
      <c r="BD28" t="s">
        <v>74</v>
      </c>
      <c r="BE28" t="s">
        <v>721</v>
      </c>
      <c r="BF28" t="str">
        <f>HYPERLINK("http://dx.doi.org/10.1002/ece3.6973","http://dx.doi.org/10.1002/ece3.6973")</f>
        <v>http://dx.doi.org/10.1002/ece3.6973</v>
      </c>
      <c r="BG28" t="s">
        <v>74</v>
      </c>
      <c r="BH28" t="s">
        <v>228</v>
      </c>
      <c r="BI28">
        <v>11</v>
      </c>
      <c r="BJ28" t="s">
        <v>722</v>
      </c>
      <c r="BK28" t="s">
        <v>100</v>
      </c>
      <c r="BL28" t="s">
        <v>723</v>
      </c>
      <c r="BM28" t="s">
        <v>724</v>
      </c>
      <c r="BN28">
        <v>33391684</v>
      </c>
      <c r="BO28" t="s">
        <v>332</v>
      </c>
      <c r="BP28" t="s">
        <v>74</v>
      </c>
      <c r="BQ28" t="s">
        <v>74</v>
      </c>
      <c r="BR28" t="s">
        <v>104</v>
      </c>
      <c r="BS28" t="s">
        <v>725</v>
      </c>
      <c r="BT28" t="str">
        <f>HYPERLINK("https%3A%2F%2Fwww.webofscience.com%2Fwos%2Fwoscc%2Ffull-record%2FWOS:000585383300001","View Full Record in Web of Science")</f>
        <v>View Full Record in Web of Science</v>
      </c>
    </row>
    <row r="29" spans="1:72" x14ac:dyDescent="0.15">
      <c r="A29" t="s">
        <v>72</v>
      </c>
      <c r="B29" t="s">
        <v>726</v>
      </c>
      <c r="C29" t="s">
        <v>74</v>
      </c>
      <c r="D29" t="s">
        <v>74</v>
      </c>
      <c r="E29" t="s">
        <v>74</v>
      </c>
      <c r="F29" t="s">
        <v>727</v>
      </c>
      <c r="G29" t="s">
        <v>74</v>
      </c>
      <c r="H29" t="s">
        <v>74</v>
      </c>
      <c r="I29" t="s">
        <v>728</v>
      </c>
      <c r="J29" t="s">
        <v>729</v>
      </c>
      <c r="K29" t="s">
        <v>74</v>
      </c>
      <c r="L29" t="s">
        <v>74</v>
      </c>
      <c r="M29" t="s">
        <v>78</v>
      </c>
      <c r="N29" t="s">
        <v>79</v>
      </c>
      <c r="O29" t="s">
        <v>74</v>
      </c>
      <c r="P29" t="s">
        <v>74</v>
      </c>
      <c r="Q29" t="s">
        <v>74</v>
      </c>
      <c r="R29" t="s">
        <v>74</v>
      </c>
      <c r="S29" t="s">
        <v>74</v>
      </c>
      <c r="T29" t="s">
        <v>730</v>
      </c>
      <c r="U29" t="s">
        <v>731</v>
      </c>
      <c r="V29" t="s">
        <v>732</v>
      </c>
      <c r="W29" t="s">
        <v>733</v>
      </c>
      <c r="X29" t="s">
        <v>734</v>
      </c>
      <c r="Y29" t="s">
        <v>735</v>
      </c>
      <c r="Z29" t="s">
        <v>736</v>
      </c>
      <c r="AA29" t="s">
        <v>737</v>
      </c>
      <c r="AB29" t="s">
        <v>738</v>
      </c>
      <c r="AC29" t="s">
        <v>739</v>
      </c>
      <c r="AD29" t="s">
        <v>740</v>
      </c>
      <c r="AE29" t="s">
        <v>741</v>
      </c>
      <c r="AF29" t="s">
        <v>74</v>
      </c>
      <c r="AG29">
        <v>72</v>
      </c>
      <c r="AH29">
        <v>4</v>
      </c>
      <c r="AI29">
        <v>4</v>
      </c>
      <c r="AJ29">
        <v>4</v>
      </c>
      <c r="AK29">
        <v>16</v>
      </c>
      <c r="AL29" t="s">
        <v>219</v>
      </c>
      <c r="AM29" t="s">
        <v>220</v>
      </c>
      <c r="AN29" t="s">
        <v>221</v>
      </c>
      <c r="AO29" t="s">
        <v>742</v>
      </c>
      <c r="AP29" t="s">
        <v>743</v>
      </c>
      <c r="AQ29" t="s">
        <v>74</v>
      </c>
      <c r="AR29" t="s">
        <v>744</v>
      </c>
      <c r="AS29" t="s">
        <v>745</v>
      </c>
      <c r="AT29" t="s">
        <v>720</v>
      </c>
      <c r="AU29">
        <v>2020</v>
      </c>
      <c r="AV29">
        <v>39</v>
      </c>
      <c r="AW29">
        <v>12</v>
      </c>
      <c r="AX29" t="s">
        <v>74</v>
      </c>
      <c r="AY29" t="s">
        <v>74</v>
      </c>
      <c r="AZ29" t="s">
        <v>74</v>
      </c>
      <c r="BA29" t="s">
        <v>74</v>
      </c>
      <c r="BB29">
        <v>2527</v>
      </c>
      <c r="BC29">
        <v>2539</v>
      </c>
      <c r="BD29" t="s">
        <v>74</v>
      </c>
      <c r="BE29" t="s">
        <v>746</v>
      </c>
      <c r="BF29" t="str">
        <f>HYPERLINK("http://dx.doi.org/10.1002/etc.4878","http://dx.doi.org/10.1002/etc.4878")</f>
        <v>http://dx.doi.org/10.1002/etc.4878</v>
      </c>
      <c r="BG29" t="s">
        <v>74</v>
      </c>
      <c r="BH29" t="s">
        <v>228</v>
      </c>
      <c r="BI29">
        <v>13</v>
      </c>
      <c r="BJ29" t="s">
        <v>747</v>
      </c>
      <c r="BK29" t="s">
        <v>100</v>
      </c>
      <c r="BL29" t="s">
        <v>748</v>
      </c>
      <c r="BM29" t="s">
        <v>749</v>
      </c>
      <c r="BN29">
        <v>32946126</v>
      </c>
      <c r="BO29" t="s">
        <v>74</v>
      </c>
      <c r="BP29" t="s">
        <v>74</v>
      </c>
      <c r="BQ29" t="s">
        <v>74</v>
      </c>
      <c r="BR29" t="s">
        <v>104</v>
      </c>
      <c r="BS29" t="s">
        <v>750</v>
      </c>
      <c r="BT29" t="str">
        <f>HYPERLINK("https%3A%2F%2Fwww.webofscience.com%2Fwos%2Fwoscc%2Ffull-record%2FWOS:000585350400001","View Full Record in Web of Science")</f>
        <v>View Full Record in Web of Science</v>
      </c>
    </row>
    <row r="30" spans="1:72" x14ac:dyDescent="0.15">
      <c r="A30" t="s">
        <v>72</v>
      </c>
      <c r="B30" t="s">
        <v>751</v>
      </c>
      <c r="C30" t="s">
        <v>74</v>
      </c>
      <c r="D30" t="s">
        <v>74</v>
      </c>
      <c r="E30" t="s">
        <v>74</v>
      </c>
      <c r="F30" t="s">
        <v>752</v>
      </c>
      <c r="G30" t="s">
        <v>74</v>
      </c>
      <c r="H30" t="s">
        <v>74</v>
      </c>
      <c r="I30" t="s">
        <v>753</v>
      </c>
      <c r="J30" t="s">
        <v>754</v>
      </c>
      <c r="K30" t="s">
        <v>74</v>
      </c>
      <c r="L30" t="s">
        <v>74</v>
      </c>
      <c r="M30" t="s">
        <v>78</v>
      </c>
      <c r="N30" t="s">
        <v>79</v>
      </c>
      <c r="O30" t="s">
        <v>74</v>
      </c>
      <c r="P30" t="s">
        <v>74</v>
      </c>
      <c r="Q30" t="s">
        <v>74</v>
      </c>
      <c r="R30" t="s">
        <v>74</v>
      </c>
      <c r="S30" t="s">
        <v>74</v>
      </c>
      <c r="T30" t="s">
        <v>74</v>
      </c>
      <c r="U30" t="s">
        <v>755</v>
      </c>
      <c r="V30" t="s">
        <v>756</v>
      </c>
      <c r="W30" t="s">
        <v>757</v>
      </c>
      <c r="X30" t="s">
        <v>758</v>
      </c>
      <c r="Y30" t="s">
        <v>759</v>
      </c>
      <c r="Z30" t="s">
        <v>760</v>
      </c>
      <c r="AA30" t="s">
        <v>761</v>
      </c>
      <c r="AB30" t="s">
        <v>762</v>
      </c>
      <c r="AC30" t="s">
        <v>763</v>
      </c>
      <c r="AD30" t="s">
        <v>764</v>
      </c>
      <c r="AE30" t="s">
        <v>765</v>
      </c>
      <c r="AF30" t="s">
        <v>74</v>
      </c>
      <c r="AG30">
        <v>70</v>
      </c>
      <c r="AH30">
        <v>8</v>
      </c>
      <c r="AI30">
        <v>11</v>
      </c>
      <c r="AJ30">
        <v>0</v>
      </c>
      <c r="AK30">
        <v>10</v>
      </c>
      <c r="AL30" t="s">
        <v>766</v>
      </c>
      <c r="AM30" t="s">
        <v>123</v>
      </c>
      <c r="AN30" t="s">
        <v>767</v>
      </c>
      <c r="AO30" t="s">
        <v>768</v>
      </c>
      <c r="AP30" t="s">
        <v>769</v>
      </c>
      <c r="AQ30" t="s">
        <v>74</v>
      </c>
      <c r="AR30" t="s">
        <v>754</v>
      </c>
      <c r="AS30" t="s">
        <v>770</v>
      </c>
      <c r="AT30" t="s">
        <v>462</v>
      </c>
      <c r="AU30">
        <v>2021</v>
      </c>
      <c r="AV30">
        <v>126</v>
      </c>
      <c r="AW30">
        <v>3</v>
      </c>
      <c r="AX30" t="s">
        <v>74</v>
      </c>
      <c r="AY30" t="s">
        <v>74</v>
      </c>
      <c r="AZ30" t="s">
        <v>74</v>
      </c>
      <c r="BA30" t="s">
        <v>74</v>
      </c>
      <c r="BB30">
        <v>424</v>
      </c>
      <c r="BC30">
        <v>441</v>
      </c>
      <c r="BD30" t="s">
        <v>74</v>
      </c>
      <c r="BE30" t="s">
        <v>771</v>
      </c>
      <c r="BF30" t="str">
        <f>HYPERLINK("http://dx.doi.org/10.1038/s41437-020-00382-w","http://dx.doi.org/10.1038/s41437-020-00382-w")</f>
        <v>http://dx.doi.org/10.1038/s41437-020-00382-w</v>
      </c>
      <c r="BG30" t="s">
        <v>74</v>
      </c>
      <c r="BH30" t="s">
        <v>228</v>
      </c>
      <c r="BI30">
        <v>18</v>
      </c>
      <c r="BJ30" t="s">
        <v>772</v>
      </c>
      <c r="BK30" t="s">
        <v>100</v>
      </c>
      <c r="BL30" t="s">
        <v>773</v>
      </c>
      <c r="BM30" t="s">
        <v>774</v>
      </c>
      <c r="BN30">
        <v>33149264</v>
      </c>
      <c r="BO30" t="s">
        <v>775</v>
      </c>
      <c r="BP30" t="s">
        <v>74</v>
      </c>
      <c r="BQ30" t="s">
        <v>74</v>
      </c>
      <c r="BR30" t="s">
        <v>104</v>
      </c>
      <c r="BS30" t="s">
        <v>776</v>
      </c>
      <c r="BT30" t="str">
        <f>HYPERLINK("https%3A%2F%2Fwww.webofscience.com%2Fwos%2Fwoscc%2Ffull-record%2FWOS:000585903600001","View Full Record in Web of Science")</f>
        <v>View Full Record in Web of Science</v>
      </c>
    </row>
    <row r="31" spans="1:72" x14ac:dyDescent="0.15">
      <c r="A31" t="s">
        <v>72</v>
      </c>
      <c r="B31" t="s">
        <v>777</v>
      </c>
      <c r="C31" t="s">
        <v>74</v>
      </c>
      <c r="D31" t="s">
        <v>74</v>
      </c>
      <c r="E31" t="s">
        <v>74</v>
      </c>
      <c r="F31" t="s">
        <v>778</v>
      </c>
      <c r="G31" t="s">
        <v>74</v>
      </c>
      <c r="H31" t="s">
        <v>74</v>
      </c>
      <c r="I31" t="s">
        <v>779</v>
      </c>
      <c r="J31" t="s">
        <v>780</v>
      </c>
      <c r="K31" t="s">
        <v>74</v>
      </c>
      <c r="L31" t="s">
        <v>74</v>
      </c>
      <c r="M31" t="s">
        <v>78</v>
      </c>
      <c r="N31" t="s">
        <v>79</v>
      </c>
      <c r="O31" t="s">
        <v>74</v>
      </c>
      <c r="P31" t="s">
        <v>74</v>
      </c>
      <c r="Q31" t="s">
        <v>74</v>
      </c>
      <c r="R31" t="s">
        <v>74</v>
      </c>
      <c r="S31" t="s">
        <v>74</v>
      </c>
      <c r="T31" t="s">
        <v>781</v>
      </c>
      <c r="U31" t="s">
        <v>782</v>
      </c>
      <c r="V31" t="s">
        <v>783</v>
      </c>
      <c r="W31" t="s">
        <v>784</v>
      </c>
      <c r="X31" t="s">
        <v>785</v>
      </c>
      <c r="Y31" t="s">
        <v>786</v>
      </c>
      <c r="Z31" t="s">
        <v>787</v>
      </c>
      <c r="AA31" t="s">
        <v>788</v>
      </c>
      <c r="AB31" t="s">
        <v>789</v>
      </c>
      <c r="AC31" t="s">
        <v>790</v>
      </c>
      <c r="AD31" t="s">
        <v>791</v>
      </c>
      <c r="AE31" t="s">
        <v>792</v>
      </c>
      <c r="AF31" t="s">
        <v>74</v>
      </c>
      <c r="AG31">
        <v>80</v>
      </c>
      <c r="AH31">
        <v>6</v>
      </c>
      <c r="AI31">
        <v>7</v>
      </c>
      <c r="AJ31">
        <v>1</v>
      </c>
      <c r="AK31">
        <v>15</v>
      </c>
      <c r="AL31" t="s">
        <v>219</v>
      </c>
      <c r="AM31" t="s">
        <v>220</v>
      </c>
      <c r="AN31" t="s">
        <v>221</v>
      </c>
      <c r="AO31" t="s">
        <v>793</v>
      </c>
      <c r="AP31" t="s">
        <v>794</v>
      </c>
      <c r="AQ31" t="s">
        <v>74</v>
      </c>
      <c r="AR31" t="s">
        <v>795</v>
      </c>
      <c r="AS31" t="s">
        <v>796</v>
      </c>
      <c r="AT31" t="s">
        <v>252</v>
      </c>
      <c r="AU31">
        <v>2021</v>
      </c>
      <c r="AV31">
        <v>41</v>
      </c>
      <c r="AW31" t="s">
        <v>74</v>
      </c>
      <c r="AX31" t="s">
        <v>74</v>
      </c>
      <c r="AY31">
        <v>1</v>
      </c>
      <c r="AZ31" t="s">
        <v>74</v>
      </c>
      <c r="BA31" t="s">
        <v>74</v>
      </c>
      <c r="BB31" t="s">
        <v>797</v>
      </c>
      <c r="BC31" t="s">
        <v>798</v>
      </c>
      <c r="BD31" t="s">
        <v>74</v>
      </c>
      <c r="BE31" t="s">
        <v>799</v>
      </c>
      <c r="BF31" t="str">
        <f>HYPERLINK("http://dx.doi.org/10.1002/joc.6879","http://dx.doi.org/10.1002/joc.6879")</f>
        <v>http://dx.doi.org/10.1002/joc.6879</v>
      </c>
      <c r="BG31" t="s">
        <v>74</v>
      </c>
      <c r="BH31" t="s">
        <v>228</v>
      </c>
      <c r="BI31">
        <v>23</v>
      </c>
      <c r="BJ31" t="s">
        <v>800</v>
      </c>
      <c r="BK31" t="s">
        <v>100</v>
      </c>
      <c r="BL31" t="s">
        <v>800</v>
      </c>
      <c r="BM31" t="s">
        <v>801</v>
      </c>
      <c r="BN31" t="s">
        <v>74</v>
      </c>
      <c r="BO31" t="s">
        <v>618</v>
      </c>
      <c r="BP31" t="s">
        <v>74</v>
      </c>
      <c r="BQ31" t="s">
        <v>74</v>
      </c>
      <c r="BR31" t="s">
        <v>104</v>
      </c>
      <c r="BS31" t="s">
        <v>802</v>
      </c>
      <c r="BT31" t="str">
        <f>HYPERLINK("https%3A%2F%2Fwww.webofscience.com%2Fwos%2Fwoscc%2Ffull-record%2FWOS:000585607800001","View Full Record in Web of Science")</f>
        <v>View Full Record in Web of Science</v>
      </c>
    </row>
    <row r="32" spans="1:72" x14ac:dyDescent="0.15">
      <c r="A32" t="s">
        <v>72</v>
      </c>
      <c r="B32" t="s">
        <v>803</v>
      </c>
      <c r="C32" t="s">
        <v>74</v>
      </c>
      <c r="D32" t="s">
        <v>74</v>
      </c>
      <c r="E32" t="s">
        <v>74</v>
      </c>
      <c r="F32" t="s">
        <v>804</v>
      </c>
      <c r="G32" t="s">
        <v>74</v>
      </c>
      <c r="H32" t="s">
        <v>74</v>
      </c>
      <c r="I32" t="s">
        <v>805</v>
      </c>
      <c r="J32" t="s">
        <v>806</v>
      </c>
      <c r="K32" t="s">
        <v>74</v>
      </c>
      <c r="L32" t="s">
        <v>74</v>
      </c>
      <c r="M32" t="s">
        <v>78</v>
      </c>
      <c r="N32" t="s">
        <v>79</v>
      </c>
      <c r="O32" t="s">
        <v>74</v>
      </c>
      <c r="P32" t="s">
        <v>74</v>
      </c>
      <c r="Q32" t="s">
        <v>74</v>
      </c>
      <c r="R32" t="s">
        <v>74</v>
      </c>
      <c r="S32" t="s">
        <v>74</v>
      </c>
      <c r="T32" t="s">
        <v>807</v>
      </c>
      <c r="U32" t="s">
        <v>808</v>
      </c>
      <c r="V32" t="s">
        <v>809</v>
      </c>
      <c r="W32" t="s">
        <v>810</v>
      </c>
      <c r="X32" t="s">
        <v>811</v>
      </c>
      <c r="Y32" t="s">
        <v>812</v>
      </c>
      <c r="Z32" t="s">
        <v>813</v>
      </c>
      <c r="AA32" t="s">
        <v>814</v>
      </c>
      <c r="AB32" t="s">
        <v>815</v>
      </c>
      <c r="AC32" t="s">
        <v>816</v>
      </c>
      <c r="AD32" t="s">
        <v>817</v>
      </c>
      <c r="AE32" t="s">
        <v>818</v>
      </c>
      <c r="AF32" t="s">
        <v>74</v>
      </c>
      <c r="AG32">
        <v>94</v>
      </c>
      <c r="AH32">
        <v>12</v>
      </c>
      <c r="AI32">
        <v>14</v>
      </c>
      <c r="AJ32">
        <v>1</v>
      </c>
      <c r="AK32">
        <v>21</v>
      </c>
      <c r="AL32" t="s">
        <v>219</v>
      </c>
      <c r="AM32" t="s">
        <v>220</v>
      </c>
      <c r="AN32" t="s">
        <v>221</v>
      </c>
      <c r="AO32" t="s">
        <v>819</v>
      </c>
      <c r="AP32" t="s">
        <v>820</v>
      </c>
      <c r="AQ32" t="s">
        <v>74</v>
      </c>
      <c r="AR32" t="s">
        <v>806</v>
      </c>
      <c r="AS32" t="s">
        <v>821</v>
      </c>
      <c r="AT32" t="s">
        <v>252</v>
      </c>
      <c r="AU32">
        <v>2021</v>
      </c>
      <c r="AV32">
        <v>130</v>
      </c>
      <c r="AW32">
        <v>1</v>
      </c>
      <c r="AX32" t="s">
        <v>74</v>
      </c>
      <c r="AY32" t="s">
        <v>74</v>
      </c>
      <c r="AZ32" t="s">
        <v>74</v>
      </c>
      <c r="BA32" t="s">
        <v>74</v>
      </c>
      <c r="BB32">
        <v>156</v>
      </c>
      <c r="BC32">
        <v>170</v>
      </c>
      <c r="BD32" t="s">
        <v>74</v>
      </c>
      <c r="BE32" t="s">
        <v>822</v>
      </c>
      <c r="BF32" t="str">
        <f>HYPERLINK("http://dx.doi.org/10.1111/oik.07652","http://dx.doi.org/10.1111/oik.07652")</f>
        <v>http://dx.doi.org/10.1111/oik.07652</v>
      </c>
      <c r="BG32" t="s">
        <v>74</v>
      </c>
      <c r="BH32" t="s">
        <v>228</v>
      </c>
      <c r="BI32">
        <v>15</v>
      </c>
      <c r="BJ32" t="s">
        <v>823</v>
      </c>
      <c r="BK32" t="s">
        <v>100</v>
      </c>
      <c r="BL32" t="s">
        <v>284</v>
      </c>
      <c r="BM32" t="s">
        <v>824</v>
      </c>
      <c r="BN32" t="s">
        <v>74</v>
      </c>
      <c r="BO32" t="s">
        <v>74</v>
      </c>
      <c r="BP32" t="s">
        <v>74</v>
      </c>
      <c r="BQ32" t="s">
        <v>74</v>
      </c>
      <c r="BR32" t="s">
        <v>104</v>
      </c>
      <c r="BS32" t="s">
        <v>825</v>
      </c>
      <c r="BT32" t="str">
        <f>HYPERLINK("https%3A%2F%2Fwww.webofscience.com%2Fwos%2Fwoscc%2Ffull-record%2FWOS:000585363100001","View Full Record in Web of Science")</f>
        <v>View Full Record in Web of Science</v>
      </c>
    </row>
    <row r="33" spans="1:72" x14ac:dyDescent="0.15">
      <c r="A33" t="s">
        <v>72</v>
      </c>
      <c r="B33" t="s">
        <v>826</v>
      </c>
      <c r="C33" t="s">
        <v>74</v>
      </c>
      <c r="D33" t="s">
        <v>74</v>
      </c>
      <c r="E33" t="s">
        <v>74</v>
      </c>
      <c r="F33" t="s">
        <v>827</v>
      </c>
      <c r="G33" t="s">
        <v>74</v>
      </c>
      <c r="H33" t="s">
        <v>74</v>
      </c>
      <c r="I33" t="s">
        <v>828</v>
      </c>
      <c r="J33" t="s">
        <v>829</v>
      </c>
      <c r="K33" t="s">
        <v>74</v>
      </c>
      <c r="L33" t="s">
        <v>74</v>
      </c>
      <c r="M33" t="s">
        <v>78</v>
      </c>
      <c r="N33" t="s">
        <v>79</v>
      </c>
      <c r="O33" t="s">
        <v>74</v>
      </c>
      <c r="P33" t="s">
        <v>74</v>
      </c>
      <c r="Q33" t="s">
        <v>74</v>
      </c>
      <c r="R33" t="s">
        <v>74</v>
      </c>
      <c r="S33" t="s">
        <v>74</v>
      </c>
      <c r="T33" t="s">
        <v>74</v>
      </c>
      <c r="U33" t="s">
        <v>830</v>
      </c>
      <c r="V33" t="s">
        <v>831</v>
      </c>
      <c r="W33" t="s">
        <v>832</v>
      </c>
      <c r="X33" t="s">
        <v>833</v>
      </c>
      <c r="Y33" t="s">
        <v>834</v>
      </c>
      <c r="Z33" t="s">
        <v>835</v>
      </c>
      <c r="AA33" t="s">
        <v>836</v>
      </c>
      <c r="AB33" t="s">
        <v>837</v>
      </c>
      <c r="AC33" t="s">
        <v>838</v>
      </c>
      <c r="AD33" t="s">
        <v>839</v>
      </c>
      <c r="AE33" t="s">
        <v>840</v>
      </c>
      <c r="AF33" t="s">
        <v>74</v>
      </c>
      <c r="AG33">
        <v>44</v>
      </c>
      <c r="AH33">
        <v>26</v>
      </c>
      <c r="AI33">
        <v>29</v>
      </c>
      <c r="AJ33">
        <v>0</v>
      </c>
      <c r="AK33">
        <v>2</v>
      </c>
      <c r="AL33" t="s">
        <v>766</v>
      </c>
      <c r="AM33" t="s">
        <v>123</v>
      </c>
      <c r="AN33" t="s">
        <v>767</v>
      </c>
      <c r="AO33" t="s">
        <v>74</v>
      </c>
      <c r="AP33" t="s">
        <v>841</v>
      </c>
      <c r="AQ33" t="s">
        <v>74</v>
      </c>
      <c r="AR33" t="s">
        <v>842</v>
      </c>
      <c r="AS33" t="s">
        <v>843</v>
      </c>
      <c r="AT33" t="s">
        <v>844</v>
      </c>
      <c r="AU33">
        <v>2020</v>
      </c>
      <c r="AV33">
        <v>1</v>
      </c>
      <c r="AW33">
        <v>1</v>
      </c>
      <c r="AX33" t="s">
        <v>74</v>
      </c>
      <c r="AY33" t="s">
        <v>74</v>
      </c>
      <c r="AZ33" t="s">
        <v>74</v>
      </c>
      <c r="BA33" t="s">
        <v>74</v>
      </c>
      <c r="BB33" t="s">
        <v>74</v>
      </c>
      <c r="BC33" t="s">
        <v>74</v>
      </c>
      <c r="BD33">
        <v>45</v>
      </c>
      <c r="BE33" t="s">
        <v>845</v>
      </c>
      <c r="BF33" t="str">
        <f>HYPERLINK("http://dx.doi.org/10.1038/s43247-020-00043-0","http://dx.doi.org/10.1038/s43247-020-00043-0")</f>
        <v>http://dx.doi.org/10.1038/s43247-020-00043-0</v>
      </c>
      <c r="BG33" t="s">
        <v>74</v>
      </c>
      <c r="BH33" t="s">
        <v>74</v>
      </c>
      <c r="BI33">
        <v>10</v>
      </c>
      <c r="BJ33" t="s">
        <v>846</v>
      </c>
      <c r="BK33" t="s">
        <v>100</v>
      </c>
      <c r="BL33" t="s">
        <v>847</v>
      </c>
      <c r="BM33" t="s">
        <v>848</v>
      </c>
      <c r="BN33" t="s">
        <v>74</v>
      </c>
      <c r="BO33" t="s">
        <v>202</v>
      </c>
      <c r="BP33" t="s">
        <v>74</v>
      </c>
      <c r="BQ33" t="s">
        <v>74</v>
      </c>
      <c r="BR33" t="s">
        <v>104</v>
      </c>
      <c r="BS33" t="s">
        <v>849</v>
      </c>
      <c r="BT33" t="str">
        <f>HYPERLINK("https%3A%2F%2Fwww.webofscience.com%2Fwos%2Fwoscc%2Ffull-record%2FWOS:000693616800002","View Full Record in Web of Science")</f>
        <v>View Full Record in Web of Science</v>
      </c>
    </row>
    <row r="34" spans="1:72" x14ac:dyDescent="0.15">
      <c r="A34" t="s">
        <v>72</v>
      </c>
      <c r="B34" t="s">
        <v>850</v>
      </c>
      <c r="C34" t="s">
        <v>74</v>
      </c>
      <c r="D34" t="s">
        <v>74</v>
      </c>
      <c r="E34" t="s">
        <v>74</v>
      </c>
      <c r="F34" t="s">
        <v>851</v>
      </c>
      <c r="G34" t="s">
        <v>74</v>
      </c>
      <c r="H34" t="s">
        <v>74</v>
      </c>
      <c r="I34" t="s">
        <v>852</v>
      </c>
      <c r="J34" t="s">
        <v>853</v>
      </c>
      <c r="K34" t="s">
        <v>74</v>
      </c>
      <c r="L34" t="s">
        <v>74</v>
      </c>
      <c r="M34" t="s">
        <v>78</v>
      </c>
      <c r="N34" t="s">
        <v>138</v>
      </c>
      <c r="O34" t="s">
        <v>74</v>
      </c>
      <c r="P34" t="s">
        <v>74</v>
      </c>
      <c r="Q34" t="s">
        <v>74</v>
      </c>
      <c r="R34" t="s">
        <v>74</v>
      </c>
      <c r="S34" t="s">
        <v>74</v>
      </c>
      <c r="T34" t="s">
        <v>854</v>
      </c>
      <c r="U34" t="s">
        <v>855</v>
      </c>
      <c r="V34" t="s">
        <v>856</v>
      </c>
      <c r="W34" t="s">
        <v>857</v>
      </c>
      <c r="X34" t="s">
        <v>858</v>
      </c>
      <c r="Y34" t="s">
        <v>859</v>
      </c>
      <c r="Z34" t="s">
        <v>860</v>
      </c>
      <c r="AA34" t="s">
        <v>861</v>
      </c>
      <c r="AB34" t="s">
        <v>862</v>
      </c>
      <c r="AC34" t="s">
        <v>863</v>
      </c>
      <c r="AD34" t="s">
        <v>864</v>
      </c>
      <c r="AE34" t="s">
        <v>865</v>
      </c>
      <c r="AF34" t="s">
        <v>74</v>
      </c>
      <c r="AG34">
        <v>469</v>
      </c>
      <c r="AH34">
        <v>57</v>
      </c>
      <c r="AI34">
        <v>61</v>
      </c>
      <c r="AJ34">
        <v>16</v>
      </c>
      <c r="AK34">
        <v>142</v>
      </c>
      <c r="AL34" t="s">
        <v>866</v>
      </c>
      <c r="AM34" t="s">
        <v>867</v>
      </c>
      <c r="AN34" t="s">
        <v>868</v>
      </c>
      <c r="AO34" t="s">
        <v>869</v>
      </c>
      <c r="AP34" t="s">
        <v>74</v>
      </c>
      <c r="AQ34" t="s">
        <v>74</v>
      </c>
      <c r="AR34" t="s">
        <v>870</v>
      </c>
      <c r="AS34" t="s">
        <v>871</v>
      </c>
      <c r="AT34" t="s">
        <v>844</v>
      </c>
      <c r="AU34">
        <v>2020</v>
      </c>
      <c r="AV34">
        <v>8</v>
      </c>
      <c r="AW34" t="s">
        <v>74</v>
      </c>
      <c r="AX34" t="s">
        <v>74</v>
      </c>
      <c r="AY34" t="s">
        <v>74</v>
      </c>
      <c r="AZ34" t="s">
        <v>74</v>
      </c>
      <c r="BA34" t="s">
        <v>74</v>
      </c>
      <c r="BB34" t="s">
        <v>74</v>
      </c>
      <c r="BC34" t="s">
        <v>74</v>
      </c>
      <c r="BD34">
        <v>566936</v>
      </c>
      <c r="BE34" t="s">
        <v>872</v>
      </c>
      <c r="BF34" t="str">
        <f>HYPERLINK("http://dx.doi.org/10.3389/fevo.2020.566936","http://dx.doi.org/10.3389/fevo.2020.566936")</f>
        <v>http://dx.doi.org/10.3389/fevo.2020.566936</v>
      </c>
      <c r="BG34" t="s">
        <v>74</v>
      </c>
      <c r="BH34" t="s">
        <v>74</v>
      </c>
      <c r="BI34">
        <v>39</v>
      </c>
      <c r="BJ34" t="s">
        <v>823</v>
      </c>
      <c r="BK34" t="s">
        <v>255</v>
      </c>
      <c r="BL34" t="s">
        <v>284</v>
      </c>
      <c r="BM34" t="s">
        <v>873</v>
      </c>
      <c r="BN34" t="s">
        <v>74</v>
      </c>
      <c r="BO34" t="s">
        <v>397</v>
      </c>
      <c r="BP34" t="s">
        <v>74</v>
      </c>
      <c r="BQ34" t="s">
        <v>74</v>
      </c>
      <c r="BR34" t="s">
        <v>104</v>
      </c>
      <c r="BS34" t="s">
        <v>874</v>
      </c>
      <c r="BT34" t="str">
        <f>HYPERLINK("https%3A%2F%2Fwww.webofscience.com%2Fwos%2Fwoscc%2Ffull-record%2FWOS:000589964900001","View Full Record in Web of Science")</f>
        <v>View Full Record in Web of Science</v>
      </c>
    </row>
    <row r="35" spans="1:72" x14ac:dyDescent="0.15">
      <c r="A35" t="s">
        <v>72</v>
      </c>
      <c r="B35" t="s">
        <v>875</v>
      </c>
      <c r="C35" t="s">
        <v>74</v>
      </c>
      <c r="D35" t="s">
        <v>74</v>
      </c>
      <c r="E35" t="s">
        <v>74</v>
      </c>
      <c r="F35" t="s">
        <v>876</v>
      </c>
      <c r="G35" t="s">
        <v>74</v>
      </c>
      <c r="H35" t="s">
        <v>74</v>
      </c>
      <c r="I35" t="s">
        <v>877</v>
      </c>
      <c r="J35" t="s">
        <v>878</v>
      </c>
      <c r="K35" t="s">
        <v>74</v>
      </c>
      <c r="L35" t="s">
        <v>74</v>
      </c>
      <c r="M35" t="s">
        <v>78</v>
      </c>
      <c r="N35" t="s">
        <v>79</v>
      </c>
      <c r="O35" t="s">
        <v>74</v>
      </c>
      <c r="P35" t="s">
        <v>74</v>
      </c>
      <c r="Q35" t="s">
        <v>74</v>
      </c>
      <c r="R35" t="s">
        <v>74</v>
      </c>
      <c r="S35" t="s">
        <v>74</v>
      </c>
      <c r="T35" t="s">
        <v>879</v>
      </c>
      <c r="U35" t="s">
        <v>880</v>
      </c>
      <c r="V35" t="s">
        <v>881</v>
      </c>
      <c r="W35" t="s">
        <v>882</v>
      </c>
      <c r="X35" t="s">
        <v>883</v>
      </c>
      <c r="Y35" t="s">
        <v>884</v>
      </c>
      <c r="Z35" t="s">
        <v>885</v>
      </c>
      <c r="AA35" t="s">
        <v>886</v>
      </c>
      <c r="AB35" t="s">
        <v>887</v>
      </c>
      <c r="AC35" t="s">
        <v>888</v>
      </c>
      <c r="AD35" t="s">
        <v>889</v>
      </c>
      <c r="AE35" t="s">
        <v>890</v>
      </c>
      <c r="AF35" t="s">
        <v>74</v>
      </c>
      <c r="AG35">
        <v>90</v>
      </c>
      <c r="AH35">
        <v>9</v>
      </c>
      <c r="AI35">
        <v>10</v>
      </c>
      <c r="AJ35">
        <v>6</v>
      </c>
      <c r="AK35">
        <v>42</v>
      </c>
      <c r="AL35" t="s">
        <v>482</v>
      </c>
      <c r="AM35" t="s">
        <v>483</v>
      </c>
      <c r="AN35" t="s">
        <v>484</v>
      </c>
      <c r="AO35" t="s">
        <v>891</v>
      </c>
      <c r="AP35" t="s">
        <v>892</v>
      </c>
      <c r="AQ35" t="s">
        <v>74</v>
      </c>
      <c r="AR35" t="s">
        <v>878</v>
      </c>
      <c r="AS35" t="s">
        <v>893</v>
      </c>
      <c r="AT35" t="s">
        <v>894</v>
      </c>
      <c r="AU35">
        <v>2021</v>
      </c>
      <c r="AV35">
        <v>24</v>
      </c>
      <c r="AW35">
        <v>5</v>
      </c>
      <c r="AX35" t="s">
        <v>74</v>
      </c>
      <c r="AY35" t="s">
        <v>74</v>
      </c>
      <c r="AZ35" t="s">
        <v>74</v>
      </c>
      <c r="BA35" t="s">
        <v>74</v>
      </c>
      <c r="BB35">
        <v>1203</v>
      </c>
      <c r="BC35">
        <v>1221</v>
      </c>
      <c r="BD35" t="s">
        <v>74</v>
      </c>
      <c r="BE35" t="s">
        <v>895</v>
      </c>
      <c r="BF35" t="str">
        <f>HYPERLINK("http://dx.doi.org/10.1007/s10021-020-00578-5","http://dx.doi.org/10.1007/s10021-020-00578-5")</f>
        <v>http://dx.doi.org/10.1007/s10021-020-00578-5</v>
      </c>
      <c r="BG35" t="s">
        <v>74</v>
      </c>
      <c r="BH35" t="s">
        <v>228</v>
      </c>
      <c r="BI35">
        <v>19</v>
      </c>
      <c r="BJ35" t="s">
        <v>823</v>
      </c>
      <c r="BK35" t="s">
        <v>100</v>
      </c>
      <c r="BL35" t="s">
        <v>284</v>
      </c>
      <c r="BM35" t="s">
        <v>896</v>
      </c>
      <c r="BN35" t="s">
        <v>74</v>
      </c>
      <c r="BO35" t="s">
        <v>74</v>
      </c>
      <c r="BP35" t="s">
        <v>74</v>
      </c>
      <c r="BQ35" t="s">
        <v>74</v>
      </c>
      <c r="BR35" t="s">
        <v>104</v>
      </c>
      <c r="BS35" t="s">
        <v>897</v>
      </c>
      <c r="BT35" t="str">
        <f>HYPERLINK("https%3A%2F%2Fwww.webofscience.com%2Fwos%2Fwoscc%2Ffull-record%2FWOS:000584984700001","View Full Record in Web of Science")</f>
        <v>View Full Record in Web of Science</v>
      </c>
    </row>
    <row r="36" spans="1:72" x14ac:dyDescent="0.15">
      <c r="A36" t="s">
        <v>72</v>
      </c>
      <c r="B36" t="s">
        <v>898</v>
      </c>
      <c r="C36" t="s">
        <v>74</v>
      </c>
      <c r="D36" t="s">
        <v>74</v>
      </c>
      <c r="E36" t="s">
        <v>74</v>
      </c>
      <c r="F36" t="s">
        <v>899</v>
      </c>
      <c r="G36" t="s">
        <v>74</v>
      </c>
      <c r="H36" t="s">
        <v>74</v>
      </c>
      <c r="I36" t="s">
        <v>900</v>
      </c>
      <c r="J36" t="s">
        <v>901</v>
      </c>
      <c r="K36" t="s">
        <v>74</v>
      </c>
      <c r="L36" t="s">
        <v>74</v>
      </c>
      <c r="M36" t="s">
        <v>78</v>
      </c>
      <c r="N36" t="s">
        <v>138</v>
      </c>
      <c r="O36" t="s">
        <v>74</v>
      </c>
      <c r="P36" t="s">
        <v>74</v>
      </c>
      <c r="Q36" t="s">
        <v>74</v>
      </c>
      <c r="R36" t="s">
        <v>74</v>
      </c>
      <c r="S36" t="s">
        <v>74</v>
      </c>
      <c r="T36" t="s">
        <v>902</v>
      </c>
      <c r="U36" t="s">
        <v>903</v>
      </c>
      <c r="V36" t="s">
        <v>904</v>
      </c>
      <c r="W36" t="s">
        <v>905</v>
      </c>
      <c r="X36" t="s">
        <v>906</v>
      </c>
      <c r="Y36" t="s">
        <v>907</v>
      </c>
      <c r="Z36" t="s">
        <v>908</v>
      </c>
      <c r="AA36" t="s">
        <v>909</v>
      </c>
      <c r="AB36" t="s">
        <v>910</v>
      </c>
      <c r="AC36" t="s">
        <v>911</v>
      </c>
      <c r="AD36" t="s">
        <v>912</v>
      </c>
      <c r="AE36" t="s">
        <v>913</v>
      </c>
      <c r="AF36" t="s">
        <v>74</v>
      </c>
      <c r="AG36">
        <v>155</v>
      </c>
      <c r="AH36">
        <v>45</v>
      </c>
      <c r="AI36">
        <v>48</v>
      </c>
      <c r="AJ36">
        <v>15</v>
      </c>
      <c r="AK36">
        <v>142</v>
      </c>
      <c r="AL36" t="s">
        <v>866</v>
      </c>
      <c r="AM36" t="s">
        <v>867</v>
      </c>
      <c r="AN36" t="s">
        <v>868</v>
      </c>
      <c r="AO36" t="s">
        <v>74</v>
      </c>
      <c r="AP36" t="s">
        <v>914</v>
      </c>
      <c r="AQ36" t="s">
        <v>74</v>
      </c>
      <c r="AR36" t="s">
        <v>915</v>
      </c>
      <c r="AS36" t="s">
        <v>916</v>
      </c>
      <c r="AT36" t="s">
        <v>844</v>
      </c>
      <c r="AU36">
        <v>2020</v>
      </c>
      <c r="AV36">
        <v>7</v>
      </c>
      <c r="AW36" t="s">
        <v>74</v>
      </c>
      <c r="AX36" t="s">
        <v>74</v>
      </c>
      <c r="AY36" t="s">
        <v>74</v>
      </c>
      <c r="AZ36" t="s">
        <v>74</v>
      </c>
      <c r="BA36" t="s">
        <v>74</v>
      </c>
      <c r="BB36" t="s">
        <v>74</v>
      </c>
      <c r="BC36" t="s">
        <v>74</v>
      </c>
      <c r="BD36">
        <v>544105</v>
      </c>
      <c r="BE36" t="s">
        <v>917</v>
      </c>
      <c r="BF36" t="str">
        <f>HYPERLINK("http://dx.doi.org/10.3389/fmars.2020.544105","http://dx.doi.org/10.3389/fmars.2020.544105")</f>
        <v>http://dx.doi.org/10.3389/fmars.2020.544105</v>
      </c>
      <c r="BG36" t="s">
        <v>74</v>
      </c>
      <c r="BH36" t="s">
        <v>74</v>
      </c>
      <c r="BI36">
        <v>14</v>
      </c>
      <c r="BJ36" t="s">
        <v>918</v>
      </c>
      <c r="BK36" t="s">
        <v>255</v>
      </c>
      <c r="BL36" t="s">
        <v>919</v>
      </c>
      <c r="BM36" t="s">
        <v>920</v>
      </c>
      <c r="BN36" t="s">
        <v>74</v>
      </c>
      <c r="BO36" t="s">
        <v>332</v>
      </c>
      <c r="BP36" t="s">
        <v>74</v>
      </c>
      <c r="BQ36" t="s">
        <v>74</v>
      </c>
      <c r="BR36" t="s">
        <v>104</v>
      </c>
      <c r="BS36" t="s">
        <v>921</v>
      </c>
      <c r="BT36" t="str">
        <f>HYPERLINK("https%3A%2F%2Fwww.webofscience.com%2Fwos%2Fwoscc%2Ffull-record%2FWOS:000585752500001","View Full Record in Web of Science")</f>
        <v>View Full Record in Web of Science</v>
      </c>
    </row>
    <row r="37" spans="1:72" x14ac:dyDescent="0.15">
      <c r="A37" t="s">
        <v>72</v>
      </c>
      <c r="B37" t="s">
        <v>922</v>
      </c>
      <c r="C37" t="s">
        <v>74</v>
      </c>
      <c r="D37" t="s">
        <v>74</v>
      </c>
      <c r="E37" t="s">
        <v>74</v>
      </c>
      <c r="F37" t="s">
        <v>923</v>
      </c>
      <c r="G37" t="s">
        <v>74</v>
      </c>
      <c r="H37" t="s">
        <v>74</v>
      </c>
      <c r="I37" t="s">
        <v>924</v>
      </c>
      <c r="J37" t="s">
        <v>925</v>
      </c>
      <c r="K37" t="s">
        <v>74</v>
      </c>
      <c r="L37" t="s">
        <v>74</v>
      </c>
      <c r="M37" t="s">
        <v>78</v>
      </c>
      <c r="N37" t="s">
        <v>79</v>
      </c>
      <c r="O37" t="s">
        <v>74</v>
      </c>
      <c r="P37" t="s">
        <v>74</v>
      </c>
      <c r="Q37" t="s">
        <v>74</v>
      </c>
      <c r="R37" t="s">
        <v>74</v>
      </c>
      <c r="S37" t="s">
        <v>74</v>
      </c>
      <c r="T37" t="s">
        <v>926</v>
      </c>
      <c r="U37" t="s">
        <v>74</v>
      </c>
      <c r="V37" t="s">
        <v>927</v>
      </c>
      <c r="W37" t="s">
        <v>928</v>
      </c>
      <c r="X37" t="s">
        <v>929</v>
      </c>
      <c r="Y37" t="s">
        <v>930</v>
      </c>
      <c r="Z37" t="s">
        <v>931</v>
      </c>
      <c r="AA37" t="s">
        <v>932</v>
      </c>
      <c r="AB37" t="s">
        <v>933</v>
      </c>
      <c r="AC37" t="s">
        <v>934</v>
      </c>
      <c r="AD37" t="s">
        <v>935</v>
      </c>
      <c r="AE37" t="s">
        <v>936</v>
      </c>
      <c r="AF37" t="s">
        <v>74</v>
      </c>
      <c r="AG37">
        <v>86</v>
      </c>
      <c r="AH37">
        <v>127</v>
      </c>
      <c r="AI37">
        <v>136</v>
      </c>
      <c r="AJ37">
        <v>56</v>
      </c>
      <c r="AK37">
        <v>394</v>
      </c>
      <c r="AL37" t="s">
        <v>937</v>
      </c>
      <c r="AM37" t="s">
        <v>609</v>
      </c>
      <c r="AN37" t="s">
        <v>938</v>
      </c>
      <c r="AO37" t="s">
        <v>939</v>
      </c>
      <c r="AP37" t="s">
        <v>940</v>
      </c>
      <c r="AQ37" t="s">
        <v>74</v>
      </c>
      <c r="AR37" t="s">
        <v>941</v>
      </c>
      <c r="AS37" t="s">
        <v>942</v>
      </c>
      <c r="AT37" t="s">
        <v>943</v>
      </c>
      <c r="AU37">
        <v>2020</v>
      </c>
      <c r="AV37">
        <v>54</v>
      </c>
      <c r="AW37">
        <v>21</v>
      </c>
      <c r="AX37" t="s">
        <v>74</v>
      </c>
      <c r="AY37" t="s">
        <v>74</v>
      </c>
      <c r="AZ37" t="s">
        <v>74</v>
      </c>
      <c r="BA37" t="s">
        <v>74</v>
      </c>
      <c r="BB37">
        <v>13661</v>
      </c>
      <c r="BC37">
        <v>13671</v>
      </c>
      <c r="BD37" t="s">
        <v>74</v>
      </c>
      <c r="BE37" t="s">
        <v>944</v>
      </c>
      <c r="BF37" t="str">
        <f>HYPERLINK("http://dx.doi.org/10.1021/acs.est.0c03441","http://dx.doi.org/10.1021/acs.est.0c03441")</f>
        <v>http://dx.doi.org/10.1021/acs.est.0c03441</v>
      </c>
      <c r="BG37" t="s">
        <v>74</v>
      </c>
      <c r="BH37" t="s">
        <v>74</v>
      </c>
      <c r="BI37">
        <v>11</v>
      </c>
      <c r="BJ37" t="s">
        <v>945</v>
      </c>
      <c r="BK37" t="s">
        <v>100</v>
      </c>
      <c r="BL37" t="s">
        <v>946</v>
      </c>
      <c r="BM37" t="s">
        <v>947</v>
      </c>
      <c r="BN37">
        <v>33086791</v>
      </c>
      <c r="BO37" t="s">
        <v>376</v>
      </c>
      <c r="BP37" t="s">
        <v>74</v>
      </c>
      <c r="BQ37" t="s">
        <v>74</v>
      </c>
      <c r="BR37" t="s">
        <v>104</v>
      </c>
      <c r="BS37" t="s">
        <v>948</v>
      </c>
      <c r="BT37" t="str">
        <f>HYPERLINK("https%3A%2F%2Fwww.webofscience.com%2Fwos%2Fwoscc%2Ffull-record%2FWOS:000589249900031","View Full Record in Web of Science")</f>
        <v>View Full Record in Web of Science</v>
      </c>
    </row>
    <row r="38" spans="1:72" x14ac:dyDescent="0.15">
      <c r="A38" t="s">
        <v>72</v>
      </c>
      <c r="B38" t="s">
        <v>949</v>
      </c>
      <c r="C38" t="s">
        <v>74</v>
      </c>
      <c r="D38" t="s">
        <v>74</v>
      </c>
      <c r="E38" t="s">
        <v>74</v>
      </c>
      <c r="F38" t="s">
        <v>950</v>
      </c>
      <c r="G38" t="s">
        <v>74</v>
      </c>
      <c r="H38" t="s">
        <v>74</v>
      </c>
      <c r="I38" t="s">
        <v>951</v>
      </c>
      <c r="J38" t="s">
        <v>569</v>
      </c>
      <c r="K38" t="s">
        <v>74</v>
      </c>
      <c r="L38" t="s">
        <v>74</v>
      </c>
      <c r="M38" t="s">
        <v>78</v>
      </c>
      <c r="N38" t="s">
        <v>79</v>
      </c>
      <c r="O38" t="s">
        <v>74</v>
      </c>
      <c r="P38" t="s">
        <v>74</v>
      </c>
      <c r="Q38" t="s">
        <v>74</v>
      </c>
      <c r="R38" t="s">
        <v>74</v>
      </c>
      <c r="S38" t="s">
        <v>74</v>
      </c>
      <c r="T38" t="s">
        <v>952</v>
      </c>
      <c r="U38" t="s">
        <v>953</v>
      </c>
      <c r="V38" t="s">
        <v>954</v>
      </c>
      <c r="W38" t="s">
        <v>955</v>
      </c>
      <c r="X38" t="s">
        <v>956</v>
      </c>
      <c r="Y38" t="s">
        <v>957</v>
      </c>
      <c r="Z38" t="s">
        <v>958</v>
      </c>
      <c r="AA38" t="s">
        <v>74</v>
      </c>
      <c r="AB38" t="s">
        <v>959</v>
      </c>
      <c r="AC38" t="s">
        <v>960</v>
      </c>
      <c r="AD38" t="s">
        <v>961</v>
      </c>
      <c r="AE38" t="s">
        <v>962</v>
      </c>
      <c r="AF38" t="s">
        <v>74</v>
      </c>
      <c r="AG38">
        <v>95</v>
      </c>
      <c r="AH38">
        <v>8</v>
      </c>
      <c r="AI38">
        <v>8</v>
      </c>
      <c r="AJ38">
        <v>0</v>
      </c>
      <c r="AK38">
        <v>9</v>
      </c>
      <c r="AL38" t="s">
        <v>581</v>
      </c>
      <c r="AM38" t="s">
        <v>582</v>
      </c>
      <c r="AN38" t="s">
        <v>583</v>
      </c>
      <c r="AO38" t="s">
        <v>584</v>
      </c>
      <c r="AP38" t="s">
        <v>585</v>
      </c>
      <c r="AQ38" t="s">
        <v>74</v>
      </c>
      <c r="AR38" t="s">
        <v>586</v>
      </c>
      <c r="AS38" t="s">
        <v>587</v>
      </c>
      <c r="AT38" t="s">
        <v>943</v>
      </c>
      <c r="AU38">
        <v>2020</v>
      </c>
      <c r="AV38">
        <v>50</v>
      </c>
      <c r="AW38">
        <v>6</v>
      </c>
      <c r="AX38" t="s">
        <v>74</v>
      </c>
      <c r="AY38" t="s">
        <v>74</v>
      </c>
      <c r="AZ38" t="s">
        <v>74</v>
      </c>
      <c r="BA38" t="s">
        <v>74</v>
      </c>
      <c r="BB38" t="s">
        <v>74</v>
      </c>
      <c r="BC38" t="s">
        <v>74</v>
      </c>
      <c r="BD38">
        <v>96</v>
      </c>
      <c r="BE38" t="s">
        <v>963</v>
      </c>
      <c r="BF38" t="str">
        <f>HYPERLINK("http://dx.doi.org/10.1007/s12526-020-01109-0","http://dx.doi.org/10.1007/s12526-020-01109-0")</f>
        <v>http://dx.doi.org/10.1007/s12526-020-01109-0</v>
      </c>
      <c r="BG38" t="s">
        <v>74</v>
      </c>
      <c r="BH38" t="s">
        <v>74</v>
      </c>
      <c r="BI38">
        <v>13</v>
      </c>
      <c r="BJ38" t="s">
        <v>589</v>
      </c>
      <c r="BK38" t="s">
        <v>100</v>
      </c>
      <c r="BL38" t="s">
        <v>590</v>
      </c>
      <c r="BM38" t="s">
        <v>964</v>
      </c>
      <c r="BN38" t="s">
        <v>74</v>
      </c>
      <c r="BO38" t="s">
        <v>74</v>
      </c>
      <c r="BP38" t="s">
        <v>74</v>
      </c>
      <c r="BQ38" t="s">
        <v>74</v>
      </c>
      <c r="BR38" t="s">
        <v>104</v>
      </c>
      <c r="BS38" t="s">
        <v>965</v>
      </c>
      <c r="BT38" t="str">
        <f>HYPERLINK("https%3A%2F%2Fwww.webofscience.com%2Fwos%2Fwoscc%2Ffull-record%2FWOS:000589821200001","View Full Record in Web of Science")</f>
        <v>View Full Record in Web of Science</v>
      </c>
    </row>
    <row r="39" spans="1:72" x14ac:dyDescent="0.15">
      <c r="A39" t="s">
        <v>72</v>
      </c>
      <c r="B39" t="s">
        <v>966</v>
      </c>
      <c r="C39" t="s">
        <v>74</v>
      </c>
      <c r="D39" t="s">
        <v>74</v>
      </c>
      <c r="E39" t="s">
        <v>74</v>
      </c>
      <c r="F39" t="s">
        <v>967</v>
      </c>
      <c r="G39" t="s">
        <v>74</v>
      </c>
      <c r="H39" t="s">
        <v>74</v>
      </c>
      <c r="I39" t="s">
        <v>968</v>
      </c>
      <c r="J39" t="s">
        <v>969</v>
      </c>
      <c r="K39" t="s">
        <v>74</v>
      </c>
      <c r="L39" t="s">
        <v>74</v>
      </c>
      <c r="M39" t="s">
        <v>78</v>
      </c>
      <c r="N39" t="s">
        <v>79</v>
      </c>
      <c r="O39" t="s">
        <v>74</v>
      </c>
      <c r="P39" t="s">
        <v>74</v>
      </c>
      <c r="Q39" t="s">
        <v>74</v>
      </c>
      <c r="R39" t="s">
        <v>74</v>
      </c>
      <c r="S39" t="s">
        <v>74</v>
      </c>
      <c r="T39" t="s">
        <v>74</v>
      </c>
      <c r="U39" t="s">
        <v>970</v>
      </c>
      <c r="V39" t="s">
        <v>971</v>
      </c>
      <c r="W39" t="s">
        <v>972</v>
      </c>
      <c r="X39" t="s">
        <v>973</v>
      </c>
      <c r="Y39" t="s">
        <v>974</v>
      </c>
      <c r="Z39" t="s">
        <v>975</v>
      </c>
      <c r="AA39" t="s">
        <v>976</v>
      </c>
      <c r="AB39" t="s">
        <v>977</v>
      </c>
      <c r="AC39" t="s">
        <v>978</v>
      </c>
      <c r="AD39" t="s">
        <v>979</v>
      </c>
      <c r="AE39" t="s">
        <v>980</v>
      </c>
      <c r="AF39" t="s">
        <v>74</v>
      </c>
      <c r="AG39">
        <v>30</v>
      </c>
      <c r="AH39">
        <v>3</v>
      </c>
      <c r="AI39">
        <v>3</v>
      </c>
      <c r="AJ39">
        <v>0</v>
      </c>
      <c r="AK39">
        <v>2</v>
      </c>
      <c r="AL39" t="s">
        <v>91</v>
      </c>
      <c r="AM39" t="s">
        <v>92</v>
      </c>
      <c r="AN39" t="s">
        <v>93</v>
      </c>
      <c r="AO39" t="s">
        <v>981</v>
      </c>
      <c r="AP39" t="s">
        <v>982</v>
      </c>
      <c r="AQ39" t="s">
        <v>74</v>
      </c>
      <c r="AR39" t="s">
        <v>983</v>
      </c>
      <c r="AS39" t="s">
        <v>984</v>
      </c>
      <c r="AT39" t="s">
        <v>943</v>
      </c>
      <c r="AU39">
        <v>2020</v>
      </c>
      <c r="AV39">
        <v>38</v>
      </c>
      <c r="AW39">
        <v>6</v>
      </c>
      <c r="AX39" t="s">
        <v>74</v>
      </c>
      <c r="AY39" t="s">
        <v>74</v>
      </c>
      <c r="AZ39" t="s">
        <v>74</v>
      </c>
      <c r="BA39" t="s">
        <v>74</v>
      </c>
      <c r="BB39">
        <v>1159</v>
      </c>
      <c r="BC39">
        <v>1170</v>
      </c>
      <c r="BD39" t="s">
        <v>74</v>
      </c>
      <c r="BE39" t="s">
        <v>985</v>
      </c>
      <c r="BF39" t="str">
        <f>HYPERLINK("http://dx.doi.org/10.5194/angeo-38-1159-2020","http://dx.doi.org/10.5194/angeo-38-1159-2020")</f>
        <v>http://dx.doi.org/10.5194/angeo-38-1159-2020</v>
      </c>
      <c r="BG39" t="s">
        <v>74</v>
      </c>
      <c r="BH39" t="s">
        <v>74</v>
      </c>
      <c r="BI39">
        <v>12</v>
      </c>
      <c r="BJ39" t="s">
        <v>986</v>
      </c>
      <c r="BK39" t="s">
        <v>100</v>
      </c>
      <c r="BL39" t="s">
        <v>987</v>
      </c>
      <c r="BM39" t="s">
        <v>988</v>
      </c>
      <c r="BN39" t="s">
        <v>74</v>
      </c>
      <c r="BO39" t="s">
        <v>989</v>
      </c>
      <c r="BP39" t="s">
        <v>74</v>
      </c>
      <c r="BQ39" t="s">
        <v>74</v>
      </c>
      <c r="BR39" t="s">
        <v>104</v>
      </c>
      <c r="BS39" t="s">
        <v>990</v>
      </c>
      <c r="BT39" t="str">
        <f>HYPERLINK("https%3A%2F%2Fwww.webofscience.com%2Fwos%2Fwoscc%2Ffull-record%2FWOS:000588754700002","View Full Record in Web of Science")</f>
        <v>View Full Record in Web of Science</v>
      </c>
    </row>
    <row r="40" spans="1:72" x14ac:dyDescent="0.15">
      <c r="A40" t="s">
        <v>72</v>
      </c>
      <c r="B40" t="s">
        <v>991</v>
      </c>
      <c r="C40" t="s">
        <v>74</v>
      </c>
      <c r="D40" t="s">
        <v>74</v>
      </c>
      <c r="E40" t="s">
        <v>74</v>
      </c>
      <c r="F40" t="s">
        <v>992</v>
      </c>
      <c r="G40" t="s">
        <v>74</v>
      </c>
      <c r="H40" t="s">
        <v>74</v>
      </c>
      <c r="I40" t="s">
        <v>993</v>
      </c>
      <c r="J40" t="s">
        <v>517</v>
      </c>
      <c r="K40" t="s">
        <v>74</v>
      </c>
      <c r="L40" t="s">
        <v>74</v>
      </c>
      <c r="M40" t="s">
        <v>78</v>
      </c>
      <c r="N40" t="s">
        <v>79</v>
      </c>
      <c r="O40" t="s">
        <v>74</v>
      </c>
      <c r="P40" t="s">
        <v>74</v>
      </c>
      <c r="Q40" t="s">
        <v>74</v>
      </c>
      <c r="R40" t="s">
        <v>74</v>
      </c>
      <c r="S40" t="s">
        <v>74</v>
      </c>
      <c r="T40" t="s">
        <v>74</v>
      </c>
      <c r="U40" t="s">
        <v>994</v>
      </c>
      <c r="V40" t="s">
        <v>995</v>
      </c>
      <c r="W40" t="s">
        <v>996</v>
      </c>
      <c r="X40" t="s">
        <v>997</v>
      </c>
      <c r="Y40" t="s">
        <v>998</v>
      </c>
      <c r="Z40" t="s">
        <v>999</v>
      </c>
      <c r="AA40" t="s">
        <v>74</v>
      </c>
      <c r="AB40" t="s">
        <v>1000</v>
      </c>
      <c r="AC40" t="s">
        <v>1001</v>
      </c>
      <c r="AD40" t="s">
        <v>1002</v>
      </c>
      <c r="AE40" t="s">
        <v>1003</v>
      </c>
      <c r="AF40" t="s">
        <v>74</v>
      </c>
      <c r="AG40">
        <v>26</v>
      </c>
      <c r="AH40">
        <v>2</v>
      </c>
      <c r="AI40">
        <v>2</v>
      </c>
      <c r="AJ40">
        <v>1</v>
      </c>
      <c r="AK40">
        <v>16</v>
      </c>
      <c r="AL40" t="s">
        <v>91</v>
      </c>
      <c r="AM40" t="s">
        <v>92</v>
      </c>
      <c r="AN40" t="s">
        <v>93</v>
      </c>
      <c r="AO40" t="s">
        <v>529</v>
      </c>
      <c r="AP40" t="s">
        <v>530</v>
      </c>
      <c r="AQ40" t="s">
        <v>74</v>
      </c>
      <c r="AR40" t="s">
        <v>531</v>
      </c>
      <c r="AS40" t="s">
        <v>532</v>
      </c>
      <c r="AT40" t="s">
        <v>943</v>
      </c>
      <c r="AU40">
        <v>2020</v>
      </c>
      <c r="AV40">
        <v>11</v>
      </c>
      <c r="AW40">
        <v>4</v>
      </c>
      <c r="AX40" t="s">
        <v>74</v>
      </c>
      <c r="AY40" t="s">
        <v>74</v>
      </c>
      <c r="AZ40" t="s">
        <v>74</v>
      </c>
      <c r="BA40" t="s">
        <v>74</v>
      </c>
      <c r="BB40">
        <v>925</v>
      </c>
      <c r="BC40">
        <v>951</v>
      </c>
      <c r="BD40" t="s">
        <v>74</v>
      </c>
      <c r="BE40" t="s">
        <v>1004</v>
      </c>
      <c r="BF40" t="str">
        <f>HYPERLINK("http://dx.doi.org/10.5194/esd-11-925-2020","http://dx.doi.org/10.5194/esd-11-925-2020")</f>
        <v>http://dx.doi.org/10.5194/esd-11-925-2020</v>
      </c>
      <c r="BG40" t="s">
        <v>74</v>
      </c>
      <c r="BH40" t="s">
        <v>74</v>
      </c>
      <c r="BI40">
        <v>27</v>
      </c>
      <c r="BJ40" t="s">
        <v>534</v>
      </c>
      <c r="BK40" t="s">
        <v>100</v>
      </c>
      <c r="BL40" t="s">
        <v>535</v>
      </c>
      <c r="BM40" t="s">
        <v>1005</v>
      </c>
      <c r="BN40" t="s">
        <v>74</v>
      </c>
      <c r="BO40" t="s">
        <v>332</v>
      </c>
      <c r="BP40" t="s">
        <v>74</v>
      </c>
      <c r="BQ40" t="s">
        <v>74</v>
      </c>
      <c r="BR40" t="s">
        <v>104</v>
      </c>
      <c r="BS40" t="s">
        <v>1006</v>
      </c>
      <c r="BT40" t="str">
        <f>HYPERLINK("https%3A%2F%2Fwww.webofscience.com%2Fwos%2Fwoscc%2Ffull-record%2FWOS:000588756000002","View Full Record in Web of Science")</f>
        <v>View Full Record in Web of Science</v>
      </c>
    </row>
    <row r="41" spans="1:72" x14ac:dyDescent="0.15">
      <c r="A41" t="s">
        <v>72</v>
      </c>
      <c r="B41" t="s">
        <v>1007</v>
      </c>
      <c r="C41" t="s">
        <v>74</v>
      </c>
      <c r="D41" t="s">
        <v>74</v>
      </c>
      <c r="E41" t="s">
        <v>74</v>
      </c>
      <c r="F41" t="s">
        <v>1008</v>
      </c>
      <c r="G41" t="s">
        <v>74</v>
      </c>
      <c r="H41" t="s">
        <v>74</v>
      </c>
      <c r="I41" t="s">
        <v>1009</v>
      </c>
      <c r="J41" t="s">
        <v>1010</v>
      </c>
      <c r="K41" t="s">
        <v>74</v>
      </c>
      <c r="L41" t="s">
        <v>74</v>
      </c>
      <c r="M41" t="s">
        <v>78</v>
      </c>
      <c r="N41" t="s">
        <v>79</v>
      </c>
      <c r="O41" t="s">
        <v>74</v>
      </c>
      <c r="P41" t="s">
        <v>74</v>
      </c>
      <c r="Q41" t="s">
        <v>74</v>
      </c>
      <c r="R41" t="s">
        <v>74</v>
      </c>
      <c r="S41" t="s">
        <v>74</v>
      </c>
      <c r="T41" t="s">
        <v>74</v>
      </c>
      <c r="U41" t="s">
        <v>1011</v>
      </c>
      <c r="V41" t="s">
        <v>1012</v>
      </c>
      <c r="W41" t="s">
        <v>1013</v>
      </c>
      <c r="X41" t="s">
        <v>1014</v>
      </c>
      <c r="Y41" t="s">
        <v>1015</v>
      </c>
      <c r="Z41" t="s">
        <v>1016</v>
      </c>
      <c r="AA41" t="s">
        <v>1017</v>
      </c>
      <c r="AB41" t="s">
        <v>1018</v>
      </c>
      <c r="AC41" t="s">
        <v>1019</v>
      </c>
      <c r="AD41" t="s">
        <v>1020</v>
      </c>
      <c r="AE41" t="s">
        <v>1021</v>
      </c>
      <c r="AF41" t="s">
        <v>74</v>
      </c>
      <c r="AG41">
        <v>113</v>
      </c>
      <c r="AH41">
        <v>8</v>
      </c>
      <c r="AI41">
        <v>8</v>
      </c>
      <c r="AJ41">
        <v>3</v>
      </c>
      <c r="AK41">
        <v>13</v>
      </c>
      <c r="AL41" t="s">
        <v>91</v>
      </c>
      <c r="AM41" t="s">
        <v>92</v>
      </c>
      <c r="AN41" t="s">
        <v>93</v>
      </c>
      <c r="AO41" t="s">
        <v>1022</v>
      </c>
      <c r="AP41" t="s">
        <v>1023</v>
      </c>
      <c r="AQ41" t="s">
        <v>74</v>
      </c>
      <c r="AR41" t="s">
        <v>1024</v>
      </c>
      <c r="AS41" t="s">
        <v>1025</v>
      </c>
      <c r="AT41" t="s">
        <v>943</v>
      </c>
      <c r="AU41">
        <v>2020</v>
      </c>
      <c r="AV41">
        <v>20</v>
      </c>
      <c r="AW41">
        <v>21</v>
      </c>
      <c r="AX41" t="s">
        <v>74</v>
      </c>
      <c r="AY41" t="s">
        <v>74</v>
      </c>
      <c r="AZ41" t="s">
        <v>74</v>
      </c>
      <c r="BA41" t="s">
        <v>74</v>
      </c>
      <c r="BB41">
        <v>12609</v>
      </c>
      <c r="BC41">
        <v>12631</v>
      </c>
      <c r="BD41" t="s">
        <v>74</v>
      </c>
      <c r="BE41" t="s">
        <v>1026</v>
      </c>
      <c r="BF41" t="str">
        <f>HYPERLINK("http://dx.doi.org/10.5194/acp-20-12609-2020","http://dx.doi.org/10.5194/acp-20-12609-2020")</f>
        <v>http://dx.doi.org/10.5194/acp-20-12609-2020</v>
      </c>
      <c r="BG41" t="s">
        <v>74</v>
      </c>
      <c r="BH41" t="s">
        <v>74</v>
      </c>
      <c r="BI41">
        <v>23</v>
      </c>
      <c r="BJ41" t="s">
        <v>1027</v>
      </c>
      <c r="BK41" t="s">
        <v>100</v>
      </c>
      <c r="BL41" t="s">
        <v>1028</v>
      </c>
      <c r="BM41" t="s">
        <v>1029</v>
      </c>
      <c r="BN41" t="s">
        <v>74</v>
      </c>
      <c r="BO41" t="s">
        <v>1030</v>
      </c>
      <c r="BP41" t="s">
        <v>74</v>
      </c>
      <c r="BQ41" t="s">
        <v>74</v>
      </c>
      <c r="BR41" t="s">
        <v>104</v>
      </c>
      <c r="BS41" t="s">
        <v>1031</v>
      </c>
      <c r="BT41" t="str">
        <f>HYPERLINK("https%3A%2F%2Fwww.webofscience.com%2Fwos%2Fwoscc%2Ffull-record%2FWOS:000584387800001","View Full Record in Web of Science")</f>
        <v>View Full Record in Web of Science</v>
      </c>
    </row>
    <row r="42" spans="1:72" x14ac:dyDescent="0.15">
      <c r="A42" t="s">
        <v>72</v>
      </c>
      <c r="B42" t="s">
        <v>1032</v>
      </c>
      <c r="C42" t="s">
        <v>74</v>
      </c>
      <c r="D42" t="s">
        <v>74</v>
      </c>
      <c r="E42" t="s">
        <v>74</v>
      </c>
      <c r="F42" t="s">
        <v>1033</v>
      </c>
      <c r="G42" t="s">
        <v>74</v>
      </c>
      <c r="H42" t="s">
        <v>74</v>
      </c>
      <c r="I42" t="s">
        <v>1034</v>
      </c>
      <c r="J42" t="s">
        <v>1035</v>
      </c>
      <c r="K42" t="s">
        <v>74</v>
      </c>
      <c r="L42" t="s">
        <v>74</v>
      </c>
      <c r="M42" t="s">
        <v>78</v>
      </c>
      <c r="N42" t="s">
        <v>79</v>
      </c>
      <c r="O42" t="s">
        <v>74</v>
      </c>
      <c r="P42" t="s">
        <v>74</v>
      </c>
      <c r="Q42" t="s">
        <v>74</v>
      </c>
      <c r="R42" t="s">
        <v>74</v>
      </c>
      <c r="S42" t="s">
        <v>74</v>
      </c>
      <c r="T42" t="s">
        <v>74</v>
      </c>
      <c r="U42" t="s">
        <v>1036</v>
      </c>
      <c r="V42" t="s">
        <v>1037</v>
      </c>
      <c r="W42" t="s">
        <v>1038</v>
      </c>
      <c r="X42" t="s">
        <v>1039</v>
      </c>
      <c r="Y42" t="s">
        <v>1040</v>
      </c>
      <c r="Z42" t="s">
        <v>1041</v>
      </c>
      <c r="AA42" t="s">
        <v>1042</v>
      </c>
      <c r="AB42" t="s">
        <v>1043</v>
      </c>
      <c r="AC42" t="s">
        <v>1044</v>
      </c>
      <c r="AD42" t="s">
        <v>1045</v>
      </c>
      <c r="AE42" t="s">
        <v>1046</v>
      </c>
      <c r="AF42" t="s">
        <v>74</v>
      </c>
      <c r="AG42">
        <v>81</v>
      </c>
      <c r="AH42">
        <v>5</v>
      </c>
      <c r="AI42">
        <v>5</v>
      </c>
      <c r="AJ42">
        <v>1</v>
      </c>
      <c r="AK42">
        <v>7</v>
      </c>
      <c r="AL42" t="s">
        <v>1047</v>
      </c>
      <c r="AM42" t="s">
        <v>1048</v>
      </c>
      <c r="AN42" t="s">
        <v>1049</v>
      </c>
      <c r="AO42" t="s">
        <v>1050</v>
      </c>
      <c r="AP42" t="s">
        <v>1051</v>
      </c>
      <c r="AQ42" t="s">
        <v>74</v>
      </c>
      <c r="AR42" t="s">
        <v>1052</v>
      </c>
      <c r="AS42" t="s">
        <v>1053</v>
      </c>
      <c r="AT42" t="s">
        <v>1054</v>
      </c>
      <c r="AU42">
        <v>2020</v>
      </c>
      <c r="AV42">
        <v>40</v>
      </c>
      <c r="AW42">
        <v>5</v>
      </c>
      <c r="AX42" t="s">
        <v>74</v>
      </c>
      <c r="AY42" t="s">
        <v>74</v>
      </c>
      <c r="AZ42" t="s">
        <v>74</v>
      </c>
      <c r="BA42" t="s">
        <v>74</v>
      </c>
      <c r="BB42" t="s">
        <v>74</v>
      </c>
      <c r="BC42" t="s">
        <v>74</v>
      </c>
      <c r="BD42" t="s">
        <v>1055</v>
      </c>
      <c r="BE42" t="s">
        <v>1056</v>
      </c>
      <c r="BF42" t="str">
        <f>HYPERLINK("http://dx.doi.org/10.1080/02724634.2020.1829634","http://dx.doi.org/10.1080/02724634.2020.1829634")</f>
        <v>http://dx.doi.org/10.1080/02724634.2020.1829634</v>
      </c>
      <c r="BG42" t="s">
        <v>74</v>
      </c>
      <c r="BH42" t="s">
        <v>228</v>
      </c>
      <c r="BI42">
        <v>10</v>
      </c>
      <c r="BJ42" t="s">
        <v>1057</v>
      </c>
      <c r="BK42" t="s">
        <v>100</v>
      </c>
      <c r="BL42" t="s">
        <v>1057</v>
      </c>
      <c r="BM42" t="s">
        <v>1058</v>
      </c>
      <c r="BN42" t="s">
        <v>74</v>
      </c>
      <c r="BO42" t="s">
        <v>74</v>
      </c>
      <c r="BP42" t="s">
        <v>74</v>
      </c>
      <c r="BQ42" t="s">
        <v>74</v>
      </c>
      <c r="BR42" t="s">
        <v>104</v>
      </c>
      <c r="BS42" t="s">
        <v>1059</v>
      </c>
      <c r="BT42" t="str">
        <f>HYPERLINK("https%3A%2F%2Fwww.webofscience.com%2Fwos%2Fwoscc%2Ffull-record%2FWOS:000585467300001","View Full Record in Web of Science")</f>
        <v>View Full Record in Web of Science</v>
      </c>
    </row>
    <row r="43" spans="1:72" x14ac:dyDescent="0.15">
      <c r="A43" t="s">
        <v>72</v>
      </c>
      <c r="B43" t="s">
        <v>1060</v>
      </c>
      <c r="C43" t="s">
        <v>74</v>
      </c>
      <c r="D43" t="s">
        <v>74</v>
      </c>
      <c r="E43" t="s">
        <v>74</v>
      </c>
      <c r="F43" t="s">
        <v>1061</v>
      </c>
      <c r="G43" t="s">
        <v>74</v>
      </c>
      <c r="H43" t="s">
        <v>74</v>
      </c>
      <c r="I43" t="s">
        <v>1062</v>
      </c>
      <c r="J43" t="s">
        <v>1063</v>
      </c>
      <c r="K43" t="s">
        <v>74</v>
      </c>
      <c r="L43" t="s">
        <v>74</v>
      </c>
      <c r="M43" t="s">
        <v>78</v>
      </c>
      <c r="N43" t="s">
        <v>79</v>
      </c>
      <c r="O43" t="s">
        <v>74</v>
      </c>
      <c r="P43" t="s">
        <v>74</v>
      </c>
      <c r="Q43" t="s">
        <v>74</v>
      </c>
      <c r="R43" t="s">
        <v>74</v>
      </c>
      <c r="S43" t="s">
        <v>74</v>
      </c>
      <c r="T43" t="s">
        <v>1064</v>
      </c>
      <c r="U43" t="s">
        <v>1065</v>
      </c>
      <c r="V43" t="s">
        <v>1066</v>
      </c>
      <c r="W43" t="s">
        <v>1067</v>
      </c>
      <c r="X43" t="s">
        <v>1068</v>
      </c>
      <c r="Y43" t="s">
        <v>1069</v>
      </c>
      <c r="Z43" t="s">
        <v>1070</v>
      </c>
      <c r="AA43" t="s">
        <v>74</v>
      </c>
      <c r="AB43" t="s">
        <v>1071</v>
      </c>
      <c r="AC43" t="s">
        <v>1072</v>
      </c>
      <c r="AD43" t="s">
        <v>1073</v>
      </c>
      <c r="AE43" t="s">
        <v>1074</v>
      </c>
      <c r="AF43" t="s">
        <v>74</v>
      </c>
      <c r="AG43">
        <v>57</v>
      </c>
      <c r="AH43">
        <v>0</v>
      </c>
      <c r="AI43">
        <v>1</v>
      </c>
      <c r="AJ43">
        <v>1</v>
      </c>
      <c r="AK43">
        <v>8</v>
      </c>
      <c r="AL43" t="s">
        <v>482</v>
      </c>
      <c r="AM43" t="s">
        <v>483</v>
      </c>
      <c r="AN43" t="s">
        <v>484</v>
      </c>
      <c r="AO43" t="s">
        <v>1075</v>
      </c>
      <c r="AP43" t="s">
        <v>1076</v>
      </c>
      <c r="AQ43" t="s">
        <v>74</v>
      </c>
      <c r="AR43" t="s">
        <v>1077</v>
      </c>
      <c r="AS43" t="s">
        <v>1078</v>
      </c>
      <c r="AT43" t="s">
        <v>720</v>
      </c>
      <c r="AU43">
        <v>2020</v>
      </c>
      <c r="AV43">
        <v>43</v>
      </c>
      <c r="AW43">
        <v>12</v>
      </c>
      <c r="AX43" t="s">
        <v>74</v>
      </c>
      <c r="AY43" t="s">
        <v>74</v>
      </c>
      <c r="AZ43" t="s">
        <v>74</v>
      </c>
      <c r="BA43" t="s">
        <v>74</v>
      </c>
      <c r="BB43">
        <v>2043</v>
      </c>
      <c r="BC43">
        <v>2058</v>
      </c>
      <c r="BD43" t="s">
        <v>74</v>
      </c>
      <c r="BE43" t="s">
        <v>1079</v>
      </c>
      <c r="BF43" t="str">
        <f>HYPERLINK("http://dx.doi.org/10.1007/s00300-020-02764-6","http://dx.doi.org/10.1007/s00300-020-02764-6")</f>
        <v>http://dx.doi.org/10.1007/s00300-020-02764-6</v>
      </c>
      <c r="BG43" t="s">
        <v>74</v>
      </c>
      <c r="BH43" t="s">
        <v>228</v>
      </c>
      <c r="BI43">
        <v>16</v>
      </c>
      <c r="BJ43" t="s">
        <v>1080</v>
      </c>
      <c r="BK43" t="s">
        <v>100</v>
      </c>
      <c r="BL43" t="s">
        <v>256</v>
      </c>
      <c r="BM43" t="s">
        <v>1081</v>
      </c>
      <c r="BN43" t="s">
        <v>74</v>
      </c>
      <c r="BO43" t="s">
        <v>74</v>
      </c>
      <c r="BP43" t="s">
        <v>74</v>
      </c>
      <c r="BQ43" t="s">
        <v>74</v>
      </c>
      <c r="BR43" t="s">
        <v>104</v>
      </c>
      <c r="BS43" t="s">
        <v>1082</v>
      </c>
      <c r="BT43" t="str">
        <f>HYPERLINK("https%3A%2F%2Fwww.webofscience.com%2Fwos%2Fwoscc%2Ffull-record%2FWOS:000584984800001","View Full Record in Web of Science")</f>
        <v>View Full Record in Web of Science</v>
      </c>
    </row>
    <row r="44" spans="1:72" x14ac:dyDescent="0.15">
      <c r="A44" t="s">
        <v>72</v>
      </c>
      <c r="B44" t="s">
        <v>1083</v>
      </c>
      <c r="C44" t="s">
        <v>74</v>
      </c>
      <c r="D44" t="s">
        <v>74</v>
      </c>
      <c r="E44" t="s">
        <v>74</v>
      </c>
      <c r="F44" t="s">
        <v>1084</v>
      </c>
      <c r="G44" t="s">
        <v>74</v>
      </c>
      <c r="H44" t="s">
        <v>74</v>
      </c>
      <c r="I44" t="s">
        <v>1085</v>
      </c>
      <c r="J44" t="s">
        <v>77</v>
      </c>
      <c r="K44" t="s">
        <v>74</v>
      </c>
      <c r="L44" t="s">
        <v>74</v>
      </c>
      <c r="M44" t="s">
        <v>78</v>
      </c>
      <c r="N44" t="s">
        <v>79</v>
      </c>
      <c r="O44" t="s">
        <v>74</v>
      </c>
      <c r="P44" t="s">
        <v>74</v>
      </c>
      <c r="Q44" t="s">
        <v>74</v>
      </c>
      <c r="R44" t="s">
        <v>74</v>
      </c>
      <c r="S44" t="s">
        <v>74</v>
      </c>
      <c r="T44" t="s">
        <v>74</v>
      </c>
      <c r="U44" t="s">
        <v>1086</v>
      </c>
      <c r="V44" t="s">
        <v>1087</v>
      </c>
      <c r="W44" t="s">
        <v>1088</v>
      </c>
      <c r="X44" t="s">
        <v>1089</v>
      </c>
      <c r="Y44" t="s">
        <v>1090</v>
      </c>
      <c r="Z44" t="s">
        <v>1091</v>
      </c>
      <c r="AA44" t="s">
        <v>1092</v>
      </c>
      <c r="AB44" t="s">
        <v>1093</v>
      </c>
      <c r="AC44" t="s">
        <v>1094</v>
      </c>
      <c r="AD44" t="s">
        <v>1095</v>
      </c>
      <c r="AE44" t="s">
        <v>1096</v>
      </c>
      <c r="AF44" t="s">
        <v>74</v>
      </c>
      <c r="AG44">
        <v>38</v>
      </c>
      <c r="AH44">
        <v>8</v>
      </c>
      <c r="AI44">
        <v>10</v>
      </c>
      <c r="AJ44">
        <v>1</v>
      </c>
      <c r="AK44">
        <v>17</v>
      </c>
      <c r="AL44" t="s">
        <v>91</v>
      </c>
      <c r="AM44" t="s">
        <v>92</v>
      </c>
      <c r="AN44" t="s">
        <v>93</v>
      </c>
      <c r="AO44" t="s">
        <v>94</v>
      </c>
      <c r="AP44" t="s">
        <v>95</v>
      </c>
      <c r="AQ44" t="s">
        <v>74</v>
      </c>
      <c r="AR44" t="s">
        <v>77</v>
      </c>
      <c r="AS44" t="s">
        <v>96</v>
      </c>
      <c r="AT44" t="s">
        <v>1097</v>
      </c>
      <c r="AU44">
        <v>2020</v>
      </c>
      <c r="AV44">
        <v>14</v>
      </c>
      <c r="AW44">
        <v>11</v>
      </c>
      <c r="AX44" t="s">
        <v>74</v>
      </c>
      <c r="AY44" t="s">
        <v>74</v>
      </c>
      <c r="AZ44" t="s">
        <v>74</v>
      </c>
      <c r="BA44" t="s">
        <v>74</v>
      </c>
      <c r="BB44">
        <v>3611</v>
      </c>
      <c r="BC44">
        <v>3627</v>
      </c>
      <c r="BD44" t="s">
        <v>74</v>
      </c>
      <c r="BE44" t="s">
        <v>1098</v>
      </c>
      <c r="BF44" t="str">
        <f>HYPERLINK("http://dx.doi.org/10.5194/tc-14-3611-2020","http://dx.doi.org/10.5194/tc-14-3611-2020")</f>
        <v>http://dx.doi.org/10.5194/tc-14-3611-2020</v>
      </c>
      <c r="BG44" t="s">
        <v>74</v>
      </c>
      <c r="BH44" t="s">
        <v>74</v>
      </c>
      <c r="BI44">
        <v>17</v>
      </c>
      <c r="BJ44" t="s">
        <v>99</v>
      </c>
      <c r="BK44" t="s">
        <v>100</v>
      </c>
      <c r="BL44" t="s">
        <v>101</v>
      </c>
      <c r="BM44" t="s">
        <v>1099</v>
      </c>
      <c r="BN44" t="s">
        <v>74</v>
      </c>
      <c r="BO44" t="s">
        <v>350</v>
      </c>
      <c r="BP44" t="s">
        <v>74</v>
      </c>
      <c r="BQ44" t="s">
        <v>74</v>
      </c>
      <c r="BR44" t="s">
        <v>104</v>
      </c>
      <c r="BS44" t="s">
        <v>1100</v>
      </c>
      <c r="BT44" t="str">
        <f>HYPERLINK("https%3A%2F%2Fwww.webofscience.com%2Fwos%2Fwoscc%2Ffull-record%2FWOS:000588728500001","View Full Record in Web of Science")</f>
        <v>View Full Record in Web of Science</v>
      </c>
    </row>
    <row r="45" spans="1:72" x14ac:dyDescent="0.15">
      <c r="A45" t="s">
        <v>72</v>
      </c>
      <c r="B45" t="s">
        <v>1101</v>
      </c>
      <c r="C45" t="s">
        <v>74</v>
      </c>
      <c r="D45" t="s">
        <v>74</v>
      </c>
      <c r="E45" t="s">
        <v>74</v>
      </c>
      <c r="F45" t="s">
        <v>1102</v>
      </c>
      <c r="G45" t="s">
        <v>74</v>
      </c>
      <c r="H45" t="s">
        <v>74</v>
      </c>
      <c r="I45" t="s">
        <v>1103</v>
      </c>
      <c r="J45" t="s">
        <v>77</v>
      </c>
      <c r="K45" t="s">
        <v>74</v>
      </c>
      <c r="L45" t="s">
        <v>74</v>
      </c>
      <c r="M45" t="s">
        <v>78</v>
      </c>
      <c r="N45" t="s">
        <v>79</v>
      </c>
      <c r="O45" t="s">
        <v>74</v>
      </c>
      <c r="P45" t="s">
        <v>74</v>
      </c>
      <c r="Q45" t="s">
        <v>74</v>
      </c>
      <c r="R45" t="s">
        <v>74</v>
      </c>
      <c r="S45" t="s">
        <v>74</v>
      </c>
      <c r="T45" t="s">
        <v>74</v>
      </c>
      <c r="U45" t="s">
        <v>1104</v>
      </c>
      <c r="V45" t="s">
        <v>1105</v>
      </c>
      <c r="W45" t="s">
        <v>1106</v>
      </c>
      <c r="X45" t="s">
        <v>1107</v>
      </c>
      <c r="Y45" t="s">
        <v>1108</v>
      </c>
      <c r="Z45" t="s">
        <v>1109</v>
      </c>
      <c r="AA45" t="s">
        <v>1110</v>
      </c>
      <c r="AB45" t="s">
        <v>1111</v>
      </c>
      <c r="AC45" t="s">
        <v>1112</v>
      </c>
      <c r="AD45" t="s">
        <v>1113</v>
      </c>
      <c r="AE45" t="s">
        <v>1114</v>
      </c>
      <c r="AF45" t="s">
        <v>74</v>
      </c>
      <c r="AG45">
        <v>35</v>
      </c>
      <c r="AH45">
        <v>7</v>
      </c>
      <c r="AI45">
        <v>7</v>
      </c>
      <c r="AJ45">
        <v>3</v>
      </c>
      <c r="AK45">
        <v>23</v>
      </c>
      <c r="AL45" t="s">
        <v>91</v>
      </c>
      <c r="AM45" t="s">
        <v>92</v>
      </c>
      <c r="AN45" t="s">
        <v>93</v>
      </c>
      <c r="AO45" t="s">
        <v>94</v>
      </c>
      <c r="AP45" t="s">
        <v>95</v>
      </c>
      <c r="AQ45" t="s">
        <v>74</v>
      </c>
      <c r="AR45" t="s">
        <v>77</v>
      </c>
      <c r="AS45" t="s">
        <v>96</v>
      </c>
      <c r="AT45" t="s">
        <v>1097</v>
      </c>
      <c r="AU45">
        <v>2020</v>
      </c>
      <c r="AV45">
        <v>14</v>
      </c>
      <c r="AW45">
        <v>11</v>
      </c>
      <c r="AX45" t="s">
        <v>74</v>
      </c>
      <c r="AY45" t="s">
        <v>74</v>
      </c>
      <c r="AZ45" t="s">
        <v>74</v>
      </c>
      <c r="BA45" t="s">
        <v>74</v>
      </c>
      <c r="BB45">
        <v>3629</v>
      </c>
      <c r="BC45">
        <v>3643</v>
      </c>
      <c r="BD45" t="s">
        <v>74</v>
      </c>
      <c r="BE45" t="s">
        <v>1115</v>
      </c>
      <c r="BF45" t="str">
        <f>HYPERLINK("http://dx.doi.org/10.5194/tc-14-3629-2020","http://dx.doi.org/10.5194/tc-14-3629-2020")</f>
        <v>http://dx.doi.org/10.5194/tc-14-3629-2020</v>
      </c>
      <c r="BG45" t="s">
        <v>74</v>
      </c>
      <c r="BH45" t="s">
        <v>74</v>
      </c>
      <c r="BI45">
        <v>15</v>
      </c>
      <c r="BJ45" t="s">
        <v>99</v>
      </c>
      <c r="BK45" t="s">
        <v>100</v>
      </c>
      <c r="BL45" t="s">
        <v>101</v>
      </c>
      <c r="BM45" t="s">
        <v>1099</v>
      </c>
      <c r="BN45" t="s">
        <v>74</v>
      </c>
      <c r="BO45" t="s">
        <v>677</v>
      </c>
      <c r="BP45" t="s">
        <v>74</v>
      </c>
      <c r="BQ45" t="s">
        <v>74</v>
      </c>
      <c r="BR45" t="s">
        <v>104</v>
      </c>
      <c r="BS45" t="s">
        <v>1116</v>
      </c>
      <c r="BT45" t="str">
        <f>HYPERLINK("https%3A%2F%2Fwww.webofscience.com%2Fwos%2Fwoscc%2Ffull-record%2FWOS:000588728500002","View Full Record in Web of Science")</f>
        <v>View Full Record in Web of Science</v>
      </c>
    </row>
    <row r="46" spans="1:72" x14ac:dyDescent="0.15">
      <c r="A46" t="s">
        <v>72</v>
      </c>
      <c r="B46" t="s">
        <v>1117</v>
      </c>
      <c r="C46" t="s">
        <v>74</v>
      </c>
      <c r="D46" t="s">
        <v>74</v>
      </c>
      <c r="E46" t="s">
        <v>74</v>
      </c>
      <c r="F46" t="s">
        <v>1118</v>
      </c>
      <c r="G46" t="s">
        <v>74</v>
      </c>
      <c r="H46" t="s">
        <v>74</v>
      </c>
      <c r="I46" t="s">
        <v>1119</v>
      </c>
      <c r="J46" t="s">
        <v>1120</v>
      </c>
      <c r="K46" t="s">
        <v>74</v>
      </c>
      <c r="L46" t="s">
        <v>74</v>
      </c>
      <c r="M46" t="s">
        <v>78</v>
      </c>
      <c r="N46" t="s">
        <v>79</v>
      </c>
      <c r="O46" t="s">
        <v>74</v>
      </c>
      <c r="P46" t="s">
        <v>74</v>
      </c>
      <c r="Q46" t="s">
        <v>74</v>
      </c>
      <c r="R46" t="s">
        <v>74</v>
      </c>
      <c r="S46" t="s">
        <v>74</v>
      </c>
      <c r="T46" t="s">
        <v>1121</v>
      </c>
      <c r="U46" t="s">
        <v>1122</v>
      </c>
      <c r="V46" t="s">
        <v>1123</v>
      </c>
      <c r="W46" t="s">
        <v>1124</v>
      </c>
      <c r="X46" t="s">
        <v>1125</v>
      </c>
      <c r="Y46" t="s">
        <v>1126</v>
      </c>
      <c r="Z46" t="s">
        <v>1127</v>
      </c>
      <c r="AA46" t="s">
        <v>1128</v>
      </c>
      <c r="AB46" t="s">
        <v>74</v>
      </c>
      <c r="AC46" t="s">
        <v>1129</v>
      </c>
      <c r="AD46" t="s">
        <v>1130</v>
      </c>
      <c r="AE46" t="s">
        <v>1131</v>
      </c>
      <c r="AF46" t="s">
        <v>74</v>
      </c>
      <c r="AG46">
        <v>55</v>
      </c>
      <c r="AH46">
        <v>7</v>
      </c>
      <c r="AI46">
        <v>7</v>
      </c>
      <c r="AJ46">
        <v>1</v>
      </c>
      <c r="AK46">
        <v>22</v>
      </c>
      <c r="AL46" t="s">
        <v>1132</v>
      </c>
      <c r="AM46" t="s">
        <v>1133</v>
      </c>
      <c r="AN46" t="s">
        <v>1134</v>
      </c>
      <c r="AO46" t="s">
        <v>1135</v>
      </c>
      <c r="AP46" t="s">
        <v>1136</v>
      </c>
      <c r="AQ46" t="s">
        <v>74</v>
      </c>
      <c r="AR46" t="s">
        <v>1137</v>
      </c>
      <c r="AS46" t="s">
        <v>1138</v>
      </c>
      <c r="AT46" t="s">
        <v>1097</v>
      </c>
      <c r="AU46">
        <v>2020</v>
      </c>
      <c r="AV46">
        <v>39</v>
      </c>
      <c r="AW46" t="s">
        <v>74</v>
      </c>
      <c r="AX46" t="s">
        <v>74</v>
      </c>
      <c r="AY46" t="s">
        <v>74</v>
      </c>
      <c r="AZ46" t="s">
        <v>74</v>
      </c>
      <c r="BA46" t="s">
        <v>74</v>
      </c>
      <c r="BB46" t="s">
        <v>74</v>
      </c>
      <c r="BC46" t="s">
        <v>74</v>
      </c>
      <c r="BD46" t="s">
        <v>74</v>
      </c>
      <c r="BE46" t="s">
        <v>1139</v>
      </c>
      <c r="BF46" t="str">
        <f>HYPERLINK("http://dx.doi.org/10.33265/polar.v39.3582","http://dx.doi.org/10.33265/polar.v39.3582")</f>
        <v>http://dx.doi.org/10.33265/polar.v39.3582</v>
      </c>
      <c r="BG46" t="s">
        <v>74</v>
      </c>
      <c r="BH46" t="s">
        <v>74</v>
      </c>
      <c r="BI46">
        <v>10</v>
      </c>
      <c r="BJ46" t="s">
        <v>1140</v>
      </c>
      <c r="BK46" t="s">
        <v>100</v>
      </c>
      <c r="BL46" t="s">
        <v>1141</v>
      </c>
      <c r="BM46" t="s">
        <v>1142</v>
      </c>
      <c r="BN46" t="s">
        <v>74</v>
      </c>
      <c r="BO46" t="s">
        <v>202</v>
      </c>
      <c r="BP46" t="s">
        <v>74</v>
      </c>
      <c r="BQ46" t="s">
        <v>74</v>
      </c>
      <c r="BR46" t="s">
        <v>104</v>
      </c>
      <c r="BS46" t="s">
        <v>1143</v>
      </c>
      <c r="BT46" t="str">
        <f>HYPERLINK("https%3A%2F%2Fwww.webofscience.com%2Fwos%2Fwoscc%2Ffull-record%2FWOS:000587665300001","View Full Record in Web of Science")</f>
        <v>View Full Record in Web of Science</v>
      </c>
    </row>
    <row r="47" spans="1:72" x14ac:dyDescent="0.15">
      <c r="A47" t="s">
        <v>72</v>
      </c>
      <c r="B47" t="s">
        <v>1144</v>
      </c>
      <c r="C47" t="s">
        <v>74</v>
      </c>
      <c r="D47" t="s">
        <v>74</v>
      </c>
      <c r="E47" t="s">
        <v>74</v>
      </c>
      <c r="F47" t="s">
        <v>1145</v>
      </c>
      <c r="G47" t="s">
        <v>74</v>
      </c>
      <c r="H47" t="s">
        <v>74</v>
      </c>
      <c r="I47" t="s">
        <v>1146</v>
      </c>
      <c r="J47" t="s">
        <v>1147</v>
      </c>
      <c r="K47" t="s">
        <v>74</v>
      </c>
      <c r="L47" t="s">
        <v>74</v>
      </c>
      <c r="M47" t="s">
        <v>78</v>
      </c>
      <c r="N47" t="s">
        <v>79</v>
      </c>
      <c r="O47" t="s">
        <v>74</v>
      </c>
      <c r="P47" t="s">
        <v>74</v>
      </c>
      <c r="Q47" t="s">
        <v>74</v>
      </c>
      <c r="R47" t="s">
        <v>74</v>
      </c>
      <c r="S47" t="s">
        <v>74</v>
      </c>
      <c r="T47" t="s">
        <v>1148</v>
      </c>
      <c r="U47" t="s">
        <v>1149</v>
      </c>
      <c r="V47" t="s">
        <v>1150</v>
      </c>
      <c r="W47" t="s">
        <v>1151</v>
      </c>
      <c r="X47" t="s">
        <v>1152</v>
      </c>
      <c r="Y47" t="s">
        <v>1153</v>
      </c>
      <c r="Z47" t="s">
        <v>1154</v>
      </c>
      <c r="AA47" t="s">
        <v>1155</v>
      </c>
      <c r="AB47" t="s">
        <v>1156</v>
      </c>
      <c r="AC47" t="s">
        <v>1157</v>
      </c>
      <c r="AD47" t="s">
        <v>1158</v>
      </c>
      <c r="AE47" t="s">
        <v>1159</v>
      </c>
      <c r="AF47" t="s">
        <v>74</v>
      </c>
      <c r="AG47">
        <v>52</v>
      </c>
      <c r="AH47">
        <v>4</v>
      </c>
      <c r="AI47">
        <v>4</v>
      </c>
      <c r="AJ47">
        <v>0</v>
      </c>
      <c r="AK47">
        <v>4</v>
      </c>
      <c r="AL47" t="s">
        <v>692</v>
      </c>
      <c r="AM47" t="s">
        <v>693</v>
      </c>
      <c r="AN47" t="s">
        <v>694</v>
      </c>
      <c r="AO47" t="s">
        <v>1160</v>
      </c>
      <c r="AP47" t="s">
        <v>1161</v>
      </c>
      <c r="AQ47" t="s">
        <v>74</v>
      </c>
      <c r="AR47" t="s">
        <v>1147</v>
      </c>
      <c r="AS47" t="s">
        <v>1162</v>
      </c>
      <c r="AT47" t="s">
        <v>1163</v>
      </c>
      <c r="AU47">
        <v>2020</v>
      </c>
      <c r="AV47">
        <v>44</v>
      </c>
      <c r="AW47">
        <v>4</v>
      </c>
      <c r="AX47" t="s">
        <v>74</v>
      </c>
      <c r="AY47" t="s">
        <v>74</v>
      </c>
      <c r="AZ47" t="s">
        <v>74</v>
      </c>
      <c r="BA47" t="s">
        <v>74</v>
      </c>
      <c r="BB47">
        <v>555</v>
      </c>
      <c r="BC47">
        <v>564</v>
      </c>
      <c r="BD47" t="s">
        <v>74</v>
      </c>
      <c r="BE47" t="s">
        <v>1164</v>
      </c>
      <c r="BF47" t="str">
        <f>HYPERLINK("http://dx.doi.org/10.1080/03115518.2020.1832574","http://dx.doi.org/10.1080/03115518.2020.1832574")</f>
        <v>http://dx.doi.org/10.1080/03115518.2020.1832574</v>
      </c>
      <c r="BG47" t="s">
        <v>74</v>
      </c>
      <c r="BH47" t="s">
        <v>228</v>
      </c>
      <c r="BI47">
        <v>10</v>
      </c>
      <c r="BJ47" t="s">
        <v>1057</v>
      </c>
      <c r="BK47" t="s">
        <v>100</v>
      </c>
      <c r="BL47" t="s">
        <v>1057</v>
      </c>
      <c r="BM47" t="s">
        <v>1165</v>
      </c>
      <c r="BN47" t="s">
        <v>74</v>
      </c>
      <c r="BO47" t="s">
        <v>74</v>
      </c>
      <c r="BP47" t="s">
        <v>74</v>
      </c>
      <c r="BQ47" t="s">
        <v>74</v>
      </c>
      <c r="BR47" t="s">
        <v>104</v>
      </c>
      <c r="BS47" t="s">
        <v>1166</v>
      </c>
      <c r="BT47" t="str">
        <f>HYPERLINK("https%3A%2F%2Fwww.webofscience.com%2Fwos%2Fwoscc%2Ffull-record%2FWOS:000585427800001","View Full Record in Web of Science")</f>
        <v>View Full Record in Web of Science</v>
      </c>
    </row>
    <row r="48" spans="1:72" x14ac:dyDescent="0.15">
      <c r="A48" t="s">
        <v>72</v>
      </c>
      <c r="B48" t="s">
        <v>1167</v>
      </c>
      <c r="C48" t="s">
        <v>74</v>
      </c>
      <c r="D48" t="s">
        <v>74</v>
      </c>
      <c r="E48" t="s">
        <v>74</v>
      </c>
      <c r="F48" t="s">
        <v>1168</v>
      </c>
      <c r="G48" t="s">
        <v>74</v>
      </c>
      <c r="H48" t="s">
        <v>74</v>
      </c>
      <c r="I48" t="s">
        <v>1169</v>
      </c>
      <c r="J48" t="s">
        <v>1170</v>
      </c>
      <c r="K48" t="s">
        <v>74</v>
      </c>
      <c r="L48" t="s">
        <v>74</v>
      </c>
      <c r="M48" t="s">
        <v>78</v>
      </c>
      <c r="N48" t="s">
        <v>79</v>
      </c>
      <c r="O48" t="s">
        <v>74</v>
      </c>
      <c r="P48" t="s">
        <v>74</v>
      </c>
      <c r="Q48" t="s">
        <v>74</v>
      </c>
      <c r="R48" t="s">
        <v>74</v>
      </c>
      <c r="S48" t="s">
        <v>74</v>
      </c>
      <c r="T48" t="s">
        <v>74</v>
      </c>
      <c r="U48" t="s">
        <v>1171</v>
      </c>
      <c r="V48" t="s">
        <v>74</v>
      </c>
      <c r="W48" t="s">
        <v>1172</v>
      </c>
      <c r="X48" t="s">
        <v>1173</v>
      </c>
      <c r="Y48" t="s">
        <v>1174</v>
      </c>
      <c r="Z48" t="s">
        <v>1175</v>
      </c>
      <c r="AA48" t="s">
        <v>1176</v>
      </c>
      <c r="AB48" t="s">
        <v>1177</v>
      </c>
      <c r="AC48" t="s">
        <v>1178</v>
      </c>
      <c r="AD48" t="s">
        <v>1179</v>
      </c>
      <c r="AE48" t="s">
        <v>1180</v>
      </c>
      <c r="AF48" t="s">
        <v>74</v>
      </c>
      <c r="AG48">
        <v>83</v>
      </c>
      <c r="AH48">
        <v>5</v>
      </c>
      <c r="AI48">
        <v>5</v>
      </c>
      <c r="AJ48">
        <v>1</v>
      </c>
      <c r="AK48">
        <v>4</v>
      </c>
      <c r="AL48" t="s">
        <v>219</v>
      </c>
      <c r="AM48" t="s">
        <v>220</v>
      </c>
      <c r="AN48" t="s">
        <v>221</v>
      </c>
      <c r="AO48" t="s">
        <v>1181</v>
      </c>
      <c r="AP48" t="s">
        <v>1182</v>
      </c>
      <c r="AQ48" t="s">
        <v>74</v>
      </c>
      <c r="AR48" t="s">
        <v>1183</v>
      </c>
      <c r="AS48" t="s">
        <v>1184</v>
      </c>
      <c r="AT48" t="s">
        <v>437</v>
      </c>
      <c r="AU48">
        <v>2021</v>
      </c>
      <c r="AV48">
        <v>37</v>
      </c>
      <c r="AW48">
        <v>2</v>
      </c>
      <c r="AX48" t="s">
        <v>74</v>
      </c>
      <c r="AY48" t="s">
        <v>74</v>
      </c>
      <c r="AZ48" t="s">
        <v>74</v>
      </c>
      <c r="BA48" t="s">
        <v>74</v>
      </c>
      <c r="BB48">
        <v>733</v>
      </c>
      <c r="BC48">
        <v>750</v>
      </c>
      <c r="BD48" t="s">
        <v>74</v>
      </c>
      <c r="BE48" t="s">
        <v>1185</v>
      </c>
      <c r="BF48" t="str">
        <f>HYPERLINK("http://dx.doi.org/10.1111/mms.12760","http://dx.doi.org/10.1111/mms.12760")</f>
        <v>http://dx.doi.org/10.1111/mms.12760</v>
      </c>
      <c r="BG48" t="s">
        <v>74</v>
      </c>
      <c r="BH48" t="s">
        <v>228</v>
      </c>
      <c r="BI48">
        <v>18</v>
      </c>
      <c r="BJ48" t="s">
        <v>1186</v>
      </c>
      <c r="BK48" t="s">
        <v>100</v>
      </c>
      <c r="BL48" t="s">
        <v>1186</v>
      </c>
      <c r="BM48" t="s">
        <v>1187</v>
      </c>
      <c r="BN48" t="s">
        <v>74</v>
      </c>
      <c r="BO48" t="s">
        <v>1188</v>
      </c>
      <c r="BP48" t="s">
        <v>74</v>
      </c>
      <c r="BQ48" t="s">
        <v>74</v>
      </c>
      <c r="BR48" t="s">
        <v>104</v>
      </c>
      <c r="BS48" t="s">
        <v>1189</v>
      </c>
      <c r="BT48" t="str">
        <f>HYPERLINK("https%3A%2F%2Fwww.webofscience.com%2Fwos%2Fwoscc%2Ffull-record%2FWOS:000583766700001","View Full Record in Web of Science")</f>
        <v>View Full Record in Web of Science</v>
      </c>
    </row>
    <row r="49" spans="1:72" x14ac:dyDescent="0.15">
      <c r="A49" t="s">
        <v>72</v>
      </c>
      <c r="B49" t="s">
        <v>1190</v>
      </c>
      <c r="C49" t="s">
        <v>74</v>
      </c>
      <c r="D49" t="s">
        <v>74</v>
      </c>
      <c r="E49" t="s">
        <v>74</v>
      </c>
      <c r="F49" t="s">
        <v>1191</v>
      </c>
      <c r="G49" t="s">
        <v>74</v>
      </c>
      <c r="H49" t="s">
        <v>74</v>
      </c>
      <c r="I49" t="s">
        <v>1192</v>
      </c>
      <c r="J49" t="s">
        <v>1193</v>
      </c>
      <c r="K49" t="s">
        <v>74</v>
      </c>
      <c r="L49" t="s">
        <v>74</v>
      </c>
      <c r="M49" t="s">
        <v>78</v>
      </c>
      <c r="N49" t="s">
        <v>79</v>
      </c>
      <c r="O49" t="s">
        <v>74</v>
      </c>
      <c r="P49" t="s">
        <v>74</v>
      </c>
      <c r="Q49" t="s">
        <v>74</v>
      </c>
      <c r="R49" t="s">
        <v>74</v>
      </c>
      <c r="S49" t="s">
        <v>74</v>
      </c>
      <c r="T49" t="s">
        <v>1194</v>
      </c>
      <c r="U49" t="s">
        <v>1195</v>
      </c>
      <c r="V49" t="s">
        <v>1196</v>
      </c>
      <c r="W49" t="s">
        <v>1197</v>
      </c>
      <c r="X49" t="s">
        <v>1198</v>
      </c>
      <c r="Y49" t="s">
        <v>1199</v>
      </c>
      <c r="Z49" t="s">
        <v>1200</v>
      </c>
      <c r="AA49" t="s">
        <v>1201</v>
      </c>
      <c r="AB49" t="s">
        <v>1202</v>
      </c>
      <c r="AC49" t="s">
        <v>1203</v>
      </c>
      <c r="AD49" t="s">
        <v>1204</v>
      </c>
      <c r="AE49" t="s">
        <v>1205</v>
      </c>
      <c r="AF49" t="s">
        <v>74</v>
      </c>
      <c r="AG49">
        <v>38</v>
      </c>
      <c r="AH49">
        <v>5</v>
      </c>
      <c r="AI49">
        <v>5</v>
      </c>
      <c r="AJ49">
        <v>0</v>
      </c>
      <c r="AK49">
        <v>3</v>
      </c>
      <c r="AL49" t="s">
        <v>1206</v>
      </c>
      <c r="AM49" t="s">
        <v>1207</v>
      </c>
      <c r="AN49" t="s">
        <v>1208</v>
      </c>
      <c r="AO49" t="s">
        <v>1209</v>
      </c>
      <c r="AP49" t="s">
        <v>74</v>
      </c>
      <c r="AQ49" t="s">
        <v>74</v>
      </c>
      <c r="AR49" t="s">
        <v>1210</v>
      </c>
      <c r="AS49" t="s">
        <v>1211</v>
      </c>
      <c r="AT49" t="s">
        <v>1212</v>
      </c>
      <c r="AU49">
        <v>2020</v>
      </c>
      <c r="AV49">
        <v>41</v>
      </c>
      <c r="AW49">
        <v>6</v>
      </c>
      <c r="AX49" t="s">
        <v>74</v>
      </c>
      <c r="AY49" t="s">
        <v>74</v>
      </c>
      <c r="AZ49" t="s">
        <v>74</v>
      </c>
      <c r="BA49" t="s">
        <v>74</v>
      </c>
      <c r="BB49">
        <v>1433</v>
      </c>
      <c r="BC49">
        <v>1441</v>
      </c>
      <c r="BD49" t="s">
        <v>74</v>
      </c>
      <c r="BE49" t="s">
        <v>1213</v>
      </c>
      <c r="BF49" t="str">
        <f>HYPERLINK("http://dx.doi.org/10.22438/jeb/41/6/MRN-1464","http://dx.doi.org/10.22438/jeb/41/6/MRN-1464")</f>
        <v>http://dx.doi.org/10.22438/jeb/41/6/MRN-1464</v>
      </c>
      <c r="BG49" t="s">
        <v>74</v>
      </c>
      <c r="BH49" t="s">
        <v>74</v>
      </c>
      <c r="BI49">
        <v>9</v>
      </c>
      <c r="BJ49" t="s">
        <v>283</v>
      </c>
      <c r="BK49" t="s">
        <v>1214</v>
      </c>
      <c r="BL49" t="s">
        <v>284</v>
      </c>
      <c r="BM49" t="s">
        <v>1215</v>
      </c>
      <c r="BN49" t="s">
        <v>74</v>
      </c>
      <c r="BO49" t="s">
        <v>1216</v>
      </c>
      <c r="BP49" t="s">
        <v>74</v>
      </c>
      <c r="BQ49" t="s">
        <v>74</v>
      </c>
      <c r="BR49" t="s">
        <v>104</v>
      </c>
      <c r="BS49" t="s">
        <v>1217</v>
      </c>
      <c r="BT49" t="str">
        <f>HYPERLINK("https%3A%2F%2Fwww.webofscience.com%2Fwos%2Fwoscc%2Ffull-record%2FWOS:000607645800002","View Full Record in Web of Science")</f>
        <v>View Full Record in Web of Science</v>
      </c>
    </row>
    <row r="50" spans="1:72" x14ac:dyDescent="0.15">
      <c r="A50" t="s">
        <v>72</v>
      </c>
      <c r="B50" t="s">
        <v>1218</v>
      </c>
      <c r="C50" t="s">
        <v>74</v>
      </c>
      <c r="D50" t="s">
        <v>74</v>
      </c>
      <c r="E50" t="s">
        <v>74</v>
      </c>
      <c r="F50" t="s">
        <v>1219</v>
      </c>
      <c r="G50" t="s">
        <v>74</v>
      </c>
      <c r="H50" t="s">
        <v>74</v>
      </c>
      <c r="I50" t="s">
        <v>1220</v>
      </c>
      <c r="J50" t="s">
        <v>1193</v>
      </c>
      <c r="K50" t="s">
        <v>74</v>
      </c>
      <c r="L50" t="s">
        <v>74</v>
      </c>
      <c r="M50" t="s">
        <v>78</v>
      </c>
      <c r="N50" t="s">
        <v>79</v>
      </c>
      <c r="O50" t="s">
        <v>74</v>
      </c>
      <c r="P50" t="s">
        <v>74</v>
      </c>
      <c r="Q50" t="s">
        <v>74</v>
      </c>
      <c r="R50" t="s">
        <v>74</v>
      </c>
      <c r="S50" t="s">
        <v>74</v>
      </c>
      <c r="T50" t="s">
        <v>1221</v>
      </c>
      <c r="U50" t="s">
        <v>1222</v>
      </c>
      <c r="V50" t="s">
        <v>1223</v>
      </c>
      <c r="W50" t="s">
        <v>1224</v>
      </c>
      <c r="X50" t="s">
        <v>1225</v>
      </c>
      <c r="Y50" t="s">
        <v>1226</v>
      </c>
      <c r="Z50" t="s">
        <v>1200</v>
      </c>
      <c r="AA50" t="s">
        <v>1227</v>
      </c>
      <c r="AB50" t="s">
        <v>1228</v>
      </c>
      <c r="AC50" t="s">
        <v>1229</v>
      </c>
      <c r="AD50" t="s">
        <v>1230</v>
      </c>
      <c r="AE50" t="s">
        <v>1231</v>
      </c>
      <c r="AF50" t="s">
        <v>74</v>
      </c>
      <c r="AG50">
        <v>52</v>
      </c>
      <c r="AH50">
        <v>10</v>
      </c>
      <c r="AI50">
        <v>10</v>
      </c>
      <c r="AJ50">
        <v>1</v>
      </c>
      <c r="AK50">
        <v>5</v>
      </c>
      <c r="AL50" t="s">
        <v>1206</v>
      </c>
      <c r="AM50" t="s">
        <v>1207</v>
      </c>
      <c r="AN50" t="s">
        <v>1208</v>
      </c>
      <c r="AO50" t="s">
        <v>1209</v>
      </c>
      <c r="AP50" t="s">
        <v>74</v>
      </c>
      <c r="AQ50" t="s">
        <v>74</v>
      </c>
      <c r="AR50" t="s">
        <v>1210</v>
      </c>
      <c r="AS50" t="s">
        <v>1211</v>
      </c>
      <c r="AT50" t="s">
        <v>1212</v>
      </c>
      <c r="AU50">
        <v>2020</v>
      </c>
      <c r="AV50">
        <v>41</v>
      </c>
      <c r="AW50">
        <v>6</v>
      </c>
      <c r="AX50" t="s">
        <v>74</v>
      </c>
      <c r="AY50" t="s">
        <v>74</v>
      </c>
      <c r="AZ50" t="s">
        <v>74</v>
      </c>
      <c r="BA50" t="s">
        <v>74</v>
      </c>
      <c r="BB50">
        <v>1560</v>
      </c>
      <c r="BC50">
        <v>1569</v>
      </c>
      <c r="BD50" t="s">
        <v>74</v>
      </c>
      <c r="BE50" t="s">
        <v>1232</v>
      </c>
      <c r="BF50" t="str">
        <f>HYPERLINK("http://dx.doi.org/10.22438/jeb/41/6/MRN-1496","http://dx.doi.org/10.22438/jeb/41/6/MRN-1496")</f>
        <v>http://dx.doi.org/10.22438/jeb/41/6/MRN-1496</v>
      </c>
      <c r="BG50" t="s">
        <v>74</v>
      </c>
      <c r="BH50" t="s">
        <v>74</v>
      </c>
      <c r="BI50">
        <v>10</v>
      </c>
      <c r="BJ50" t="s">
        <v>283</v>
      </c>
      <c r="BK50" t="s">
        <v>1214</v>
      </c>
      <c r="BL50" t="s">
        <v>284</v>
      </c>
      <c r="BM50" t="s">
        <v>1215</v>
      </c>
      <c r="BN50" t="s">
        <v>74</v>
      </c>
      <c r="BO50" t="s">
        <v>1233</v>
      </c>
      <c r="BP50" t="s">
        <v>74</v>
      </c>
      <c r="BQ50" t="s">
        <v>74</v>
      </c>
      <c r="BR50" t="s">
        <v>104</v>
      </c>
      <c r="BS50" t="s">
        <v>1234</v>
      </c>
      <c r="BT50" t="str">
        <f>HYPERLINK("https%3A%2F%2Fwww.webofscience.com%2Fwos%2Fwoscc%2Ffull-record%2FWOS:000607645800017","View Full Record in Web of Science")</f>
        <v>View Full Record in Web of Science</v>
      </c>
    </row>
    <row r="51" spans="1:72" x14ac:dyDescent="0.15">
      <c r="A51" t="s">
        <v>72</v>
      </c>
      <c r="B51" t="s">
        <v>1235</v>
      </c>
      <c r="C51" t="s">
        <v>74</v>
      </c>
      <c r="D51" t="s">
        <v>74</v>
      </c>
      <c r="E51" t="s">
        <v>74</v>
      </c>
      <c r="F51" t="s">
        <v>1236</v>
      </c>
      <c r="G51" t="s">
        <v>74</v>
      </c>
      <c r="H51" t="s">
        <v>74</v>
      </c>
      <c r="I51" t="s">
        <v>1237</v>
      </c>
      <c r="J51" t="s">
        <v>1238</v>
      </c>
      <c r="K51" t="s">
        <v>74</v>
      </c>
      <c r="L51" t="s">
        <v>74</v>
      </c>
      <c r="M51" t="s">
        <v>78</v>
      </c>
      <c r="N51" t="s">
        <v>79</v>
      </c>
      <c r="O51" t="s">
        <v>74</v>
      </c>
      <c r="P51" t="s">
        <v>74</v>
      </c>
      <c r="Q51" t="s">
        <v>74</v>
      </c>
      <c r="R51" t="s">
        <v>74</v>
      </c>
      <c r="S51" t="s">
        <v>74</v>
      </c>
      <c r="T51" t="s">
        <v>1239</v>
      </c>
      <c r="U51" t="s">
        <v>1240</v>
      </c>
      <c r="V51" t="s">
        <v>1241</v>
      </c>
      <c r="W51" t="s">
        <v>1242</v>
      </c>
      <c r="X51" t="s">
        <v>1243</v>
      </c>
      <c r="Y51" t="s">
        <v>1244</v>
      </c>
      <c r="Z51" t="s">
        <v>1245</v>
      </c>
      <c r="AA51" t="s">
        <v>1246</v>
      </c>
      <c r="AB51" t="s">
        <v>1247</v>
      </c>
      <c r="AC51" t="s">
        <v>1248</v>
      </c>
      <c r="AD51" t="s">
        <v>1249</v>
      </c>
      <c r="AE51" t="s">
        <v>1250</v>
      </c>
      <c r="AF51" t="s">
        <v>74</v>
      </c>
      <c r="AG51">
        <v>97</v>
      </c>
      <c r="AH51">
        <v>35</v>
      </c>
      <c r="AI51">
        <v>36</v>
      </c>
      <c r="AJ51">
        <v>7</v>
      </c>
      <c r="AK51">
        <v>53</v>
      </c>
      <c r="AL51" t="s">
        <v>1251</v>
      </c>
      <c r="AM51" t="s">
        <v>609</v>
      </c>
      <c r="AN51" t="s">
        <v>1252</v>
      </c>
      <c r="AO51" t="s">
        <v>1253</v>
      </c>
      <c r="AP51" t="s">
        <v>74</v>
      </c>
      <c r="AQ51" t="s">
        <v>74</v>
      </c>
      <c r="AR51" t="s">
        <v>1238</v>
      </c>
      <c r="AS51" t="s">
        <v>1254</v>
      </c>
      <c r="AT51" t="s">
        <v>1255</v>
      </c>
      <c r="AU51">
        <v>2020</v>
      </c>
      <c r="AV51">
        <v>5</v>
      </c>
      <c r="AW51">
        <v>6</v>
      </c>
      <c r="AX51" t="s">
        <v>74</v>
      </c>
      <c r="AY51" t="s">
        <v>74</v>
      </c>
      <c r="AZ51" t="s">
        <v>74</v>
      </c>
      <c r="BA51" t="s">
        <v>74</v>
      </c>
      <c r="BB51" t="s">
        <v>74</v>
      </c>
      <c r="BC51" t="s">
        <v>74</v>
      </c>
      <c r="BD51" t="s">
        <v>1256</v>
      </c>
      <c r="BE51" t="s">
        <v>1257</v>
      </c>
      <c r="BF51" t="str">
        <f>HYPERLINK("http://dx.doi.org/10.1128/mSystems.01131-20","http://dx.doi.org/10.1128/mSystems.01131-20")</f>
        <v>http://dx.doi.org/10.1128/mSystems.01131-20</v>
      </c>
      <c r="BG51" t="s">
        <v>74</v>
      </c>
      <c r="BH51" t="s">
        <v>74</v>
      </c>
      <c r="BI51">
        <v>19</v>
      </c>
      <c r="BJ51" t="s">
        <v>229</v>
      </c>
      <c r="BK51" t="s">
        <v>100</v>
      </c>
      <c r="BL51" t="s">
        <v>229</v>
      </c>
      <c r="BM51" t="s">
        <v>1258</v>
      </c>
      <c r="BN51">
        <v>33203691</v>
      </c>
      <c r="BO51" t="s">
        <v>1259</v>
      </c>
      <c r="BP51" t="s">
        <v>74</v>
      </c>
      <c r="BQ51" t="s">
        <v>74</v>
      </c>
      <c r="BR51" t="s">
        <v>104</v>
      </c>
      <c r="BS51" t="s">
        <v>1260</v>
      </c>
      <c r="BT51" t="str">
        <f>HYPERLINK("https%3A%2F%2Fwww.webofscience.com%2Fwos%2Fwoscc%2Ffull-record%2FWOS:000630974900016","View Full Record in Web of Science")</f>
        <v>View Full Record in Web of Science</v>
      </c>
    </row>
    <row r="52" spans="1:72" x14ac:dyDescent="0.15">
      <c r="A52" t="s">
        <v>72</v>
      </c>
      <c r="B52" t="s">
        <v>1261</v>
      </c>
      <c r="C52" t="s">
        <v>74</v>
      </c>
      <c r="D52" t="s">
        <v>74</v>
      </c>
      <c r="E52" t="s">
        <v>74</v>
      </c>
      <c r="F52" t="s">
        <v>1262</v>
      </c>
      <c r="G52" t="s">
        <v>74</v>
      </c>
      <c r="H52" t="s">
        <v>74</v>
      </c>
      <c r="I52" t="s">
        <v>1263</v>
      </c>
      <c r="J52" t="s">
        <v>1264</v>
      </c>
      <c r="K52" t="s">
        <v>74</v>
      </c>
      <c r="L52" t="s">
        <v>74</v>
      </c>
      <c r="M52" t="s">
        <v>78</v>
      </c>
      <c r="N52" t="s">
        <v>79</v>
      </c>
      <c r="O52" t="s">
        <v>74</v>
      </c>
      <c r="P52" t="s">
        <v>74</v>
      </c>
      <c r="Q52" t="s">
        <v>74</v>
      </c>
      <c r="R52" t="s">
        <v>74</v>
      </c>
      <c r="S52" t="s">
        <v>74</v>
      </c>
      <c r="T52" t="s">
        <v>1265</v>
      </c>
      <c r="U52" t="s">
        <v>74</v>
      </c>
      <c r="V52" t="s">
        <v>1266</v>
      </c>
      <c r="W52" t="s">
        <v>1267</v>
      </c>
      <c r="X52" t="s">
        <v>1268</v>
      </c>
      <c r="Y52" t="s">
        <v>1269</v>
      </c>
      <c r="Z52" t="s">
        <v>1270</v>
      </c>
      <c r="AA52" t="s">
        <v>1271</v>
      </c>
      <c r="AB52" t="s">
        <v>1272</v>
      </c>
      <c r="AC52" t="s">
        <v>1273</v>
      </c>
      <c r="AD52" t="s">
        <v>1274</v>
      </c>
      <c r="AE52" t="s">
        <v>1275</v>
      </c>
      <c r="AF52" t="s">
        <v>74</v>
      </c>
      <c r="AG52">
        <v>5</v>
      </c>
      <c r="AH52">
        <v>2</v>
      </c>
      <c r="AI52">
        <v>3</v>
      </c>
      <c r="AJ52">
        <v>0</v>
      </c>
      <c r="AK52">
        <v>0</v>
      </c>
      <c r="AL52" t="s">
        <v>1276</v>
      </c>
      <c r="AM52" t="s">
        <v>483</v>
      </c>
      <c r="AN52" t="s">
        <v>1277</v>
      </c>
      <c r="AO52" t="s">
        <v>1278</v>
      </c>
      <c r="AP52" t="s">
        <v>1279</v>
      </c>
      <c r="AQ52" t="s">
        <v>74</v>
      </c>
      <c r="AR52" t="s">
        <v>1280</v>
      </c>
      <c r="AS52" t="s">
        <v>1281</v>
      </c>
      <c r="AT52" t="s">
        <v>1212</v>
      </c>
      <c r="AU52">
        <v>2020</v>
      </c>
      <c r="AV52">
        <v>60</v>
      </c>
      <c r="AW52">
        <v>6</v>
      </c>
      <c r="AX52" t="s">
        <v>74</v>
      </c>
      <c r="AY52" t="s">
        <v>74</v>
      </c>
      <c r="AZ52" t="s">
        <v>74</v>
      </c>
      <c r="BA52" t="s">
        <v>74</v>
      </c>
      <c r="BB52">
        <v>869</v>
      </c>
      <c r="BC52">
        <v>871</v>
      </c>
      <c r="BD52" t="s">
        <v>74</v>
      </c>
      <c r="BE52" t="s">
        <v>1282</v>
      </c>
      <c r="BF52" t="str">
        <f>HYPERLINK("http://dx.doi.org/10.1134/S0001437020050070","http://dx.doi.org/10.1134/S0001437020050070")</f>
        <v>http://dx.doi.org/10.1134/S0001437020050070</v>
      </c>
      <c r="BG52" t="s">
        <v>74</v>
      </c>
      <c r="BH52" t="s">
        <v>74</v>
      </c>
      <c r="BI52">
        <v>3</v>
      </c>
      <c r="BJ52" t="s">
        <v>1283</v>
      </c>
      <c r="BK52" t="s">
        <v>100</v>
      </c>
      <c r="BL52" t="s">
        <v>1283</v>
      </c>
      <c r="BM52" t="s">
        <v>1284</v>
      </c>
      <c r="BN52" t="s">
        <v>74</v>
      </c>
      <c r="BO52" t="s">
        <v>74</v>
      </c>
      <c r="BP52" t="s">
        <v>74</v>
      </c>
      <c r="BQ52" t="s">
        <v>74</v>
      </c>
      <c r="BR52" t="s">
        <v>104</v>
      </c>
      <c r="BS52" t="s">
        <v>1285</v>
      </c>
      <c r="BT52" t="str">
        <f>HYPERLINK("https%3A%2F%2Fwww.webofscience.com%2Fwos%2Fwoscc%2Ffull-record%2FWOS:000624555500016","View Full Record in Web of Science")</f>
        <v>View Full Record in Web of Science</v>
      </c>
    </row>
    <row r="53" spans="1:72" x14ac:dyDescent="0.15">
      <c r="A53" t="s">
        <v>72</v>
      </c>
      <c r="B53" t="s">
        <v>1286</v>
      </c>
      <c r="C53" t="s">
        <v>74</v>
      </c>
      <c r="D53" t="s">
        <v>74</v>
      </c>
      <c r="E53" t="s">
        <v>74</v>
      </c>
      <c r="F53" t="s">
        <v>1287</v>
      </c>
      <c r="G53" t="s">
        <v>74</v>
      </c>
      <c r="H53" t="s">
        <v>74</v>
      </c>
      <c r="I53" t="s">
        <v>1288</v>
      </c>
      <c r="J53" t="s">
        <v>1289</v>
      </c>
      <c r="K53" t="s">
        <v>74</v>
      </c>
      <c r="L53" t="s">
        <v>74</v>
      </c>
      <c r="M53" t="s">
        <v>78</v>
      </c>
      <c r="N53" t="s">
        <v>79</v>
      </c>
      <c r="O53" t="s">
        <v>74</v>
      </c>
      <c r="P53" t="s">
        <v>74</v>
      </c>
      <c r="Q53" t="s">
        <v>74</v>
      </c>
      <c r="R53" t="s">
        <v>74</v>
      </c>
      <c r="S53" t="s">
        <v>74</v>
      </c>
      <c r="T53" t="s">
        <v>1290</v>
      </c>
      <c r="U53" t="s">
        <v>74</v>
      </c>
      <c r="V53" t="s">
        <v>1291</v>
      </c>
      <c r="W53" t="s">
        <v>1292</v>
      </c>
      <c r="X53" t="s">
        <v>1293</v>
      </c>
      <c r="Y53" t="s">
        <v>1294</v>
      </c>
      <c r="Z53" t="s">
        <v>1295</v>
      </c>
      <c r="AA53" t="s">
        <v>1296</v>
      </c>
      <c r="AB53" t="s">
        <v>1297</v>
      </c>
      <c r="AC53" t="s">
        <v>1298</v>
      </c>
      <c r="AD53" t="s">
        <v>1299</v>
      </c>
      <c r="AE53" t="s">
        <v>1300</v>
      </c>
      <c r="AF53" t="s">
        <v>74</v>
      </c>
      <c r="AG53">
        <v>14</v>
      </c>
      <c r="AH53">
        <v>12</v>
      </c>
      <c r="AI53">
        <v>13</v>
      </c>
      <c r="AJ53">
        <v>1</v>
      </c>
      <c r="AK53">
        <v>16</v>
      </c>
      <c r="AL53" t="s">
        <v>1276</v>
      </c>
      <c r="AM53" t="s">
        <v>483</v>
      </c>
      <c r="AN53" t="s">
        <v>1277</v>
      </c>
      <c r="AO53" t="s">
        <v>1301</v>
      </c>
      <c r="AP53" t="s">
        <v>1302</v>
      </c>
      <c r="AQ53" t="s">
        <v>74</v>
      </c>
      <c r="AR53" t="s">
        <v>1303</v>
      </c>
      <c r="AS53" t="s">
        <v>1304</v>
      </c>
      <c r="AT53" t="s">
        <v>1212</v>
      </c>
      <c r="AU53">
        <v>2020</v>
      </c>
      <c r="AV53">
        <v>45</v>
      </c>
      <c r="AW53">
        <v>11</v>
      </c>
      <c r="AX53" t="s">
        <v>74</v>
      </c>
      <c r="AY53" t="s">
        <v>74</v>
      </c>
      <c r="AZ53" t="s">
        <v>74</v>
      </c>
      <c r="BA53" t="s">
        <v>74</v>
      </c>
      <c r="BB53">
        <v>771</v>
      </c>
      <c r="BC53">
        <v>777</v>
      </c>
      <c r="BD53" t="s">
        <v>74</v>
      </c>
      <c r="BE53" t="s">
        <v>1305</v>
      </c>
      <c r="BF53" t="str">
        <f>HYPERLINK("http://dx.doi.org/10.3103/S1068373920110035","http://dx.doi.org/10.3103/S1068373920110035")</f>
        <v>http://dx.doi.org/10.3103/S1068373920110035</v>
      </c>
      <c r="BG53" t="s">
        <v>74</v>
      </c>
      <c r="BH53" t="s">
        <v>74</v>
      </c>
      <c r="BI53">
        <v>7</v>
      </c>
      <c r="BJ53" t="s">
        <v>800</v>
      </c>
      <c r="BK53" t="s">
        <v>100</v>
      </c>
      <c r="BL53" t="s">
        <v>800</v>
      </c>
      <c r="BM53" t="s">
        <v>1306</v>
      </c>
      <c r="BN53" t="s">
        <v>74</v>
      </c>
      <c r="BO53" t="s">
        <v>74</v>
      </c>
      <c r="BP53" t="s">
        <v>74</v>
      </c>
      <c r="BQ53" t="s">
        <v>74</v>
      </c>
      <c r="BR53" t="s">
        <v>104</v>
      </c>
      <c r="BS53" t="s">
        <v>1307</v>
      </c>
      <c r="BT53" t="str">
        <f>HYPERLINK("https%3A%2F%2Fwww.webofscience.com%2Fwos%2Fwoscc%2Ffull-record%2FWOS:000624072900003","View Full Record in Web of Science")</f>
        <v>View Full Record in Web of Science</v>
      </c>
    </row>
    <row r="54" spans="1:72" x14ac:dyDescent="0.15">
      <c r="A54" t="s">
        <v>72</v>
      </c>
      <c r="B54" t="s">
        <v>1308</v>
      </c>
      <c r="C54" t="s">
        <v>74</v>
      </c>
      <c r="D54" t="s">
        <v>74</v>
      </c>
      <c r="E54" t="s">
        <v>74</v>
      </c>
      <c r="F54" t="s">
        <v>1309</v>
      </c>
      <c r="G54" t="s">
        <v>74</v>
      </c>
      <c r="H54" t="s">
        <v>74</v>
      </c>
      <c r="I54" t="s">
        <v>1310</v>
      </c>
      <c r="J54" t="s">
        <v>1289</v>
      </c>
      <c r="K54" t="s">
        <v>74</v>
      </c>
      <c r="L54" t="s">
        <v>74</v>
      </c>
      <c r="M54" t="s">
        <v>78</v>
      </c>
      <c r="N54" t="s">
        <v>138</v>
      </c>
      <c r="O54" t="s">
        <v>74</v>
      </c>
      <c r="P54" t="s">
        <v>74</v>
      </c>
      <c r="Q54" t="s">
        <v>74</v>
      </c>
      <c r="R54" t="s">
        <v>74</v>
      </c>
      <c r="S54" t="s">
        <v>74</v>
      </c>
      <c r="T54" t="s">
        <v>1311</v>
      </c>
      <c r="U54" t="s">
        <v>74</v>
      </c>
      <c r="V54" t="s">
        <v>1312</v>
      </c>
      <c r="W54" t="s">
        <v>1313</v>
      </c>
      <c r="X54" t="s">
        <v>74</v>
      </c>
      <c r="Y54" t="s">
        <v>1314</v>
      </c>
      <c r="Z54" t="s">
        <v>1315</v>
      </c>
      <c r="AA54" t="s">
        <v>74</v>
      </c>
      <c r="AB54" t="s">
        <v>74</v>
      </c>
      <c r="AC54" t="s">
        <v>74</v>
      </c>
      <c r="AD54" t="s">
        <v>74</v>
      </c>
      <c r="AE54" t="s">
        <v>74</v>
      </c>
      <c r="AF54" t="s">
        <v>74</v>
      </c>
      <c r="AG54">
        <v>8</v>
      </c>
      <c r="AH54">
        <v>3</v>
      </c>
      <c r="AI54">
        <v>3</v>
      </c>
      <c r="AJ54">
        <v>0</v>
      </c>
      <c r="AK54">
        <v>0</v>
      </c>
      <c r="AL54" t="s">
        <v>1276</v>
      </c>
      <c r="AM54" t="s">
        <v>483</v>
      </c>
      <c r="AN54" t="s">
        <v>1277</v>
      </c>
      <c r="AO54" t="s">
        <v>1301</v>
      </c>
      <c r="AP54" t="s">
        <v>1302</v>
      </c>
      <c r="AQ54" t="s">
        <v>74</v>
      </c>
      <c r="AR54" t="s">
        <v>1303</v>
      </c>
      <c r="AS54" t="s">
        <v>1304</v>
      </c>
      <c r="AT54" t="s">
        <v>1212</v>
      </c>
      <c r="AU54">
        <v>2020</v>
      </c>
      <c r="AV54">
        <v>45</v>
      </c>
      <c r="AW54">
        <v>11</v>
      </c>
      <c r="AX54" t="s">
        <v>74</v>
      </c>
      <c r="AY54" t="s">
        <v>74</v>
      </c>
      <c r="AZ54" t="s">
        <v>74</v>
      </c>
      <c r="BA54" t="s">
        <v>74</v>
      </c>
      <c r="BB54">
        <v>814</v>
      </c>
      <c r="BC54">
        <v>818</v>
      </c>
      <c r="BD54" t="s">
        <v>74</v>
      </c>
      <c r="BE54" t="s">
        <v>1316</v>
      </c>
      <c r="BF54" t="str">
        <f>HYPERLINK("http://dx.doi.org/10.3103/S1068373920110096","http://dx.doi.org/10.3103/S1068373920110096")</f>
        <v>http://dx.doi.org/10.3103/S1068373920110096</v>
      </c>
      <c r="BG54" t="s">
        <v>74</v>
      </c>
      <c r="BH54" t="s">
        <v>74</v>
      </c>
      <c r="BI54">
        <v>5</v>
      </c>
      <c r="BJ54" t="s">
        <v>800</v>
      </c>
      <c r="BK54" t="s">
        <v>100</v>
      </c>
      <c r="BL54" t="s">
        <v>800</v>
      </c>
      <c r="BM54" t="s">
        <v>1306</v>
      </c>
      <c r="BN54" t="s">
        <v>74</v>
      </c>
      <c r="BO54" t="s">
        <v>74</v>
      </c>
      <c r="BP54" t="s">
        <v>74</v>
      </c>
      <c r="BQ54" t="s">
        <v>74</v>
      </c>
      <c r="BR54" t="s">
        <v>104</v>
      </c>
      <c r="BS54" t="s">
        <v>1317</v>
      </c>
      <c r="BT54" t="str">
        <f>HYPERLINK("https%3A%2F%2Fwww.webofscience.com%2Fwos%2Fwoscc%2Ffull-record%2FWOS:000624072900009","View Full Record in Web of Science")</f>
        <v>View Full Record in Web of Science</v>
      </c>
    </row>
    <row r="55" spans="1:72" x14ac:dyDescent="0.15">
      <c r="A55" t="s">
        <v>72</v>
      </c>
      <c r="B55" t="s">
        <v>1318</v>
      </c>
      <c r="C55" t="s">
        <v>74</v>
      </c>
      <c r="D55" t="s">
        <v>74</v>
      </c>
      <c r="E55" t="s">
        <v>74</v>
      </c>
      <c r="F55" t="s">
        <v>1319</v>
      </c>
      <c r="G55" t="s">
        <v>74</v>
      </c>
      <c r="H55" t="s">
        <v>74</v>
      </c>
      <c r="I55" t="s">
        <v>1320</v>
      </c>
      <c r="J55" t="s">
        <v>1321</v>
      </c>
      <c r="K55" t="s">
        <v>74</v>
      </c>
      <c r="L55" t="s">
        <v>74</v>
      </c>
      <c r="M55" t="s">
        <v>78</v>
      </c>
      <c r="N55" t="s">
        <v>79</v>
      </c>
      <c r="O55" t="s">
        <v>74</v>
      </c>
      <c r="P55" t="s">
        <v>74</v>
      </c>
      <c r="Q55" t="s">
        <v>74</v>
      </c>
      <c r="R55" t="s">
        <v>74</v>
      </c>
      <c r="S55" t="s">
        <v>74</v>
      </c>
      <c r="T55" t="s">
        <v>1322</v>
      </c>
      <c r="U55" t="s">
        <v>1323</v>
      </c>
      <c r="V55" t="s">
        <v>1324</v>
      </c>
      <c r="W55" t="s">
        <v>1325</v>
      </c>
      <c r="X55" t="s">
        <v>1326</v>
      </c>
      <c r="Y55" t="s">
        <v>1327</v>
      </c>
      <c r="Z55" t="s">
        <v>1328</v>
      </c>
      <c r="AA55" t="s">
        <v>1329</v>
      </c>
      <c r="AB55" t="s">
        <v>1330</v>
      </c>
      <c r="AC55" t="s">
        <v>1331</v>
      </c>
      <c r="AD55" t="s">
        <v>1332</v>
      </c>
      <c r="AE55" t="s">
        <v>1333</v>
      </c>
      <c r="AF55" t="s">
        <v>74</v>
      </c>
      <c r="AG55">
        <v>15</v>
      </c>
      <c r="AH55">
        <v>3</v>
      </c>
      <c r="AI55">
        <v>4</v>
      </c>
      <c r="AJ55">
        <v>1</v>
      </c>
      <c r="AK55">
        <v>6</v>
      </c>
      <c r="AL55" t="s">
        <v>1276</v>
      </c>
      <c r="AM55" t="s">
        <v>483</v>
      </c>
      <c r="AN55" t="s">
        <v>1277</v>
      </c>
      <c r="AO55" t="s">
        <v>1334</v>
      </c>
      <c r="AP55" t="s">
        <v>1335</v>
      </c>
      <c r="AQ55" t="s">
        <v>74</v>
      </c>
      <c r="AR55" t="s">
        <v>1336</v>
      </c>
      <c r="AS55" t="s">
        <v>1337</v>
      </c>
      <c r="AT55" t="s">
        <v>1212</v>
      </c>
      <c r="AU55">
        <v>2020</v>
      </c>
      <c r="AV55">
        <v>33</v>
      </c>
      <c r="AW55">
        <v>6</v>
      </c>
      <c r="AX55" t="s">
        <v>74</v>
      </c>
      <c r="AY55" t="s">
        <v>74</v>
      </c>
      <c r="AZ55" t="s">
        <v>74</v>
      </c>
      <c r="BA55" t="s">
        <v>74</v>
      </c>
      <c r="BB55">
        <v>708</v>
      </c>
      <c r="BC55">
        <v>711</v>
      </c>
      <c r="BD55" t="s">
        <v>74</v>
      </c>
      <c r="BE55" t="s">
        <v>1338</v>
      </c>
      <c r="BF55" t="str">
        <f>HYPERLINK("http://dx.doi.org/10.1134/S1024856020060160","http://dx.doi.org/10.1134/S1024856020060160")</f>
        <v>http://dx.doi.org/10.1134/S1024856020060160</v>
      </c>
      <c r="BG55" t="s">
        <v>74</v>
      </c>
      <c r="BH55" t="s">
        <v>74</v>
      </c>
      <c r="BI55">
        <v>4</v>
      </c>
      <c r="BJ55" t="s">
        <v>1339</v>
      </c>
      <c r="BK55" t="s">
        <v>1214</v>
      </c>
      <c r="BL55" t="s">
        <v>1339</v>
      </c>
      <c r="BM55" t="s">
        <v>1340</v>
      </c>
      <c r="BN55" t="s">
        <v>74</v>
      </c>
      <c r="BO55" t="s">
        <v>74</v>
      </c>
      <c r="BP55" t="s">
        <v>74</v>
      </c>
      <c r="BQ55" t="s">
        <v>74</v>
      </c>
      <c r="BR55" t="s">
        <v>104</v>
      </c>
      <c r="BS55" t="s">
        <v>1341</v>
      </c>
      <c r="BT55" t="str">
        <f>HYPERLINK("https%3A%2F%2Fwww.webofscience.com%2Fwos%2Fwoscc%2Ffull-record%2FWOS:000612376500022","View Full Record in Web of Science")</f>
        <v>View Full Record in Web of Science</v>
      </c>
    </row>
    <row r="56" spans="1:72" x14ac:dyDescent="0.15">
      <c r="A56" t="s">
        <v>72</v>
      </c>
      <c r="B56" t="s">
        <v>1342</v>
      </c>
      <c r="C56" t="s">
        <v>74</v>
      </c>
      <c r="D56" t="s">
        <v>74</v>
      </c>
      <c r="E56" t="s">
        <v>74</v>
      </c>
      <c r="F56" t="s">
        <v>1343</v>
      </c>
      <c r="G56" t="s">
        <v>74</v>
      </c>
      <c r="H56" t="s">
        <v>74</v>
      </c>
      <c r="I56" t="s">
        <v>1344</v>
      </c>
      <c r="J56" t="s">
        <v>1345</v>
      </c>
      <c r="K56" t="s">
        <v>74</v>
      </c>
      <c r="L56" t="s">
        <v>74</v>
      </c>
      <c r="M56" t="s">
        <v>78</v>
      </c>
      <c r="N56" t="s">
        <v>79</v>
      </c>
      <c r="O56" t="s">
        <v>74</v>
      </c>
      <c r="P56" t="s">
        <v>74</v>
      </c>
      <c r="Q56" t="s">
        <v>74</v>
      </c>
      <c r="R56" t="s">
        <v>74</v>
      </c>
      <c r="S56" t="s">
        <v>74</v>
      </c>
      <c r="T56" t="s">
        <v>1346</v>
      </c>
      <c r="U56" t="s">
        <v>1347</v>
      </c>
      <c r="V56" t="s">
        <v>1348</v>
      </c>
      <c r="W56" t="s">
        <v>1349</v>
      </c>
      <c r="X56" t="s">
        <v>1350</v>
      </c>
      <c r="Y56" t="s">
        <v>1351</v>
      </c>
      <c r="Z56" t="s">
        <v>1352</v>
      </c>
      <c r="AA56" t="s">
        <v>74</v>
      </c>
      <c r="AB56" t="s">
        <v>74</v>
      </c>
      <c r="AC56" t="s">
        <v>1353</v>
      </c>
      <c r="AD56" t="s">
        <v>1354</v>
      </c>
      <c r="AE56" t="s">
        <v>1355</v>
      </c>
      <c r="AF56" t="s">
        <v>74</v>
      </c>
      <c r="AG56">
        <v>37</v>
      </c>
      <c r="AH56">
        <v>0</v>
      </c>
      <c r="AI56">
        <v>0</v>
      </c>
      <c r="AJ56">
        <v>0</v>
      </c>
      <c r="AK56">
        <v>1</v>
      </c>
      <c r="AL56" t="s">
        <v>1276</v>
      </c>
      <c r="AM56" t="s">
        <v>483</v>
      </c>
      <c r="AN56" t="s">
        <v>1277</v>
      </c>
      <c r="AO56" t="s">
        <v>1356</v>
      </c>
      <c r="AP56" t="s">
        <v>1357</v>
      </c>
      <c r="AQ56" t="s">
        <v>74</v>
      </c>
      <c r="AR56" t="s">
        <v>1358</v>
      </c>
      <c r="AS56" t="s">
        <v>1359</v>
      </c>
      <c r="AT56" t="s">
        <v>1212</v>
      </c>
      <c r="AU56">
        <v>2020</v>
      </c>
      <c r="AV56">
        <v>54</v>
      </c>
      <c r="AW56">
        <v>6</v>
      </c>
      <c r="AX56" t="s">
        <v>74</v>
      </c>
      <c r="AY56" t="s">
        <v>74</v>
      </c>
      <c r="AZ56" t="s">
        <v>74</v>
      </c>
      <c r="BA56" t="s">
        <v>74</v>
      </c>
      <c r="BB56">
        <v>741</v>
      </c>
      <c r="BC56">
        <v>753</v>
      </c>
      <c r="BD56" t="s">
        <v>74</v>
      </c>
      <c r="BE56" t="s">
        <v>1360</v>
      </c>
      <c r="BF56" t="str">
        <f>HYPERLINK("http://dx.doi.org/10.1134/S0016852120060138","http://dx.doi.org/10.1134/S0016852120060138")</f>
        <v>http://dx.doi.org/10.1134/S0016852120060138</v>
      </c>
      <c r="BG56" t="s">
        <v>74</v>
      </c>
      <c r="BH56" t="s">
        <v>74</v>
      </c>
      <c r="BI56">
        <v>13</v>
      </c>
      <c r="BJ56" t="s">
        <v>1361</v>
      </c>
      <c r="BK56" t="s">
        <v>100</v>
      </c>
      <c r="BL56" t="s">
        <v>1361</v>
      </c>
      <c r="BM56" t="s">
        <v>1362</v>
      </c>
      <c r="BN56" t="s">
        <v>74</v>
      </c>
      <c r="BO56" t="s">
        <v>74</v>
      </c>
      <c r="BP56" t="s">
        <v>74</v>
      </c>
      <c r="BQ56" t="s">
        <v>74</v>
      </c>
      <c r="BR56" t="s">
        <v>104</v>
      </c>
      <c r="BS56" t="s">
        <v>1363</v>
      </c>
      <c r="BT56" t="str">
        <f>HYPERLINK("https%3A%2F%2Fwww.webofscience.com%2Fwos%2Fwoscc%2Ffull-record%2FWOS:000611542700002","View Full Record in Web of Science")</f>
        <v>View Full Record in Web of Science</v>
      </c>
    </row>
    <row r="57" spans="1:72" x14ac:dyDescent="0.15">
      <c r="A57" t="s">
        <v>72</v>
      </c>
      <c r="B57" t="s">
        <v>1364</v>
      </c>
      <c r="C57" t="s">
        <v>74</v>
      </c>
      <c r="D57" t="s">
        <v>74</v>
      </c>
      <c r="E57" t="s">
        <v>74</v>
      </c>
      <c r="F57" t="s">
        <v>1365</v>
      </c>
      <c r="G57" t="s">
        <v>74</v>
      </c>
      <c r="H57" t="s">
        <v>74</v>
      </c>
      <c r="I57" t="s">
        <v>1366</v>
      </c>
      <c r="J57" t="s">
        <v>1367</v>
      </c>
      <c r="K57" t="s">
        <v>74</v>
      </c>
      <c r="L57" t="s">
        <v>74</v>
      </c>
      <c r="M57" t="s">
        <v>78</v>
      </c>
      <c r="N57" t="s">
        <v>79</v>
      </c>
      <c r="O57" t="s">
        <v>74</v>
      </c>
      <c r="P57" t="s">
        <v>74</v>
      </c>
      <c r="Q57" t="s">
        <v>74</v>
      </c>
      <c r="R57" t="s">
        <v>74</v>
      </c>
      <c r="S57" t="s">
        <v>74</v>
      </c>
      <c r="T57" t="s">
        <v>1368</v>
      </c>
      <c r="U57" t="s">
        <v>1369</v>
      </c>
      <c r="V57" t="s">
        <v>1370</v>
      </c>
      <c r="W57" t="s">
        <v>1371</v>
      </c>
      <c r="X57" t="s">
        <v>1372</v>
      </c>
      <c r="Y57" t="s">
        <v>1373</v>
      </c>
      <c r="Z57" t="s">
        <v>1374</v>
      </c>
      <c r="AA57" t="s">
        <v>1375</v>
      </c>
      <c r="AB57" t="s">
        <v>1376</v>
      </c>
      <c r="AC57" t="s">
        <v>1377</v>
      </c>
      <c r="AD57" t="s">
        <v>1378</v>
      </c>
      <c r="AE57" t="s">
        <v>1379</v>
      </c>
      <c r="AF57" t="s">
        <v>74</v>
      </c>
      <c r="AG57">
        <v>47</v>
      </c>
      <c r="AH57">
        <v>5</v>
      </c>
      <c r="AI57">
        <v>5</v>
      </c>
      <c r="AJ57">
        <v>0</v>
      </c>
      <c r="AK57">
        <v>2</v>
      </c>
      <c r="AL57" t="s">
        <v>1380</v>
      </c>
      <c r="AM57" t="s">
        <v>483</v>
      </c>
      <c r="AN57" t="s">
        <v>1381</v>
      </c>
      <c r="AO57" t="s">
        <v>1382</v>
      </c>
      <c r="AP57" t="s">
        <v>1383</v>
      </c>
      <c r="AQ57" t="s">
        <v>74</v>
      </c>
      <c r="AR57" t="s">
        <v>1384</v>
      </c>
      <c r="AS57" t="s">
        <v>1385</v>
      </c>
      <c r="AT57" t="s">
        <v>1212</v>
      </c>
      <c r="AU57">
        <v>2020</v>
      </c>
      <c r="AV57">
        <v>54</v>
      </c>
      <c r="AW57">
        <v>6</v>
      </c>
      <c r="AX57" t="s">
        <v>74</v>
      </c>
      <c r="AY57" t="s">
        <v>74</v>
      </c>
      <c r="AZ57" t="s">
        <v>74</v>
      </c>
      <c r="BA57" t="s">
        <v>74</v>
      </c>
      <c r="BB57">
        <v>505</v>
      </c>
      <c r="BC57">
        <v>513</v>
      </c>
      <c r="BD57" t="s">
        <v>74</v>
      </c>
      <c r="BE57" t="s">
        <v>1386</v>
      </c>
      <c r="BF57" t="str">
        <f>HYPERLINK("http://dx.doi.org/10.3103/S0095452720060055","http://dx.doi.org/10.3103/S0095452720060055")</f>
        <v>http://dx.doi.org/10.3103/S0095452720060055</v>
      </c>
      <c r="BG57" t="s">
        <v>74</v>
      </c>
      <c r="BH57" t="s">
        <v>74</v>
      </c>
      <c r="BI57">
        <v>9</v>
      </c>
      <c r="BJ57" t="s">
        <v>1387</v>
      </c>
      <c r="BK57" t="s">
        <v>100</v>
      </c>
      <c r="BL57" t="s">
        <v>1387</v>
      </c>
      <c r="BM57" t="s">
        <v>1388</v>
      </c>
      <c r="BN57" t="s">
        <v>74</v>
      </c>
      <c r="BO57" t="s">
        <v>74</v>
      </c>
      <c r="BP57" t="s">
        <v>74</v>
      </c>
      <c r="BQ57" t="s">
        <v>74</v>
      </c>
      <c r="BR57" t="s">
        <v>104</v>
      </c>
      <c r="BS57" t="s">
        <v>1389</v>
      </c>
      <c r="BT57" t="str">
        <f>HYPERLINK("https%3A%2F%2Fwww.webofscience.com%2Fwos%2Fwoscc%2Ffull-record%2FWOS:000608056500001","View Full Record in Web of Science")</f>
        <v>View Full Record in Web of Science</v>
      </c>
    </row>
    <row r="58" spans="1:72" x14ac:dyDescent="0.15">
      <c r="A58" t="s">
        <v>72</v>
      </c>
      <c r="B58" t="s">
        <v>1390</v>
      </c>
      <c r="C58" t="s">
        <v>74</v>
      </c>
      <c r="D58" t="s">
        <v>74</v>
      </c>
      <c r="E58" t="s">
        <v>74</v>
      </c>
      <c r="F58" t="s">
        <v>1391</v>
      </c>
      <c r="G58" t="s">
        <v>74</v>
      </c>
      <c r="H58" t="s">
        <v>74</v>
      </c>
      <c r="I58" t="s">
        <v>1392</v>
      </c>
      <c r="J58" t="s">
        <v>1393</v>
      </c>
      <c r="K58" t="s">
        <v>74</v>
      </c>
      <c r="L58" t="s">
        <v>74</v>
      </c>
      <c r="M58" t="s">
        <v>78</v>
      </c>
      <c r="N58" t="s">
        <v>79</v>
      </c>
      <c r="O58" t="s">
        <v>74</v>
      </c>
      <c r="P58" t="s">
        <v>74</v>
      </c>
      <c r="Q58" t="s">
        <v>74</v>
      </c>
      <c r="R58" t="s">
        <v>74</v>
      </c>
      <c r="S58" t="s">
        <v>74</v>
      </c>
      <c r="T58" t="s">
        <v>1394</v>
      </c>
      <c r="U58" t="s">
        <v>1395</v>
      </c>
      <c r="V58" t="s">
        <v>1396</v>
      </c>
      <c r="W58" t="s">
        <v>1397</v>
      </c>
      <c r="X58" t="s">
        <v>1398</v>
      </c>
      <c r="Y58" t="s">
        <v>1399</v>
      </c>
      <c r="Z58" t="s">
        <v>1400</v>
      </c>
      <c r="AA58" t="s">
        <v>1401</v>
      </c>
      <c r="AB58" t="s">
        <v>1402</v>
      </c>
      <c r="AC58" t="s">
        <v>1403</v>
      </c>
      <c r="AD58" t="s">
        <v>1404</v>
      </c>
      <c r="AE58" t="s">
        <v>1405</v>
      </c>
      <c r="AF58" t="s">
        <v>74</v>
      </c>
      <c r="AG58">
        <v>42</v>
      </c>
      <c r="AH58">
        <v>2</v>
      </c>
      <c r="AI58">
        <v>2</v>
      </c>
      <c r="AJ58">
        <v>1</v>
      </c>
      <c r="AK58">
        <v>11</v>
      </c>
      <c r="AL58" t="s">
        <v>1406</v>
      </c>
      <c r="AM58" t="s">
        <v>1407</v>
      </c>
      <c r="AN58" t="s">
        <v>1408</v>
      </c>
      <c r="AO58" t="s">
        <v>1409</v>
      </c>
      <c r="AP58" t="s">
        <v>1410</v>
      </c>
      <c r="AQ58" t="s">
        <v>74</v>
      </c>
      <c r="AR58" t="s">
        <v>1411</v>
      </c>
      <c r="AS58" t="s">
        <v>1412</v>
      </c>
      <c r="AT58" t="s">
        <v>1255</v>
      </c>
      <c r="AU58">
        <v>2020</v>
      </c>
      <c r="AV58">
        <v>77</v>
      </c>
      <c r="AW58">
        <v>6</v>
      </c>
      <c r="AX58" t="s">
        <v>74</v>
      </c>
      <c r="AY58" t="s">
        <v>74</v>
      </c>
      <c r="AZ58" t="s">
        <v>74</v>
      </c>
      <c r="BA58" t="s">
        <v>74</v>
      </c>
      <c r="BB58">
        <v>2022</v>
      </c>
      <c r="BC58">
        <v>2032</v>
      </c>
      <c r="BD58" t="s">
        <v>74</v>
      </c>
      <c r="BE58" t="s">
        <v>1413</v>
      </c>
      <c r="BF58" t="str">
        <f>HYPERLINK("http://dx.doi.org/10.1093/icesjms/fsaa048","http://dx.doi.org/10.1093/icesjms/fsaa048")</f>
        <v>http://dx.doi.org/10.1093/icesjms/fsaa048</v>
      </c>
      <c r="BG58" t="s">
        <v>74</v>
      </c>
      <c r="BH58" t="s">
        <v>74</v>
      </c>
      <c r="BI58">
        <v>11</v>
      </c>
      <c r="BJ58" t="s">
        <v>1414</v>
      </c>
      <c r="BK58" t="s">
        <v>255</v>
      </c>
      <c r="BL58" t="s">
        <v>1414</v>
      </c>
      <c r="BM58" t="s">
        <v>1415</v>
      </c>
      <c r="BN58" t="s">
        <v>74</v>
      </c>
      <c r="BO58" t="s">
        <v>74</v>
      </c>
      <c r="BP58" t="s">
        <v>74</v>
      </c>
      <c r="BQ58" t="s">
        <v>74</v>
      </c>
      <c r="BR58" t="s">
        <v>104</v>
      </c>
      <c r="BS58" t="s">
        <v>1416</v>
      </c>
      <c r="BT58" t="str">
        <f>HYPERLINK("https%3A%2F%2Fwww.webofscience.com%2Fwos%2Fwoscc%2Ffull-record%2FWOS:000612212800002","View Full Record in Web of Science")</f>
        <v>View Full Record in Web of Science</v>
      </c>
    </row>
    <row r="59" spans="1:72" x14ac:dyDescent="0.15">
      <c r="A59" t="s">
        <v>72</v>
      </c>
      <c r="B59" t="s">
        <v>1417</v>
      </c>
      <c r="C59" t="s">
        <v>74</v>
      </c>
      <c r="D59" t="s">
        <v>74</v>
      </c>
      <c r="E59" t="s">
        <v>74</v>
      </c>
      <c r="F59" t="s">
        <v>1418</v>
      </c>
      <c r="G59" t="s">
        <v>74</v>
      </c>
      <c r="H59" t="s">
        <v>74</v>
      </c>
      <c r="I59" t="s">
        <v>1419</v>
      </c>
      <c r="J59" t="s">
        <v>1393</v>
      </c>
      <c r="K59" t="s">
        <v>74</v>
      </c>
      <c r="L59" t="s">
        <v>74</v>
      </c>
      <c r="M59" t="s">
        <v>78</v>
      </c>
      <c r="N59" t="s">
        <v>79</v>
      </c>
      <c r="O59" t="s">
        <v>74</v>
      </c>
      <c r="P59" t="s">
        <v>74</v>
      </c>
      <c r="Q59" t="s">
        <v>74</v>
      </c>
      <c r="R59" t="s">
        <v>74</v>
      </c>
      <c r="S59" t="s">
        <v>74</v>
      </c>
      <c r="T59" t="s">
        <v>1420</v>
      </c>
      <c r="U59" t="s">
        <v>1421</v>
      </c>
      <c r="V59" t="s">
        <v>1422</v>
      </c>
      <c r="W59" t="s">
        <v>1423</v>
      </c>
      <c r="X59" t="s">
        <v>1424</v>
      </c>
      <c r="Y59" t="s">
        <v>1425</v>
      </c>
      <c r="Z59" t="s">
        <v>1426</v>
      </c>
      <c r="AA59" t="s">
        <v>1427</v>
      </c>
      <c r="AB59" t="s">
        <v>1428</v>
      </c>
      <c r="AC59" t="s">
        <v>1429</v>
      </c>
      <c r="AD59" t="s">
        <v>1429</v>
      </c>
      <c r="AE59" t="s">
        <v>1430</v>
      </c>
      <c r="AF59" t="s">
        <v>74</v>
      </c>
      <c r="AG59">
        <v>90</v>
      </c>
      <c r="AH59">
        <v>16</v>
      </c>
      <c r="AI59">
        <v>16</v>
      </c>
      <c r="AJ59">
        <v>3</v>
      </c>
      <c r="AK59">
        <v>17</v>
      </c>
      <c r="AL59" t="s">
        <v>1406</v>
      </c>
      <c r="AM59" t="s">
        <v>1407</v>
      </c>
      <c r="AN59" t="s">
        <v>1408</v>
      </c>
      <c r="AO59" t="s">
        <v>1409</v>
      </c>
      <c r="AP59" t="s">
        <v>1410</v>
      </c>
      <c r="AQ59" t="s">
        <v>74</v>
      </c>
      <c r="AR59" t="s">
        <v>1411</v>
      </c>
      <c r="AS59" t="s">
        <v>1412</v>
      </c>
      <c r="AT59" t="s">
        <v>1255</v>
      </c>
      <c r="AU59">
        <v>2020</v>
      </c>
      <c r="AV59">
        <v>77</v>
      </c>
      <c r="AW59">
        <v>6</v>
      </c>
      <c r="AX59" t="s">
        <v>74</v>
      </c>
      <c r="AY59" t="s">
        <v>74</v>
      </c>
      <c r="AZ59" t="s">
        <v>74</v>
      </c>
      <c r="BA59" t="s">
        <v>74</v>
      </c>
      <c r="BB59">
        <v>2319</v>
      </c>
      <c r="BC59">
        <v>2332</v>
      </c>
      <c r="BD59" t="s">
        <v>74</v>
      </c>
      <c r="BE59" t="s">
        <v>1431</v>
      </c>
      <c r="BF59" t="str">
        <f>HYPERLINK("http://dx.doi.org/10.1093/icesjms/fsz020","http://dx.doi.org/10.1093/icesjms/fsz020")</f>
        <v>http://dx.doi.org/10.1093/icesjms/fsz020</v>
      </c>
      <c r="BG59" t="s">
        <v>74</v>
      </c>
      <c r="BH59" t="s">
        <v>74</v>
      </c>
      <c r="BI59">
        <v>14</v>
      </c>
      <c r="BJ59" t="s">
        <v>1414</v>
      </c>
      <c r="BK59" t="s">
        <v>255</v>
      </c>
      <c r="BL59" t="s">
        <v>1414</v>
      </c>
      <c r="BM59" t="s">
        <v>1415</v>
      </c>
      <c r="BN59" t="s">
        <v>74</v>
      </c>
      <c r="BO59" t="s">
        <v>1432</v>
      </c>
      <c r="BP59" t="s">
        <v>74</v>
      </c>
      <c r="BQ59" t="s">
        <v>74</v>
      </c>
      <c r="BR59" t="s">
        <v>104</v>
      </c>
      <c r="BS59" t="s">
        <v>1433</v>
      </c>
      <c r="BT59" t="str">
        <f>HYPERLINK("https%3A%2F%2Fwww.webofscience.com%2Fwos%2Fwoscc%2Ffull-record%2FWOS:000612212800029","View Full Record in Web of Science")</f>
        <v>View Full Record in Web of Science</v>
      </c>
    </row>
    <row r="60" spans="1:72" x14ac:dyDescent="0.15">
      <c r="A60" t="s">
        <v>72</v>
      </c>
      <c r="B60" t="s">
        <v>1434</v>
      </c>
      <c r="C60" t="s">
        <v>74</v>
      </c>
      <c r="D60" t="s">
        <v>74</v>
      </c>
      <c r="E60" t="s">
        <v>74</v>
      </c>
      <c r="F60" t="s">
        <v>1435</v>
      </c>
      <c r="G60" t="s">
        <v>74</v>
      </c>
      <c r="H60" t="s">
        <v>74</v>
      </c>
      <c r="I60" t="s">
        <v>1436</v>
      </c>
      <c r="J60" t="s">
        <v>1437</v>
      </c>
      <c r="K60" t="s">
        <v>74</v>
      </c>
      <c r="L60" t="s">
        <v>74</v>
      </c>
      <c r="M60" t="s">
        <v>78</v>
      </c>
      <c r="N60" t="s">
        <v>79</v>
      </c>
      <c r="O60" t="s">
        <v>74</v>
      </c>
      <c r="P60" t="s">
        <v>74</v>
      </c>
      <c r="Q60" t="s">
        <v>74</v>
      </c>
      <c r="R60" t="s">
        <v>74</v>
      </c>
      <c r="S60" t="s">
        <v>74</v>
      </c>
      <c r="T60" t="s">
        <v>74</v>
      </c>
      <c r="U60" t="s">
        <v>1438</v>
      </c>
      <c r="V60" t="s">
        <v>1439</v>
      </c>
      <c r="W60" t="s">
        <v>1440</v>
      </c>
      <c r="X60" t="s">
        <v>1441</v>
      </c>
      <c r="Y60" t="s">
        <v>1442</v>
      </c>
      <c r="Z60" t="s">
        <v>1443</v>
      </c>
      <c r="AA60" t="s">
        <v>1444</v>
      </c>
      <c r="AB60" t="s">
        <v>1445</v>
      </c>
      <c r="AC60" t="s">
        <v>1446</v>
      </c>
      <c r="AD60" t="s">
        <v>1447</v>
      </c>
      <c r="AE60" t="s">
        <v>1448</v>
      </c>
      <c r="AF60" t="s">
        <v>74</v>
      </c>
      <c r="AG60">
        <v>114</v>
      </c>
      <c r="AH60">
        <v>0</v>
      </c>
      <c r="AI60">
        <v>0</v>
      </c>
      <c r="AJ60">
        <v>1</v>
      </c>
      <c r="AK60">
        <v>9</v>
      </c>
      <c r="AL60" t="s">
        <v>1276</v>
      </c>
      <c r="AM60" t="s">
        <v>483</v>
      </c>
      <c r="AN60" t="s">
        <v>1277</v>
      </c>
      <c r="AO60" t="s">
        <v>1449</v>
      </c>
      <c r="AP60" t="s">
        <v>1450</v>
      </c>
      <c r="AQ60" t="s">
        <v>74</v>
      </c>
      <c r="AR60" t="s">
        <v>1451</v>
      </c>
      <c r="AS60" t="s">
        <v>1452</v>
      </c>
      <c r="AT60" t="s">
        <v>1212</v>
      </c>
      <c r="AU60">
        <v>2020</v>
      </c>
      <c r="AV60">
        <v>47</v>
      </c>
      <c r="AW60">
        <v>6</v>
      </c>
      <c r="AX60" t="s">
        <v>74</v>
      </c>
      <c r="AY60" t="s">
        <v>74</v>
      </c>
      <c r="AZ60" t="s">
        <v>74</v>
      </c>
      <c r="BA60" t="s">
        <v>74</v>
      </c>
      <c r="BB60">
        <v>683</v>
      </c>
      <c r="BC60">
        <v>698</v>
      </c>
      <c r="BD60" t="s">
        <v>74</v>
      </c>
      <c r="BE60" t="s">
        <v>1453</v>
      </c>
      <c r="BF60" t="str">
        <f>HYPERLINK("http://dx.doi.org/10.1134/S1062359020060047","http://dx.doi.org/10.1134/S1062359020060047")</f>
        <v>http://dx.doi.org/10.1134/S1062359020060047</v>
      </c>
      <c r="BG60" t="s">
        <v>74</v>
      </c>
      <c r="BH60" t="s">
        <v>74</v>
      </c>
      <c r="BI60">
        <v>16</v>
      </c>
      <c r="BJ60" t="s">
        <v>1454</v>
      </c>
      <c r="BK60" t="s">
        <v>100</v>
      </c>
      <c r="BL60" t="s">
        <v>1455</v>
      </c>
      <c r="BM60" t="s">
        <v>1456</v>
      </c>
      <c r="BN60" t="s">
        <v>74</v>
      </c>
      <c r="BO60" t="s">
        <v>74</v>
      </c>
      <c r="BP60" t="s">
        <v>74</v>
      </c>
      <c r="BQ60" t="s">
        <v>74</v>
      </c>
      <c r="BR60" t="s">
        <v>104</v>
      </c>
      <c r="BS60" t="s">
        <v>1457</v>
      </c>
      <c r="BT60" t="str">
        <f>HYPERLINK("https%3A%2F%2Fwww.webofscience.com%2Fwos%2Fwoscc%2Ffull-record%2FWOS:000607593700016","View Full Record in Web of Science")</f>
        <v>View Full Record in Web of Science</v>
      </c>
    </row>
    <row r="61" spans="1:72" x14ac:dyDescent="0.15">
      <c r="A61" t="s">
        <v>72</v>
      </c>
      <c r="B61" t="s">
        <v>1458</v>
      </c>
      <c r="C61" t="s">
        <v>74</v>
      </c>
      <c r="D61" t="s">
        <v>74</v>
      </c>
      <c r="E61" t="s">
        <v>74</v>
      </c>
      <c r="F61" t="s">
        <v>1459</v>
      </c>
      <c r="G61" t="s">
        <v>74</v>
      </c>
      <c r="H61" t="s">
        <v>74</v>
      </c>
      <c r="I61" t="s">
        <v>1460</v>
      </c>
      <c r="J61" t="s">
        <v>1461</v>
      </c>
      <c r="K61" t="s">
        <v>74</v>
      </c>
      <c r="L61" t="s">
        <v>74</v>
      </c>
      <c r="M61" t="s">
        <v>78</v>
      </c>
      <c r="N61" t="s">
        <v>79</v>
      </c>
      <c r="O61" t="s">
        <v>74</v>
      </c>
      <c r="P61" t="s">
        <v>74</v>
      </c>
      <c r="Q61" t="s">
        <v>74</v>
      </c>
      <c r="R61" t="s">
        <v>74</v>
      </c>
      <c r="S61" t="s">
        <v>74</v>
      </c>
      <c r="T61" t="s">
        <v>1462</v>
      </c>
      <c r="U61" t="s">
        <v>1463</v>
      </c>
      <c r="V61" t="s">
        <v>1464</v>
      </c>
      <c r="W61" t="s">
        <v>1465</v>
      </c>
      <c r="X61" t="s">
        <v>1466</v>
      </c>
      <c r="Y61" t="s">
        <v>1467</v>
      </c>
      <c r="Z61" t="s">
        <v>1468</v>
      </c>
      <c r="AA61" t="s">
        <v>1469</v>
      </c>
      <c r="AB61" t="s">
        <v>74</v>
      </c>
      <c r="AC61" t="s">
        <v>1470</v>
      </c>
      <c r="AD61" t="s">
        <v>1471</v>
      </c>
      <c r="AE61" t="s">
        <v>1472</v>
      </c>
      <c r="AF61" t="s">
        <v>74</v>
      </c>
      <c r="AG61">
        <v>32</v>
      </c>
      <c r="AH61">
        <v>7</v>
      </c>
      <c r="AI61">
        <v>7</v>
      </c>
      <c r="AJ61">
        <v>0</v>
      </c>
      <c r="AK61">
        <v>4</v>
      </c>
      <c r="AL61" t="s">
        <v>275</v>
      </c>
      <c r="AM61" t="s">
        <v>276</v>
      </c>
      <c r="AN61" t="s">
        <v>277</v>
      </c>
      <c r="AO61" t="s">
        <v>1473</v>
      </c>
      <c r="AP61" t="s">
        <v>74</v>
      </c>
      <c r="AQ61" t="s">
        <v>74</v>
      </c>
      <c r="AR61" t="s">
        <v>1474</v>
      </c>
      <c r="AS61" t="s">
        <v>1475</v>
      </c>
      <c r="AT61" t="s">
        <v>1212</v>
      </c>
      <c r="AU61">
        <v>2020</v>
      </c>
      <c r="AV61">
        <v>40</v>
      </c>
      <c r="AW61" t="s">
        <v>74</v>
      </c>
      <c r="AX61" t="s">
        <v>74</v>
      </c>
      <c r="AY61" t="s">
        <v>74</v>
      </c>
      <c r="AZ61" t="s">
        <v>74</v>
      </c>
      <c r="BA61" t="s">
        <v>74</v>
      </c>
      <c r="BB61" t="s">
        <v>74</v>
      </c>
      <c r="BC61" t="s">
        <v>74</v>
      </c>
      <c r="BD61">
        <v>101534</v>
      </c>
      <c r="BE61" t="s">
        <v>1476</v>
      </c>
      <c r="BF61" t="str">
        <f>HYPERLINK("http://dx.doi.org/10.1016/j.rsma.2020.101534","http://dx.doi.org/10.1016/j.rsma.2020.101534")</f>
        <v>http://dx.doi.org/10.1016/j.rsma.2020.101534</v>
      </c>
      <c r="BG61" t="s">
        <v>74</v>
      </c>
      <c r="BH61" t="s">
        <v>74</v>
      </c>
      <c r="BI61">
        <v>9</v>
      </c>
      <c r="BJ61" t="s">
        <v>1477</v>
      </c>
      <c r="BK61" t="s">
        <v>100</v>
      </c>
      <c r="BL61" t="s">
        <v>919</v>
      </c>
      <c r="BM61" t="s">
        <v>1478</v>
      </c>
      <c r="BN61" t="s">
        <v>74</v>
      </c>
      <c r="BO61" t="s">
        <v>74</v>
      </c>
      <c r="BP61" t="s">
        <v>74</v>
      </c>
      <c r="BQ61" t="s">
        <v>74</v>
      </c>
      <c r="BR61" t="s">
        <v>104</v>
      </c>
      <c r="BS61" t="s">
        <v>1479</v>
      </c>
      <c r="BT61" t="str">
        <f>HYPERLINK("https%3A%2F%2Fwww.webofscience.com%2Fwos%2Fwoscc%2Ffull-record%2FWOS:000603374600005","View Full Record in Web of Science")</f>
        <v>View Full Record in Web of Science</v>
      </c>
    </row>
    <row r="62" spans="1:72" x14ac:dyDescent="0.15">
      <c r="A62" t="s">
        <v>72</v>
      </c>
      <c r="B62" t="s">
        <v>1480</v>
      </c>
      <c r="C62" t="s">
        <v>74</v>
      </c>
      <c r="D62" t="s">
        <v>74</v>
      </c>
      <c r="E62" t="s">
        <v>74</v>
      </c>
      <c r="F62" t="s">
        <v>1481</v>
      </c>
      <c r="G62" t="s">
        <v>74</v>
      </c>
      <c r="H62" t="s">
        <v>74</v>
      </c>
      <c r="I62" t="s">
        <v>1482</v>
      </c>
      <c r="J62" t="s">
        <v>1483</v>
      </c>
      <c r="K62" t="s">
        <v>74</v>
      </c>
      <c r="L62" t="s">
        <v>74</v>
      </c>
      <c r="M62" t="s">
        <v>78</v>
      </c>
      <c r="N62" t="s">
        <v>79</v>
      </c>
      <c r="O62" t="s">
        <v>74</v>
      </c>
      <c r="P62" t="s">
        <v>74</v>
      </c>
      <c r="Q62" t="s">
        <v>74</v>
      </c>
      <c r="R62" t="s">
        <v>74</v>
      </c>
      <c r="S62" t="s">
        <v>74</v>
      </c>
      <c r="T62" t="s">
        <v>74</v>
      </c>
      <c r="U62" t="s">
        <v>1484</v>
      </c>
      <c r="V62" t="s">
        <v>1485</v>
      </c>
      <c r="W62" t="s">
        <v>1486</v>
      </c>
      <c r="X62" t="s">
        <v>1487</v>
      </c>
      <c r="Y62" t="s">
        <v>1488</v>
      </c>
      <c r="Z62" t="s">
        <v>1489</v>
      </c>
      <c r="AA62" t="s">
        <v>1490</v>
      </c>
      <c r="AB62" t="s">
        <v>1491</v>
      </c>
      <c r="AC62" t="s">
        <v>1492</v>
      </c>
      <c r="AD62" t="s">
        <v>1493</v>
      </c>
      <c r="AE62" t="s">
        <v>1494</v>
      </c>
      <c r="AF62" t="s">
        <v>74</v>
      </c>
      <c r="AG62">
        <v>169</v>
      </c>
      <c r="AH62">
        <v>46</v>
      </c>
      <c r="AI62">
        <v>47</v>
      </c>
      <c r="AJ62">
        <v>0</v>
      </c>
      <c r="AK62">
        <v>13</v>
      </c>
      <c r="AL62" t="s">
        <v>1495</v>
      </c>
      <c r="AM62" t="s">
        <v>1496</v>
      </c>
      <c r="AN62" t="s">
        <v>1497</v>
      </c>
      <c r="AO62" t="s">
        <v>1498</v>
      </c>
      <c r="AP62" t="s">
        <v>1499</v>
      </c>
      <c r="AQ62" t="s">
        <v>74</v>
      </c>
      <c r="AR62" t="s">
        <v>1500</v>
      </c>
      <c r="AS62" t="s">
        <v>1501</v>
      </c>
      <c r="AT62" t="s">
        <v>1212</v>
      </c>
      <c r="AU62">
        <v>2020</v>
      </c>
      <c r="AV62">
        <v>101</v>
      </c>
      <c r="AW62">
        <v>11</v>
      </c>
      <c r="AX62" t="s">
        <v>74</v>
      </c>
      <c r="AY62" t="s">
        <v>74</v>
      </c>
      <c r="AZ62" t="s">
        <v>74</v>
      </c>
      <c r="BA62" t="s">
        <v>74</v>
      </c>
      <c r="BB62" t="s">
        <v>1502</v>
      </c>
      <c r="BC62" t="s">
        <v>1503</v>
      </c>
      <c r="BD62" t="s">
        <v>74</v>
      </c>
      <c r="BE62" t="s">
        <v>1504</v>
      </c>
      <c r="BF62" t="str">
        <f>HYPERLINK("http://dx.doi.org/10.1175/BAMS-D-19-0209.1","http://dx.doi.org/10.1175/BAMS-D-19-0209.1")</f>
        <v>http://dx.doi.org/10.1175/BAMS-D-19-0209.1</v>
      </c>
      <c r="BG62" t="s">
        <v>74</v>
      </c>
      <c r="BH62" t="s">
        <v>74</v>
      </c>
      <c r="BI62">
        <v>23</v>
      </c>
      <c r="BJ62" t="s">
        <v>800</v>
      </c>
      <c r="BK62" t="s">
        <v>100</v>
      </c>
      <c r="BL62" t="s">
        <v>800</v>
      </c>
      <c r="BM62" t="s">
        <v>1505</v>
      </c>
      <c r="BN62" t="s">
        <v>74</v>
      </c>
      <c r="BO62" t="s">
        <v>775</v>
      </c>
      <c r="BP62" t="s">
        <v>74</v>
      </c>
      <c r="BQ62" t="s">
        <v>74</v>
      </c>
      <c r="BR62" t="s">
        <v>104</v>
      </c>
      <c r="BS62" t="s">
        <v>1506</v>
      </c>
      <c r="BT62" t="str">
        <f>HYPERLINK("https%3A%2F%2Fwww.webofscience.com%2Fwos%2Fwoscc%2Ffull-record%2FWOS:000598066100002","View Full Record in Web of Science")</f>
        <v>View Full Record in Web of Science</v>
      </c>
    </row>
    <row r="63" spans="1:72" x14ac:dyDescent="0.15">
      <c r="A63" t="s">
        <v>72</v>
      </c>
      <c r="B63" t="s">
        <v>1507</v>
      </c>
      <c r="C63" t="s">
        <v>74</v>
      </c>
      <c r="D63" t="s">
        <v>74</v>
      </c>
      <c r="E63" t="s">
        <v>74</v>
      </c>
      <c r="F63" t="s">
        <v>1508</v>
      </c>
      <c r="G63" t="s">
        <v>74</v>
      </c>
      <c r="H63" t="s">
        <v>74</v>
      </c>
      <c r="I63" t="s">
        <v>1509</v>
      </c>
      <c r="J63" t="s">
        <v>1510</v>
      </c>
      <c r="K63" t="s">
        <v>74</v>
      </c>
      <c r="L63" t="s">
        <v>74</v>
      </c>
      <c r="M63" t="s">
        <v>78</v>
      </c>
      <c r="N63" t="s">
        <v>79</v>
      </c>
      <c r="O63" t="s">
        <v>74</v>
      </c>
      <c r="P63" t="s">
        <v>74</v>
      </c>
      <c r="Q63" t="s">
        <v>74</v>
      </c>
      <c r="R63" t="s">
        <v>74</v>
      </c>
      <c r="S63" t="s">
        <v>74</v>
      </c>
      <c r="T63" t="s">
        <v>1511</v>
      </c>
      <c r="U63" t="s">
        <v>1512</v>
      </c>
      <c r="V63" t="s">
        <v>1513</v>
      </c>
      <c r="W63" t="s">
        <v>1514</v>
      </c>
      <c r="X63" t="s">
        <v>1515</v>
      </c>
      <c r="Y63" t="s">
        <v>1516</v>
      </c>
      <c r="Z63" t="s">
        <v>1517</v>
      </c>
      <c r="AA63" t="s">
        <v>74</v>
      </c>
      <c r="AB63" t="s">
        <v>1518</v>
      </c>
      <c r="AC63" t="s">
        <v>1519</v>
      </c>
      <c r="AD63" t="s">
        <v>1520</v>
      </c>
      <c r="AE63" t="s">
        <v>1521</v>
      </c>
      <c r="AF63" t="s">
        <v>74</v>
      </c>
      <c r="AG63">
        <v>91</v>
      </c>
      <c r="AH63">
        <v>23</v>
      </c>
      <c r="AI63">
        <v>26</v>
      </c>
      <c r="AJ63">
        <v>4</v>
      </c>
      <c r="AK63">
        <v>37</v>
      </c>
      <c r="AL63" t="s">
        <v>1522</v>
      </c>
      <c r="AM63" t="s">
        <v>1407</v>
      </c>
      <c r="AN63" t="s">
        <v>1523</v>
      </c>
      <c r="AO63" t="s">
        <v>1524</v>
      </c>
      <c r="AP63" t="s">
        <v>74</v>
      </c>
      <c r="AQ63" t="s">
        <v>74</v>
      </c>
      <c r="AR63" t="s">
        <v>1525</v>
      </c>
      <c r="AS63" t="s">
        <v>1526</v>
      </c>
      <c r="AT63" t="s">
        <v>1255</v>
      </c>
      <c r="AU63">
        <v>2020</v>
      </c>
      <c r="AV63">
        <v>189</v>
      </c>
      <c r="AW63" t="s">
        <v>74</v>
      </c>
      <c r="AX63" t="s">
        <v>74</v>
      </c>
      <c r="AY63" t="s">
        <v>74</v>
      </c>
      <c r="AZ63" t="s">
        <v>74</v>
      </c>
      <c r="BA63" t="s">
        <v>74</v>
      </c>
      <c r="BB63" t="s">
        <v>74</v>
      </c>
      <c r="BC63" t="s">
        <v>74</v>
      </c>
      <c r="BD63">
        <v>102452</v>
      </c>
      <c r="BE63" t="s">
        <v>1527</v>
      </c>
      <c r="BF63" t="str">
        <f>HYPERLINK("http://dx.doi.org/10.1016/j.pocean.2020.102452","http://dx.doi.org/10.1016/j.pocean.2020.102452")</f>
        <v>http://dx.doi.org/10.1016/j.pocean.2020.102452</v>
      </c>
      <c r="BG63" t="s">
        <v>74</v>
      </c>
      <c r="BH63" t="s">
        <v>74</v>
      </c>
      <c r="BI63">
        <v>20</v>
      </c>
      <c r="BJ63" t="s">
        <v>1283</v>
      </c>
      <c r="BK63" t="s">
        <v>100</v>
      </c>
      <c r="BL63" t="s">
        <v>1283</v>
      </c>
      <c r="BM63" t="s">
        <v>1528</v>
      </c>
      <c r="BN63" t="s">
        <v>74</v>
      </c>
      <c r="BO63" t="s">
        <v>1188</v>
      </c>
      <c r="BP63" t="s">
        <v>74</v>
      </c>
      <c r="BQ63" t="s">
        <v>74</v>
      </c>
      <c r="BR63" t="s">
        <v>104</v>
      </c>
      <c r="BS63" t="s">
        <v>1529</v>
      </c>
      <c r="BT63" t="str">
        <f>HYPERLINK("https%3A%2F%2Fwww.webofscience.com%2Fwos%2Fwoscc%2Ffull-record%2FWOS:000596200100005","View Full Record in Web of Science")</f>
        <v>View Full Record in Web of Science</v>
      </c>
    </row>
    <row r="64" spans="1:72" x14ac:dyDescent="0.15">
      <c r="A64" t="s">
        <v>72</v>
      </c>
      <c r="B64" t="s">
        <v>1530</v>
      </c>
      <c r="C64" t="s">
        <v>74</v>
      </c>
      <c r="D64" t="s">
        <v>74</v>
      </c>
      <c r="E64" t="s">
        <v>74</v>
      </c>
      <c r="F64" t="s">
        <v>1531</v>
      </c>
      <c r="G64" t="s">
        <v>74</v>
      </c>
      <c r="H64" t="s">
        <v>74</v>
      </c>
      <c r="I64" t="s">
        <v>1532</v>
      </c>
      <c r="J64" t="s">
        <v>1533</v>
      </c>
      <c r="K64" t="s">
        <v>74</v>
      </c>
      <c r="L64" t="s">
        <v>74</v>
      </c>
      <c r="M64" t="s">
        <v>78</v>
      </c>
      <c r="N64" t="s">
        <v>79</v>
      </c>
      <c r="O64" t="s">
        <v>74</v>
      </c>
      <c r="P64" t="s">
        <v>74</v>
      </c>
      <c r="Q64" t="s">
        <v>74</v>
      </c>
      <c r="R64" t="s">
        <v>74</v>
      </c>
      <c r="S64" t="s">
        <v>74</v>
      </c>
      <c r="T64" t="s">
        <v>1534</v>
      </c>
      <c r="U64" t="s">
        <v>1535</v>
      </c>
      <c r="V64" t="s">
        <v>1536</v>
      </c>
      <c r="W64" t="s">
        <v>1537</v>
      </c>
      <c r="X64" t="s">
        <v>1538</v>
      </c>
      <c r="Y64" t="s">
        <v>1539</v>
      </c>
      <c r="Z64" t="s">
        <v>1540</v>
      </c>
      <c r="AA64" t="s">
        <v>1541</v>
      </c>
      <c r="AB64" t="s">
        <v>1542</v>
      </c>
      <c r="AC64" t="s">
        <v>1543</v>
      </c>
      <c r="AD64" t="s">
        <v>1544</v>
      </c>
      <c r="AE64" t="s">
        <v>1545</v>
      </c>
      <c r="AF64" t="s">
        <v>74</v>
      </c>
      <c r="AG64">
        <v>136</v>
      </c>
      <c r="AH64">
        <v>10</v>
      </c>
      <c r="AI64">
        <v>11</v>
      </c>
      <c r="AJ64">
        <v>1</v>
      </c>
      <c r="AK64">
        <v>5</v>
      </c>
      <c r="AL64" t="s">
        <v>1546</v>
      </c>
      <c r="AM64" t="s">
        <v>1547</v>
      </c>
      <c r="AN64" t="s">
        <v>1548</v>
      </c>
      <c r="AO64" t="s">
        <v>1549</v>
      </c>
      <c r="AP64" t="s">
        <v>74</v>
      </c>
      <c r="AQ64" t="s">
        <v>74</v>
      </c>
      <c r="AR64" t="s">
        <v>1550</v>
      </c>
      <c r="AS64" t="s">
        <v>1551</v>
      </c>
      <c r="AT64" t="s">
        <v>1212</v>
      </c>
      <c r="AU64">
        <v>2020</v>
      </c>
      <c r="AV64">
        <v>289</v>
      </c>
      <c r="AW64" t="s">
        <v>74</v>
      </c>
      <c r="AX64" t="s">
        <v>74</v>
      </c>
      <c r="AY64" t="s">
        <v>74</v>
      </c>
      <c r="AZ64" t="s">
        <v>74</v>
      </c>
      <c r="BA64" t="s">
        <v>74</v>
      </c>
      <c r="BB64">
        <v>141</v>
      </c>
      <c r="BC64">
        <v>165</v>
      </c>
      <c r="BD64" t="s">
        <v>74</v>
      </c>
      <c r="BE64" t="s">
        <v>1552</v>
      </c>
      <c r="BF64" t="str">
        <f>HYPERLINK("http://dx.doi.org/10.1016/j.jcz.2020.09.004","http://dx.doi.org/10.1016/j.jcz.2020.09.004")</f>
        <v>http://dx.doi.org/10.1016/j.jcz.2020.09.004</v>
      </c>
      <c r="BG64" t="s">
        <v>74</v>
      </c>
      <c r="BH64" t="s">
        <v>74</v>
      </c>
      <c r="BI64">
        <v>25</v>
      </c>
      <c r="BJ64" t="s">
        <v>1553</v>
      </c>
      <c r="BK64" t="s">
        <v>100</v>
      </c>
      <c r="BL64" t="s">
        <v>1553</v>
      </c>
      <c r="BM64" t="s">
        <v>1554</v>
      </c>
      <c r="BN64" t="s">
        <v>74</v>
      </c>
      <c r="BO64" t="s">
        <v>74</v>
      </c>
      <c r="BP64" t="s">
        <v>74</v>
      </c>
      <c r="BQ64" t="s">
        <v>74</v>
      </c>
      <c r="BR64" t="s">
        <v>104</v>
      </c>
      <c r="BS64" t="s">
        <v>1555</v>
      </c>
      <c r="BT64" t="str">
        <f>HYPERLINK("https%3A%2F%2Fwww.webofscience.com%2Fwos%2Fwoscc%2Ffull-record%2FWOS:000598342400004","View Full Record in Web of Science")</f>
        <v>View Full Record in Web of Science</v>
      </c>
    </row>
    <row r="65" spans="1:72" x14ac:dyDescent="0.15">
      <c r="A65" t="s">
        <v>72</v>
      </c>
      <c r="B65" t="s">
        <v>1556</v>
      </c>
      <c r="C65" t="s">
        <v>74</v>
      </c>
      <c r="D65" t="s">
        <v>74</v>
      </c>
      <c r="E65" t="s">
        <v>74</v>
      </c>
      <c r="F65" t="s">
        <v>1557</v>
      </c>
      <c r="G65" t="s">
        <v>74</v>
      </c>
      <c r="H65" t="s">
        <v>74</v>
      </c>
      <c r="I65" t="s">
        <v>1558</v>
      </c>
      <c r="J65" t="s">
        <v>1559</v>
      </c>
      <c r="K65" t="s">
        <v>74</v>
      </c>
      <c r="L65" t="s">
        <v>74</v>
      </c>
      <c r="M65" t="s">
        <v>78</v>
      </c>
      <c r="N65" t="s">
        <v>79</v>
      </c>
      <c r="O65" t="s">
        <v>74</v>
      </c>
      <c r="P65" t="s">
        <v>74</v>
      </c>
      <c r="Q65" t="s">
        <v>74</v>
      </c>
      <c r="R65" t="s">
        <v>74</v>
      </c>
      <c r="S65" t="s">
        <v>74</v>
      </c>
      <c r="T65" t="s">
        <v>1560</v>
      </c>
      <c r="U65" t="s">
        <v>1561</v>
      </c>
      <c r="V65" t="s">
        <v>1562</v>
      </c>
      <c r="W65" t="s">
        <v>1563</v>
      </c>
      <c r="X65" t="s">
        <v>1564</v>
      </c>
      <c r="Y65" t="s">
        <v>1565</v>
      </c>
      <c r="Z65" t="s">
        <v>1566</v>
      </c>
      <c r="AA65" t="s">
        <v>1567</v>
      </c>
      <c r="AB65" t="s">
        <v>1568</v>
      </c>
      <c r="AC65" t="s">
        <v>1569</v>
      </c>
      <c r="AD65" t="s">
        <v>1570</v>
      </c>
      <c r="AE65" t="s">
        <v>1571</v>
      </c>
      <c r="AF65" t="s">
        <v>74</v>
      </c>
      <c r="AG65">
        <v>75</v>
      </c>
      <c r="AH65">
        <v>7</v>
      </c>
      <c r="AI65">
        <v>7</v>
      </c>
      <c r="AJ65">
        <v>0</v>
      </c>
      <c r="AK65">
        <v>6</v>
      </c>
      <c r="AL65" t="s">
        <v>1572</v>
      </c>
      <c r="AM65" t="s">
        <v>1407</v>
      </c>
      <c r="AN65" t="s">
        <v>1573</v>
      </c>
      <c r="AO65" t="s">
        <v>1574</v>
      </c>
      <c r="AP65" t="s">
        <v>1575</v>
      </c>
      <c r="AQ65" t="s">
        <v>74</v>
      </c>
      <c r="AR65" t="s">
        <v>1576</v>
      </c>
      <c r="AS65" t="s">
        <v>1577</v>
      </c>
      <c r="AT65" t="s">
        <v>1212</v>
      </c>
      <c r="AU65">
        <v>2020</v>
      </c>
      <c r="AV65">
        <v>121</v>
      </c>
      <c r="AW65" t="s">
        <v>74</v>
      </c>
      <c r="AX65" t="s">
        <v>74</v>
      </c>
      <c r="AY65" t="s">
        <v>74</v>
      </c>
      <c r="AZ65" t="s">
        <v>74</v>
      </c>
      <c r="BA65" t="s">
        <v>74</v>
      </c>
      <c r="BB65" t="s">
        <v>74</v>
      </c>
      <c r="BC65" t="s">
        <v>74</v>
      </c>
      <c r="BD65">
        <v>104176</v>
      </c>
      <c r="BE65" t="s">
        <v>1578</v>
      </c>
      <c r="BF65" t="str">
        <f>HYPERLINK("http://dx.doi.org/10.1016/j.marpol.2020.104176","http://dx.doi.org/10.1016/j.marpol.2020.104176")</f>
        <v>http://dx.doi.org/10.1016/j.marpol.2020.104176</v>
      </c>
      <c r="BG65" t="s">
        <v>74</v>
      </c>
      <c r="BH65" t="s">
        <v>74</v>
      </c>
      <c r="BI65">
        <v>9</v>
      </c>
      <c r="BJ65" t="s">
        <v>1579</v>
      </c>
      <c r="BK65" t="s">
        <v>1580</v>
      </c>
      <c r="BL65" t="s">
        <v>1581</v>
      </c>
      <c r="BM65" t="s">
        <v>1582</v>
      </c>
      <c r="BN65" t="s">
        <v>74</v>
      </c>
      <c r="BO65" t="s">
        <v>74</v>
      </c>
      <c r="BP65" t="s">
        <v>74</v>
      </c>
      <c r="BQ65" t="s">
        <v>74</v>
      </c>
      <c r="BR65" t="s">
        <v>104</v>
      </c>
      <c r="BS65" t="s">
        <v>1583</v>
      </c>
      <c r="BT65" t="str">
        <f>HYPERLINK("https%3A%2F%2Fwww.webofscience.com%2Fwos%2Fwoscc%2Ffull-record%2FWOS:000595873000014","View Full Record in Web of Science")</f>
        <v>View Full Record in Web of Science</v>
      </c>
    </row>
    <row r="66" spans="1:72" x14ac:dyDescent="0.15">
      <c r="A66" t="s">
        <v>72</v>
      </c>
      <c r="B66" t="s">
        <v>1584</v>
      </c>
      <c r="C66" t="s">
        <v>74</v>
      </c>
      <c r="D66" t="s">
        <v>74</v>
      </c>
      <c r="E66" t="s">
        <v>74</v>
      </c>
      <c r="F66" t="s">
        <v>1585</v>
      </c>
      <c r="G66" t="s">
        <v>74</v>
      </c>
      <c r="H66" t="s">
        <v>74</v>
      </c>
      <c r="I66" t="s">
        <v>1586</v>
      </c>
      <c r="J66" t="s">
        <v>1559</v>
      </c>
      <c r="K66" t="s">
        <v>74</v>
      </c>
      <c r="L66" t="s">
        <v>74</v>
      </c>
      <c r="M66" t="s">
        <v>78</v>
      </c>
      <c r="N66" t="s">
        <v>79</v>
      </c>
      <c r="O66" t="s">
        <v>74</v>
      </c>
      <c r="P66" t="s">
        <v>74</v>
      </c>
      <c r="Q66" t="s">
        <v>74</v>
      </c>
      <c r="R66" t="s">
        <v>74</v>
      </c>
      <c r="S66" t="s">
        <v>74</v>
      </c>
      <c r="T66" t="s">
        <v>1587</v>
      </c>
      <c r="U66" t="s">
        <v>1588</v>
      </c>
      <c r="V66" t="s">
        <v>1589</v>
      </c>
      <c r="W66" t="s">
        <v>1590</v>
      </c>
      <c r="X66" t="s">
        <v>1591</v>
      </c>
      <c r="Y66" t="s">
        <v>1592</v>
      </c>
      <c r="Z66" t="s">
        <v>1593</v>
      </c>
      <c r="AA66" t="s">
        <v>1594</v>
      </c>
      <c r="AB66" t="s">
        <v>1595</v>
      </c>
      <c r="AC66" t="s">
        <v>1596</v>
      </c>
      <c r="AD66" t="s">
        <v>1597</v>
      </c>
      <c r="AE66" t="s">
        <v>1598</v>
      </c>
      <c r="AF66" t="s">
        <v>74</v>
      </c>
      <c r="AG66">
        <v>62</v>
      </c>
      <c r="AH66">
        <v>7</v>
      </c>
      <c r="AI66">
        <v>9</v>
      </c>
      <c r="AJ66">
        <v>0</v>
      </c>
      <c r="AK66">
        <v>8</v>
      </c>
      <c r="AL66" t="s">
        <v>1572</v>
      </c>
      <c r="AM66" t="s">
        <v>1407</v>
      </c>
      <c r="AN66" t="s">
        <v>1573</v>
      </c>
      <c r="AO66" t="s">
        <v>1574</v>
      </c>
      <c r="AP66" t="s">
        <v>1575</v>
      </c>
      <c r="AQ66" t="s">
        <v>74</v>
      </c>
      <c r="AR66" t="s">
        <v>1576</v>
      </c>
      <c r="AS66" t="s">
        <v>1577</v>
      </c>
      <c r="AT66" t="s">
        <v>1212</v>
      </c>
      <c r="AU66">
        <v>2020</v>
      </c>
      <c r="AV66">
        <v>121</v>
      </c>
      <c r="AW66" t="s">
        <v>74</v>
      </c>
      <c r="AX66" t="s">
        <v>74</v>
      </c>
      <c r="AY66" t="s">
        <v>74</v>
      </c>
      <c r="AZ66" t="s">
        <v>74</v>
      </c>
      <c r="BA66" t="s">
        <v>74</v>
      </c>
      <c r="BB66" t="s">
        <v>74</v>
      </c>
      <c r="BC66" t="s">
        <v>74</v>
      </c>
      <c r="BD66">
        <v>104109</v>
      </c>
      <c r="BE66" t="s">
        <v>1599</v>
      </c>
      <c r="BF66" t="str">
        <f>HYPERLINK("http://dx.doi.org/10.1016/j.marpol.2020.104109","http://dx.doi.org/10.1016/j.marpol.2020.104109")</f>
        <v>http://dx.doi.org/10.1016/j.marpol.2020.104109</v>
      </c>
      <c r="BG66" t="s">
        <v>74</v>
      </c>
      <c r="BH66" t="s">
        <v>74</v>
      </c>
      <c r="BI66">
        <v>8</v>
      </c>
      <c r="BJ66" t="s">
        <v>1579</v>
      </c>
      <c r="BK66" t="s">
        <v>1580</v>
      </c>
      <c r="BL66" t="s">
        <v>1581</v>
      </c>
      <c r="BM66" t="s">
        <v>1600</v>
      </c>
      <c r="BN66" t="s">
        <v>74</v>
      </c>
      <c r="BO66" t="s">
        <v>1188</v>
      </c>
      <c r="BP66" t="s">
        <v>74</v>
      </c>
      <c r="BQ66" t="s">
        <v>74</v>
      </c>
      <c r="BR66" t="s">
        <v>104</v>
      </c>
      <c r="BS66" t="s">
        <v>1601</v>
      </c>
      <c r="BT66" t="str">
        <f>HYPERLINK("https%3A%2F%2Fwww.webofscience.com%2Fwos%2Fwoscc%2Ffull-record%2FWOS:000595872300001","View Full Record in Web of Science")</f>
        <v>View Full Record in Web of Science</v>
      </c>
    </row>
    <row r="67" spans="1:72" x14ac:dyDescent="0.15">
      <c r="A67" t="s">
        <v>72</v>
      </c>
      <c r="B67" t="s">
        <v>1602</v>
      </c>
      <c r="C67" t="s">
        <v>74</v>
      </c>
      <c r="D67" t="s">
        <v>74</v>
      </c>
      <c r="E67" t="s">
        <v>74</v>
      </c>
      <c r="F67" t="s">
        <v>1603</v>
      </c>
      <c r="G67" t="s">
        <v>74</v>
      </c>
      <c r="H67" t="s">
        <v>74</v>
      </c>
      <c r="I67" t="s">
        <v>1604</v>
      </c>
      <c r="J67" t="s">
        <v>1605</v>
      </c>
      <c r="K67" t="s">
        <v>74</v>
      </c>
      <c r="L67" t="s">
        <v>74</v>
      </c>
      <c r="M67" t="s">
        <v>78</v>
      </c>
      <c r="N67" t="s">
        <v>79</v>
      </c>
      <c r="O67" t="s">
        <v>74</v>
      </c>
      <c r="P67" t="s">
        <v>74</v>
      </c>
      <c r="Q67" t="s">
        <v>74</v>
      </c>
      <c r="R67" t="s">
        <v>74</v>
      </c>
      <c r="S67" t="s">
        <v>74</v>
      </c>
      <c r="T67" t="s">
        <v>1606</v>
      </c>
      <c r="U67" t="s">
        <v>1607</v>
      </c>
      <c r="V67" t="s">
        <v>1608</v>
      </c>
      <c r="W67" t="s">
        <v>1609</v>
      </c>
      <c r="X67" t="s">
        <v>1610</v>
      </c>
      <c r="Y67" t="s">
        <v>1611</v>
      </c>
      <c r="Z67" t="s">
        <v>1612</v>
      </c>
      <c r="AA67" t="s">
        <v>1613</v>
      </c>
      <c r="AB67" t="s">
        <v>1614</v>
      </c>
      <c r="AC67" t="s">
        <v>1615</v>
      </c>
      <c r="AD67" t="s">
        <v>1616</v>
      </c>
      <c r="AE67" t="s">
        <v>1617</v>
      </c>
      <c r="AF67" t="s">
        <v>74</v>
      </c>
      <c r="AG67">
        <v>144</v>
      </c>
      <c r="AH67">
        <v>5</v>
      </c>
      <c r="AI67">
        <v>5</v>
      </c>
      <c r="AJ67">
        <v>0</v>
      </c>
      <c r="AK67">
        <v>4</v>
      </c>
      <c r="AL67" t="s">
        <v>1522</v>
      </c>
      <c r="AM67" t="s">
        <v>1407</v>
      </c>
      <c r="AN67" t="s">
        <v>1523</v>
      </c>
      <c r="AO67" t="s">
        <v>1618</v>
      </c>
      <c r="AP67" t="s">
        <v>1619</v>
      </c>
      <c r="AQ67" t="s">
        <v>74</v>
      </c>
      <c r="AR67" t="s">
        <v>1620</v>
      </c>
      <c r="AS67" t="s">
        <v>1621</v>
      </c>
      <c r="AT67" t="s">
        <v>1212</v>
      </c>
      <c r="AU67">
        <v>2020</v>
      </c>
      <c r="AV67">
        <v>165</v>
      </c>
      <c r="AW67" t="s">
        <v>74</v>
      </c>
      <c r="AX67" t="s">
        <v>74</v>
      </c>
      <c r="AY67" t="s">
        <v>74</v>
      </c>
      <c r="AZ67" t="s">
        <v>74</v>
      </c>
      <c r="BA67" t="s">
        <v>74</v>
      </c>
      <c r="BB67" t="s">
        <v>74</v>
      </c>
      <c r="BC67" t="s">
        <v>74</v>
      </c>
      <c r="BD67">
        <v>103327</v>
      </c>
      <c r="BE67" t="s">
        <v>1622</v>
      </c>
      <c r="BF67" t="str">
        <f>HYPERLINK("http://dx.doi.org/10.1016/j.dsr.2020.103327","http://dx.doi.org/10.1016/j.dsr.2020.103327")</f>
        <v>http://dx.doi.org/10.1016/j.dsr.2020.103327</v>
      </c>
      <c r="BG67" t="s">
        <v>74</v>
      </c>
      <c r="BH67" t="s">
        <v>74</v>
      </c>
      <c r="BI67">
        <v>23</v>
      </c>
      <c r="BJ67" t="s">
        <v>1283</v>
      </c>
      <c r="BK67" t="s">
        <v>100</v>
      </c>
      <c r="BL67" t="s">
        <v>1283</v>
      </c>
      <c r="BM67" t="s">
        <v>1623</v>
      </c>
      <c r="BN67" t="s">
        <v>74</v>
      </c>
      <c r="BO67" t="s">
        <v>74</v>
      </c>
      <c r="BP67" t="s">
        <v>74</v>
      </c>
      <c r="BQ67" t="s">
        <v>74</v>
      </c>
      <c r="BR67" t="s">
        <v>104</v>
      </c>
      <c r="BS67" t="s">
        <v>1624</v>
      </c>
      <c r="BT67" t="str">
        <f>HYPERLINK("https%3A%2F%2Fwww.webofscience.com%2Fwos%2Fwoscc%2Ffull-record%2FWOS:000579905100002","View Full Record in Web of Science")</f>
        <v>View Full Record in Web of Science</v>
      </c>
    </row>
    <row r="68" spans="1:72" x14ac:dyDescent="0.15">
      <c r="A68" t="s">
        <v>72</v>
      </c>
      <c r="B68" t="s">
        <v>1625</v>
      </c>
      <c r="C68" t="s">
        <v>74</v>
      </c>
      <c r="D68" t="s">
        <v>74</v>
      </c>
      <c r="E68" t="s">
        <v>74</v>
      </c>
      <c r="F68" t="s">
        <v>1626</v>
      </c>
      <c r="G68" t="s">
        <v>74</v>
      </c>
      <c r="H68" t="s">
        <v>74</v>
      </c>
      <c r="I68" t="s">
        <v>1627</v>
      </c>
      <c r="J68" t="s">
        <v>1628</v>
      </c>
      <c r="K68" t="s">
        <v>74</v>
      </c>
      <c r="L68" t="s">
        <v>74</v>
      </c>
      <c r="M68" t="s">
        <v>1629</v>
      </c>
      <c r="N68" t="s">
        <v>79</v>
      </c>
      <c r="O68" t="s">
        <v>74</v>
      </c>
      <c r="P68" t="s">
        <v>74</v>
      </c>
      <c r="Q68" t="s">
        <v>74</v>
      </c>
      <c r="R68" t="s">
        <v>74</v>
      </c>
      <c r="S68" t="s">
        <v>74</v>
      </c>
      <c r="T68" t="s">
        <v>1630</v>
      </c>
      <c r="U68" t="s">
        <v>1631</v>
      </c>
      <c r="V68" t="s">
        <v>1632</v>
      </c>
      <c r="W68" t="s">
        <v>1633</v>
      </c>
      <c r="X68" t="s">
        <v>1634</v>
      </c>
      <c r="Y68" t="s">
        <v>1635</v>
      </c>
      <c r="Z68" t="s">
        <v>1636</v>
      </c>
      <c r="AA68" t="s">
        <v>74</v>
      </c>
      <c r="AB68" t="s">
        <v>74</v>
      </c>
      <c r="AC68" t="s">
        <v>74</v>
      </c>
      <c r="AD68" t="s">
        <v>74</v>
      </c>
      <c r="AE68" t="s">
        <v>74</v>
      </c>
      <c r="AF68" t="s">
        <v>74</v>
      </c>
      <c r="AG68">
        <v>24</v>
      </c>
      <c r="AH68">
        <v>1</v>
      </c>
      <c r="AI68">
        <v>1</v>
      </c>
      <c r="AJ68">
        <v>1</v>
      </c>
      <c r="AK68">
        <v>19</v>
      </c>
      <c r="AL68" t="s">
        <v>1637</v>
      </c>
      <c r="AM68" t="s">
        <v>1638</v>
      </c>
      <c r="AN68" t="s">
        <v>1639</v>
      </c>
      <c r="AO68" t="s">
        <v>1640</v>
      </c>
      <c r="AP68" t="s">
        <v>74</v>
      </c>
      <c r="AQ68" t="s">
        <v>74</v>
      </c>
      <c r="AR68" t="s">
        <v>1641</v>
      </c>
      <c r="AS68" t="s">
        <v>1642</v>
      </c>
      <c r="AT68" t="s">
        <v>1212</v>
      </c>
      <c r="AU68">
        <v>2020</v>
      </c>
      <c r="AV68">
        <v>63</v>
      </c>
      <c r="AW68">
        <v>11</v>
      </c>
      <c r="AX68" t="s">
        <v>74</v>
      </c>
      <c r="AY68" t="s">
        <v>74</v>
      </c>
      <c r="AZ68" t="s">
        <v>74</v>
      </c>
      <c r="BA68" t="s">
        <v>74</v>
      </c>
      <c r="BB68">
        <v>3981</v>
      </c>
      <c r="BC68">
        <v>3995</v>
      </c>
      <c r="BD68" t="s">
        <v>74</v>
      </c>
      <c r="BE68" t="s">
        <v>1643</v>
      </c>
      <c r="BF68" t="str">
        <f>HYPERLINK("http://dx.doi.org/10.6038/cjg2020N0242","http://dx.doi.org/10.6038/cjg2020N0242")</f>
        <v>http://dx.doi.org/10.6038/cjg2020N0242</v>
      </c>
      <c r="BG68" t="s">
        <v>74</v>
      </c>
      <c r="BH68" t="s">
        <v>74</v>
      </c>
      <c r="BI68">
        <v>15</v>
      </c>
      <c r="BJ68" t="s">
        <v>1361</v>
      </c>
      <c r="BK68" t="s">
        <v>100</v>
      </c>
      <c r="BL68" t="s">
        <v>1361</v>
      </c>
      <c r="BM68" t="s">
        <v>1644</v>
      </c>
      <c r="BN68" t="s">
        <v>74</v>
      </c>
      <c r="BO68" t="s">
        <v>74</v>
      </c>
      <c r="BP68" t="s">
        <v>74</v>
      </c>
      <c r="BQ68" t="s">
        <v>74</v>
      </c>
      <c r="BR68" t="s">
        <v>104</v>
      </c>
      <c r="BS68" t="s">
        <v>1645</v>
      </c>
      <c r="BT68" t="str">
        <f>HYPERLINK("https%3A%2F%2Fwww.webofscience.com%2Fwos%2Fwoscc%2Ffull-record%2FWOS:000589913700005","View Full Record in Web of Science")</f>
        <v>View Full Record in Web of Science</v>
      </c>
    </row>
    <row r="69" spans="1:72" x14ac:dyDescent="0.15">
      <c r="A69" t="s">
        <v>72</v>
      </c>
      <c r="B69" t="s">
        <v>1646</v>
      </c>
      <c r="C69" t="s">
        <v>74</v>
      </c>
      <c r="D69" t="s">
        <v>74</v>
      </c>
      <c r="E69" t="s">
        <v>74</v>
      </c>
      <c r="F69" t="s">
        <v>1647</v>
      </c>
      <c r="G69" t="s">
        <v>74</v>
      </c>
      <c r="H69" t="s">
        <v>74</v>
      </c>
      <c r="I69" t="s">
        <v>1648</v>
      </c>
      <c r="J69" t="s">
        <v>1649</v>
      </c>
      <c r="K69" t="s">
        <v>74</v>
      </c>
      <c r="L69" t="s">
        <v>74</v>
      </c>
      <c r="M69" t="s">
        <v>78</v>
      </c>
      <c r="N69" t="s">
        <v>79</v>
      </c>
      <c r="O69" t="s">
        <v>74</v>
      </c>
      <c r="P69" t="s">
        <v>74</v>
      </c>
      <c r="Q69" t="s">
        <v>74</v>
      </c>
      <c r="R69" t="s">
        <v>74</v>
      </c>
      <c r="S69" t="s">
        <v>74</v>
      </c>
      <c r="T69" t="s">
        <v>1650</v>
      </c>
      <c r="U69" t="s">
        <v>1651</v>
      </c>
      <c r="V69" t="s">
        <v>1652</v>
      </c>
      <c r="W69" t="s">
        <v>1653</v>
      </c>
      <c r="X69" t="s">
        <v>1654</v>
      </c>
      <c r="Y69" t="s">
        <v>1655</v>
      </c>
      <c r="Z69" t="s">
        <v>1656</v>
      </c>
      <c r="AA69" t="s">
        <v>74</v>
      </c>
      <c r="AB69" t="s">
        <v>1657</v>
      </c>
      <c r="AC69" t="s">
        <v>1658</v>
      </c>
      <c r="AD69" t="s">
        <v>1659</v>
      </c>
      <c r="AE69" t="s">
        <v>1660</v>
      </c>
      <c r="AF69" t="s">
        <v>74</v>
      </c>
      <c r="AG69">
        <v>37</v>
      </c>
      <c r="AH69">
        <v>12</v>
      </c>
      <c r="AI69">
        <v>14</v>
      </c>
      <c r="AJ69">
        <v>2</v>
      </c>
      <c r="AK69">
        <v>6</v>
      </c>
      <c r="AL69" t="s">
        <v>1661</v>
      </c>
      <c r="AM69" t="s">
        <v>1662</v>
      </c>
      <c r="AN69" t="s">
        <v>1663</v>
      </c>
      <c r="AO69" t="s">
        <v>1664</v>
      </c>
      <c r="AP69" t="s">
        <v>1665</v>
      </c>
      <c r="AQ69" t="s">
        <v>74</v>
      </c>
      <c r="AR69" t="s">
        <v>1666</v>
      </c>
      <c r="AS69" t="s">
        <v>1667</v>
      </c>
      <c r="AT69" t="s">
        <v>1212</v>
      </c>
      <c r="AU69">
        <v>2020</v>
      </c>
      <c r="AV69">
        <v>105</v>
      </c>
      <c r="AW69">
        <v>11</v>
      </c>
      <c r="AX69" t="s">
        <v>74</v>
      </c>
      <c r="AY69" t="s">
        <v>74</v>
      </c>
      <c r="AZ69" t="s">
        <v>74</v>
      </c>
      <c r="BA69" t="s">
        <v>74</v>
      </c>
      <c r="BB69">
        <v>1756</v>
      </c>
      <c r="BC69">
        <v>1760</v>
      </c>
      <c r="BD69" t="s">
        <v>74</v>
      </c>
      <c r="BE69" t="s">
        <v>1668</v>
      </c>
      <c r="BF69" t="str">
        <f>HYPERLINK("http://dx.doi.org/10.2138/am-2020-7602","http://dx.doi.org/10.2138/am-2020-7602")</f>
        <v>http://dx.doi.org/10.2138/am-2020-7602</v>
      </c>
      <c r="BG69" t="s">
        <v>74</v>
      </c>
      <c r="BH69" t="s">
        <v>74</v>
      </c>
      <c r="BI69">
        <v>5</v>
      </c>
      <c r="BJ69" t="s">
        <v>1669</v>
      </c>
      <c r="BK69" t="s">
        <v>100</v>
      </c>
      <c r="BL69" t="s">
        <v>1669</v>
      </c>
      <c r="BM69" t="s">
        <v>1670</v>
      </c>
      <c r="BN69" t="s">
        <v>74</v>
      </c>
      <c r="BO69" t="s">
        <v>74</v>
      </c>
      <c r="BP69" t="s">
        <v>74</v>
      </c>
      <c r="BQ69" t="s">
        <v>74</v>
      </c>
      <c r="BR69" t="s">
        <v>104</v>
      </c>
      <c r="BS69" t="s">
        <v>1671</v>
      </c>
      <c r="BT69" t="str">
        <f>HYPERLINK("https%3A%2F%2Fwww.webofscience.com%2Fwos%2Fwoscc%2Ffull-record%2FWOS:000596764500016","View Full Record in Web of Science")</f>
        <v>View Full Record in Web of Science</v>
      </c>
    </row>
    <row r="70" spans="1:72" x14ac:dyDescent="0.15">
      <c r="A70" t="s">
        <v>72</v>
      </c>
      <c r="B70" t="s">
        <v>1672</v>
      </c>
      <c r="C70" t="s">
        <v>74</v>
      </c>
      <c r="D70" t="s">
        <v>74</v>
      </c>
      <c r="E70" t="s">
        <v>74</v>
      </c>
      <c r="F70" t="s">
        <v>1673</v>
      </c>
      <c r="G70" t="s">
        <v>74</v>
      </c>
      <c r="H70" t="s">
        <v>74</v>
      </c>
      <c r="I70" t="s">
        <v>1674</v>
      </c>
      <c r="J70" t="s">
        <v>1675</v>
      </c>
      <c r="K70" t="s">
        <v>74</v>
      </c>
      <c r="L70" t="s">
        <v>74</v>
      </c>
      <c r="M70" t="s">
        <v>78</v>
      </c>
      <c r="N70" t="s">
        <v>79</v>
      </c>
      <c r="O70" t="s">
        <v>74</v>
      </c>
      <c r="P70" t="s">
        <v>74</v>
      </c>
      <c r="Q70" t="s">
        <v>74</v>
      </c>
      <c r="R70" t="s">
        <v>74</v>
      </c>
      <c r="S70" t="s">
        <v>74</v>
      </c>
      <c r="T70" t="s">
        <v>1676</v>
      </c>
      <c r="U70" t="s">
        <v>1677</v>
      </c>
      <c r="V70" t="s">
        <v>1678</v>
      </c>
      <c r="W70" t="s">
        <v>1679</v>
      </c>
      <c r="X70" t="s">
        <v>1680</v>
      </c>
      <c r="Y70" t="s">
        <v>1681</v>
      </c>
      <c r="Z70" t="s">
        <v>1682</v>
      </c>
      <c r="AA70" t="s">
        <v>1683</v>
      </c>
      <c r="AB70" t="s">
        <v>1684</v>
      </c>
      <c r="AC70" t="s">
        <v>1685</v>
      </c>
      <c r="AD70" t="s">
        <v>1685</v>
      </c>
      <c r="AE70" t="s">
        <v>1686</v>
      </c>
      <c r="AF70" t="s">
        <v>74</v>
      </c>
      <c r="AG70">
        <v>211</v>
      </c>
      <c r="AH70">
        <v>33</v>
      </c>
      <c r="AI70">
        <v>34</v>
      </c>
      <c r="AJ70">
        <v>2</v>
      </c>
      <c r="AK70">
        <v>17</v>
      </c>
      <c r="AL70" t="s">
        <v>275</v>
      </c>
      <c r="AM70" t="s">
        <v>276</v>
      </c>
      <c r="AN70" t="s">
        <v>277</v>
      </c>
      <c r="AO70" t="s">
        <v>1687</v>
      </c>
      <c r="AP70" t="s">
        <v>1688</v>
      </c>
      <c r="AQ70" t="s">
        <v>74</v>
      </c>
      <c r="AR70" t="s">
        <v>1689</v>
      </c>
      <c r="AS70" t="s">
        <v>1690</v>
      </c>
      <c r="AT70" t="s">
        <v>1212</v>
      </c>
      <c r="AU70">
        <v>2020</v>
      </c>
      <c r="AV70">
        <v>350</v>
      </c>
      <c r="AW70" t="s">
        <v>74</v>
      </c>
      <c r="AX70" t="s">
        <v>74</v>
      </c>
      <c r="AY70" t="s">
        <v>74</v>
      </c>
      <c r="AZ70" t="s">
        <v>74</v>
      </c>
      <c r="BA70" t="s">
        <v>74</v>
      </c>
      <c r="BB70" t="s">
        <v>74</v>
      </c>
      <c r="BC70" t="s">
        <v>74</v>
      </c>
      <c r="BD70">
        <v>105849</v>
      </c>
      <c r="BE70" t="s">
        <v>1691</v>
      </c>
      <c r="BF70" t="str">
        <f>HYPERLINK("http://dx.doi.org/10.1016/j.precamres.2020.105849","http://dx.doi.org/10.1016/j.precamres.2020.105849")</f>
        <v>http://dx.doi.org/10.1016/j.precamres.2020.105849</v>
      </c>
      <c r="BG70" t="s">
        <v>74</v>
      </c>
      <c r="BH70" t="s">
        <v>74</v>
      </c>
      <c r="BI70">
        <v>29</v>
      </c>
      <c r="BJ70" t="s">
        <v>534</v>
      </c>
      <c r="BK70" t="s">
        <v>100</v>
      </c>
      <c r="BL70" t="s">
        <v>535</v>
      </c>
      <c r="BM70" t="s">
        <v>1692</v>
      </c>
      <c r="BN70" t="s">
        <v>74</v>
      </c>
      <c r="BO70" t="s">
        <v>701</v>
      </c>
      <c r="BP70" t="s">
        <v>74</v>
      </c>
      <c r="BQ70" t="s">
        <v>74</v>
      </c>
      <c r="BR70" t="s">
        <v>104</v>
      </c>
      <c r="BS70" t="s">
        <v>1693</v>
      </c>
      <c r="BT70" t="str">
        <f>HYPERLINK("https%3A%2F%2Fwww.webofscience.com%2Fwos%2Fwoscc%2Ffull-record%2FWOS:000589423600003","View Full Record in Web of Science")</f>
        <v>View Full Record in Web of Science</v>
      </c>
    </row>
    <row r="71" spans="1:72" x14ac:dyDescent="0.15">
      <c r="A71" t="s">
        <v>72</v>
      </c>
      <c r="B71" t="s">
        <v>1694</v>
      </c>
      <c r="C71" t="s">
        <v>74</v>
      </c>
      <c r="D71" t="s">
        <v>74</v>
      </c>
      <c r="E71" t="s">
        <v>74</v>
      </c>
      <c r="F71" t="s">
        <v>1695</v>
      </c>
      <c r="G71" t="s">
        <v>74</v>
      </c>
      <c r="H71" t="s">
        <v>74</v>
      </c>
      <c r="I71" t="s">
        <v>1696</v>
      </c>
      <c r="J71" t="s">
        <v>1697</v>
      </c>
      <c r="K71" t="s">
        <v>74</v>
      </c>
      <c r="L71" t="s">
        <v>74</v>
      </c>
      <c r="M71" t="s">
        <v>78</v>
      </c>
      <c r="N71" t="s">
        <v>79</v>
      </c>
      <c r="O71" t="s">
        <v>74</v>
      </c>
      <c r="P71" t="s">
        <v>74</v>
      </c>
      <c r="Q71" t="s">
        <v>74</v>
      </c>
      <c r="R71" t="s">
        <v>74</v>
      </c>
      <c r="S71" t="s">
        <v>74</v>
      </c>
      <c r="T71" t="s">
        <v>1698</v>
      </c>
      <c r="U71" t="s">
        <v>1699</v>
      </c>
      <c r="V71" t="s">
        <v>1700</v>
      </c>
      <c r="W71" t="s">
        <v>1701</v>
      </c>
      <c r="X71" t="s">
        <v>1702</v>
      </c>
      <c r="Y71" t="s">
        <v>1703</v>
      </c>
      <c r="Z71" t="s">
        <v>1704</v>
      </c>
      <c r="AA71" t="s">
        <v>1705</v>
      </c>
      <c r="AB71" t="s">
        <v>1706</v>
      </c>
      <c r="AC71" t="s">
        <v>1707</v>
      </c>
      <c r="AD71" t="s">
        <v>1708</v>
      </c>
      <c r="AE71" t="s">
        <v>1709</v>
      </c>
      <c r="AF71" t="s">
        <v>74</v>
      </c>
      <c r="AG71">
        <v>69</v>
      </c>
      <c r="AH71">
        <v>3</v>
      </c>
      <c r="AI71">
        <v>3</v>
      </c>
      <c r="AJ71">
        <v>1</v>
      </c>
      <c r="AK71">
        <v>9</v>
      </c>
      <c r="AL71" t="s">
        <v>1710</v>
      </c>
      <c r="AM71" t="s">
        <v>609</v>
      </c>
      <c r="AN71" t="s">
        <v>1711</v>
      </c>
      <c r="AO71" t="s">
        <v>74</v>
      </c>
      <c r="AP71" t="s">
        <v>1712</v>
      </c>
      <c r="AQ71" t="s">
        <v>74</v>
      </c>
      <c r="AR71" t="s">
        <v>1713</v>
      </c>
      <c r="AS71" t="s">
        <v>1714</v>
      </c>
      <c r="AT71" t="s">
        <v>1212</v>
      </c>
      <c r="AU71">
        <v>2020</v>
      </c>
      <c r="AV71">
        <v>7</v>
      </c>
      <c r="AW71">
        <v>11</v>
      </c>
      <c r="AX71" t="s">
        <v>74</v>
      </c>
      <c r="AY71" t="s">
        <v>74</v>
      </c>
      <c r="AZ71" t="s">
        <v>74</v>
      </c>
      <c r="BA71" t="s">
        <v>74</v>
      </c>
      <c r="BB71" t="s">
        <v>74</v>
      </c>
      <c r="BC71" t="s">
        <v>74</v>
      </c>
      <c r="BD71" t="s">
        <v>1715</v>
      </c>
      <c r="BE71" t="s">
        <v>1716</v>
      </c>
      <c r="BF71" t="str">
        <f>HYPERLINK("http://dx.doi.org/10.1029/2020EA001198","http://dx.doi.org/10.1029/2020EA001198")</f>
        <v>http://dx.doi.org/10.1029/2020EA001198</v>
      </c>
      <c r="BG71" t="s">
        <v>74</v>
      </c>
      <c r="BH71" t="s">
        <v>74</v>
      </c>
      <c r="BI71">
        <v>14</v>
      </c>
      <c r="BJ71" t="s">
        <v>1717</v>
      </c>
      <c r="BK71" t="s">
        <v>100</v>
      </c>
      <c r="BL71" t="s">
        <v>1718</v>
      </c>
      <c r="BM71" t="s">
        <v>1719</v>
      </c>
      <c r="BN71" t="s">
        <v>74</v>
      </c>
      <c r="BO71" t="s">
        <v>1259</v>
      </c>
      <c r="BP71" t="s">
        <v>74</v>
      </c>
      <c r="BQ71" t="s">
        <v>74</v>
      </c>
      <c r="BR71" t="s">
        <v>104</v>
      </c>
      <c r="BS71" t="s">
        <v>1720</v>
      </c>
      <c r="BT71" t="str">
        <f>HYPERLINK("https%3A%2F%2Fwww.webofscience.com%2Fwos%2Fwoscc%2Ffull-record%2FWOS:000595886000018","View Full Record in Web of Science")</f>
        <v>View Full Record in Web of Science</v>
      </c>
    </row>
    <row r="72" spans="1:72" x14ac:dyDescent="0.15">
      <c r="A72" t="s">
        <v>72</v>
      </c>
      <c r="B72" t="s">
        <v>1721</v>
      </c>
      <c r="C72" t="s">
        <v>74</v>
      </c>
      <c r="D72" t="s">
        <v>74</v>
      </c>
      <c r="E72" t="s">
        <v>74</v>
      </c>
      <c r="F72" t="s">
        <v>1722</v>
      </c>
      <c r="G72" t="s">
        <v>74</v>
      </c>
      <c r="H72" t="s">
        <v>74</v>
      </c>
      <c r="I72" t="s">
        <v>1723</v>
      </c>
      <c r="J72" t="s">
        <v>1724</v>
      </c>
      <c r="K72" t="s">
        <v>74</v>
      </c>
      <c r="L72" t="s">
        <v>74</v>
      </c>
      <c r="M72" t="s">
        <v>78</v>
      </c>
      <c r="N72" t="s">
        <v>79</v>
      </c>
      <c r="O72" t="s">
        <v>74</v>
      </c>
      <c r="P72" t="s">
        <v>74</v>
      </c>
      <c r="Q72" t="s">
        <v>74</v>
      </c>
      <c r="R72" t="s">
        <v>74</v>
      </c>
      <c r="S72" t="s">
        <v>74</v>
      </c>
      <c r="T72" t="s">
        <v>1725</v>
      </c>
      <c r="U72" t="s">
        <v>1726</v>
      </c>
      <c r="V72" t="s">
        <v>1727</v>
      </c>
      <c r="W72" t="s">
        <v>1728</v>
      </c>
      <c r="X72" t="s">
        <v>1729</v>
      </c>
      <c r="Y72" t="s">
        <v>1730</v>
      </c>
      <c r="Z72" t="s">
        <v>1731</v>
      </c>
      <c r="AA72" t="s">
        <v>1732</v>
      </c>
      <c r="AB72" t="s">
        <v>1733</v>
      </c>
      <c r="AC72" t="s">
        <v>1734</v>
      </c>
      <c r="AD72" t="s">
        <v>1735</v>
      </c>
      <c r="AE72" t="s">
        <v>1736</v>
      </c>
      <c r="AF72" t="s">
        <v>74</v>
      </c>
      <c r="AG72">
        <v>28</v>
      </c>
      <c r="AH72">
        <v>19</v>
      </c>
      <c r="AI72">
        <v>20</v>
      </c>
      <c r="AJ72">
        <v>1</v>
      </c>
      <c r="AK72">
        <v>17</v>
      </c>
      <c r="AL72" t="s">
        <v>1710</v>
      </c>
      <c r="AM72" t="s">
        <v>609</v>
      </c>
      <c r="AN72" t="s">
        <v>1711</v>
      </c>
      <c r="AO72" t="s">
        <v>74</v>
      </c>
      <c r="AP72" t="s">
        <v>1737</v>
      </c>
      <c r="AQ72" t="s">
        <v>74</v>
      </c>
      <c r="AR72" t="s">
        <v>1738</v>
      </c>
      <c r="AS72" t="s">
        <v>1739</v>
      </c>
      <c r="AT72" t="s">
        <v>1212</v>
      </c>
      <c r="AU72">
        <v>2020</v>
      </c>
      <c r="AV72">
        <v>12</v>
      </c>
      <c r="AW72">
        <v>11</v>
      </c>
      <c r="AX72" t="s">
        <v>74</v>
      </c>
      <c r="AY72" t="s">
        <v>74</v>
      </c>
      <c r="AZ72" t="s">
        <v>74</v>
      </c>
      <c r="BA72" t="s">
        <v>74</v>
      </c>
      <c r="BB72" t="s">
        <v>74</v>
      </c>
      <c r="BC72" t="s">
        <v>74</v>
      </c>
      <c r="BD72" t="s">
        <v>1740</v>
      </c>
      <c r="BE72" t="s">
        <v>1741</v>
      </c>
      <c r="BF72" t="str">
        <f>HYPERLINK("http://dx.doi.org/10.1029/2020MS002154","http://dx.doi.org/10.1029/2020MS002154")</f>
        <v>http://dx.doi.org/10.1029/2020MS002154</v>
      </c>
      <c r="BG72" t="s">
        <v>74</v>
      </c>
      <c r="BH72" t="s">
        <v>74</v>
      </c>
      <c r="BI72">
        <v>15</v>
      </c>
      <c r="BJ72" t="s">
        <v>800</v>
      </c>
      <c r="BK72" t="s">
        <v>100</v>
      </c>
      <c r="BL72" t="s">
        <v>800</v>
      </c>
      <c r="BM72" t="s">
        <v>1742</v>
      </c>
      <c r="BN72" t="s">
        <v>74</v>
      </c>
      <c r="BO72" t="s">
        <v>202</v>
      </c>
      <c r="BP72" t="s">
        <v>74</v>
      </c>
      <c r="BQ72" t="s">
        <v>74</v>
      </c>
      <c r="BR72" t="s">
        <v>104</v>
      </c>
      <c r="BS72" t="s">
        <v>1743</v>
      </c>
      <c r="BT72" t="str">
        <f>HYPERLINK("https%3A%2F%2Fwww.webofscience.com%2Fwos%2Fwoscc%2Ffull-record%2FWOS:000595875100005","View Full Record in Web of Science")</f>
        <v>View Full Record in Web of Science</v>
      </c>
    </row>
    <row r="73" spans="1:72" x14ac:dyDescent="0.15">
      <c r="A73" t="s">
        <v>72</v>
      </c>
      <c r="B73" t="s">
        <v>1744</v>
      </c>
      <c r="C73" t="s">
        <v>74</v>
      </c>
      <c r="D73" t="s">
        <v>74</v>
      </c>
      <c r="E73" t="s">
        <v>74</v>
      </c>
      <c r="F73" t="s">
        <v>1745</v>
      </c>
      <c r="G73" t="s">
        <v>74</v>
      </c>
      <c r="H73" t="s">
        <v>74</v>
      </c>
      <c r="I73" t="s">
        <v>1746</v>
      </c>
      <c r="J73" t="s">
        <v>1747</v>
      </c>
      <c r="K73" t="s">
        <v>74</v>
      </c>
      <c r="L73" t="s">
        <v>74</v>
      </c>
      <c r="M73" t="s">
        <v>78</v>
      </c>
      <c r="N73" t="s">
        <v>79</v>
      </c>
      <c r="O73" t="s">
        <v>74</v>
      </c>
      <c r="P73" t="s">
        <v>74</v>
      </c>
      <c r="Q73" t="s">
        <v>74</v>
      </c>
      <c r="R73" t="s">
        <v>74</v>
      </c>
      <c r="S73" t="s">
        <v>74</v>
      </c>
      <c r="T73" t="s">
        <v>1748</v>
      </c>
      <c r="U73" t="s">
        <v>1749</v>
      </c>
      <c r="V73" t="s">
        <v>1750</v>
      </c>
      <c r="W73" t="s">
        <v>1751</v>
      </c>
      <c r="X73" t="s">
        <v>1752</v>
      </c>
      <c r="Y73" t="s">
        <v>1753</v>
      </c>
      <c r="Z73" t="s">
        <v>1754</v>
      </c>
      <c r="AA73" t="s">
        <v>1755</v>
      </c>
      <c r="AB73" t="s">
        <v>1756</v>
      </c>
      <c r="AC73" t="s">
        <v>1757</v>
      </c>
      <c r="AD73" t="s">
        <v>1758</v>
      </c>
      <c r="AE73" t="s">
        <v>74</v>
      </c>
      <c r="AF73" t="s">
        <v>74</v>
      </c>
      <c r="AG73">
        <v>88</v>
      </c>
      <c r="AH73">
        <v>6</v>
      </c>
      <c r="AI73">
        <v>7</v>
      </c>
      <c r="AJ73">
        <v>2</v>
      </c>
      <c r="AK73">
        <v>10</v>
      </c>
      <c r="AL73" t="s">
        <v>1710</v>
      </c>
      <c r="AM73" t="s">
        <v>609</v>
      </c>
      <c r="AN73" t="s">
        <v>1711</v>
      </c>
      <c r="AO73" t="s">
        <v>1759</v>
      </c>
      <c r="AP73" t="s">
        <v>1760</v>
      </c>
      <c r="AQ73" t="s">
        <v>74</v>
      </c>
      <c r="AR73" t="s">
        <v>1761</v>
      </c>
      <c r="AS73" t="s">
        <v>1762</v>
      </c>
      <c r="AT73" t="s">
        <v>1212</v>
      </c>
      <c r="AU73">
        <v>2020</v>
      </c>
      <c r="AV73">
        <v>125</v>
      </c>
      <c r="AW73">
        <v>11</v>
      </c>
      <c r="AX73" t="s">
        <v>74</v>
      </c>
      <c r="AY73" t="s">
        <v>74</v>
      </c>
      <c r="AZ73" t="s">
        <v>74</v>
      </c>
      <c r="BA73" t="s">
        <v>74</v>
      </c>
      <c r="BB73" t="s">
        <v>74</v>
      </c>
      <c r="BC73" t="s">
        <v>74</v>
      </c>
      <c r="BD73" t="s">
        <v>1763</v>
      </c>
      <c r="BE73" t="s">
        <v>1764</v>
      </c>
      <c r="BF73" t="str">
        <f>HYPERLINK("http://dx.doi.org/10.1029/2020JC016370","http://dx.doi.org/10.1029/2020JC016370")</f>
        <v>http://dx.doi.org/10.1029/2020JC016370</v>
      </c>
      <c r="BG73" t="s">
        <v>74</v>
      </c>
      <c r="BH73" t="s">
        <v>74</v>
      </c>
      <c r="BI73">
        <v>19</v>
      </c>
      <c r="BJ73" t="s">
        <v>1283</v>
      </c>
      <c r="BK73" t="s">
        <v>100</v>
      </c>
      <c r="BL73" t="s">
        <v>1283</v>
      </c>
      <c r="BM73" t="s">
        <v>1765</v>
      </c>
      <c r="BN73" t="s">
        <v>74</v>
      </c>
      <c r="BO73" t="s">
        <v>701</v>
      </c>
      <c r="BP73" t="s">
        <v>74</v>
      </c>
      <c r="BQ73" t="s">
        <v>74</v>
      </c>
      <c r="BR73" t="s">
        <v>104</v>
      </c>
      <c r="BS73" t="s">
        <v>1766</v>
      </c>
      <c r="BT73" t="str">
        <f>HYPERLINK("https%3A%2F%2Fwww.webofscience.com%2Fwos%2Fwoscc%2Ffull-record%2FWOS:000595724300005","View Full Record in Web of Science")</f>
        <v>View Full Record in Web of Science</v>
      </c>
    </row>
    <row r="74" spans="1:72" x14ac:dyDescent="0.15">
      <c r="A74" t="s">
        <v>72</v>
      </c>
      <c r="B74" t="s">
        <v>1767</v>
      </c>
      <c r="C74" t="s">
        <v>74</v>
      </c>
      <c r="D74" t="s">
        <v>74</v>
      </c>
      <c r="E74" t="s">
        <v>74</v>
      </c>
      <c r="F74" t="s">
        <v>1768</v>
      </c>
      <c r="G74" t="s">
        <v>74</v>
      </c>
      <c r="H74" t="s">
        <v>74</v>
      </c>
      <c r="I74" t="s">
        <v>1769</v>
      </c>
      <c r="J74" t="s">
        <v>1747</v>
      </c>
      <c r="K74" t="s">
        <v>74</v>
      </c>
      <c r="L74" t="s">
        <v>74</v>
      </c>
      <c r="M74" t="s">
        <v>78</v>
      </c>
      <c r="N74" t="s">
        <v>79</v>
      </c>
      <c r="O74" t="s">
        <v>74</v>
      </c>
      <c r="P74" t="s">
        <v>74</v>
      </c>
      <c r="Q74" t="s">
        <v>74</v>
      </c>
      <c r="R74" t="s">
        <v>74</v>
      </c>
      <c r="S74" t="s">
        <v>74</v>
      </c>
      <c r="T74" t="s">
        <v>1770</v>
      </c>
      <c r="U74" t="s">
        <v>1771</v>
      </c>
      <c r="V74" t="s">
        <v>1772</v>
      </c>
      <c r="W74" t="s">
        <v>1773</v>
      </c>
      <c r="X74" t="s">
        <v>1774</v>
      </c>
      <c r="Y74" t="s">
        <v>1775</v>
      </c>
      <c r="Z74" t="s">
        <v>1776</v>
      </c>
      <c r="AA74" t="s">
        <v>74</v>
      </c>
      <c r="AB74" t="s">
        <v>1777</v>
      </c>
      <c r="AC74" t="s">
        <v>74</v>
      </c>
      <c r="AD74" t="s">
        <v>74</v>
      </c>
      <c r="AE74" t="s">
        <v>74</v>
      </c>
      <c r="AF74" t="s">
        <v>74</v>
      </c>
      <c r="AG74">
        <v>62</v>
      </c>
      <c r="AH74">
        <v>15</v>
      </c>
      <c r="AI74">
        <v>16</v>
      </c>
      <c r="AJ74">
        <v>4</v>
      </c>
      <c r="AK74">
        <v>11</v>
      </c>
      <c r="AL74" t="s">
        <v>1710</v>
      </c>
      <c r="AM74" t="s">
        <v>609</v>
      </c>
      <c r="AN74" t="s">
        <v>1711</v>
      </c>
      <c r="AO74" t="s">
        <v>1759</v>
      </c>
      <c r="AP74" t="s">
        <v>1760</v>
      </c>
      <c r="AQ74" t="s">
        <v>74</v>
      </c>
      <c r="AR74" t="s">
        <v>1761</v>
      </c>
      <c r="AS74" t="s">
        <v>1762</v>
      </c>
      <c r="AT74" t="s">
        <v>1212</v>
      </c>
      <c r="AU74">
        <v>2020</v>
      </c>
      <c r="AV74">
        <v>125</v>
      </c>
      <c r="AW74">
        <v>11</v>
      </c>
      <c r="AX74" t="s">
        <v>74</v>
      </c>
      <c r="AY74" t="s">
        <v>74</v>
      </c>
      <c r="AZ74" t="s">
        <v>74</v>
      </c>
      <c r="BA74" t="s">
        <v>74</v>
      </c>
      <c r="BB74" t="s">
        <v>74</v>
      </c>
      <c r="BC74" t="s">
        <v>74</v>
      </c>
      <c r="BD74" t="s">
        <v>1778</v>
      </c>
      <c r="BE74" t="s">
        <v>1779</v>
      </c>
      <c r="BF74" t="str">
        <f>HYPERLINK("http://dx.doi.org/10.1029/2020JC016404","http://dx.doi.org/10.1029/2020JC016404")</f>
        <v>http://dx.doi.org/10.1029/2020JC016404</v>
      </c>
      <c r="BG74" t="s">
        <v>74</v>
      </c>
      <c r="BH74" t="s">
        <v>74</v>
      </c>
      <c r="BI74">
        <v>20</v>
      </c>
      <c r="BJ74" t="s">
        <v>1283</v>
      </c>
      <c r="BK74" t="s">
        <v>100</v>
      </c>
      <c r="BL74" t="s">
        <v>1283</v>
      </c>
      <c r="BM74" t="s">
        <v>1765</v>
      </c>
      <c r="BN74" t="s">
        <v>74</v>
      </c>
      <c r="BO74" t="s">
        <v>701</v>
      </c>
      <c r="BP74" t="s">
        <v>74</v>
      </c>
      <c r="BQ74" t="s">
        <v>74</v>
      </c>
      <c r="BR74" t="s">
        <v>104</v>
      </c>
      <c r="BS74" t="s">
        <v>1780</v>
      </c>
      <c r="BT74" t="str">
        <f>HYPERLINK("https%3A%2F%2Fwww.webofscience.com%2Fwos%2Fwoscc%2Ffull-record%2FWOS:000595724300027","View Full Record in Web of Science")</f>
        <v>View Full Record in Web of Science</v>
      </c>
    </row>
    <row r="75" spans="1:72" x14ac:dyDescent="0.15">
      <c r="A75" t="s">
        <v>72</v>
      </c>
      <c r="B75" t="s">
        <v>1781</v>
      </c>
      <c r="C75" t="s">
        <v>74</v>
      </c>
      <c r="D75" t="s">
        <v>74</v>
      </c>
      <c r="E75" t="s">
        <v>74</v>
      </c>
      <c r="F75" t="s">
        <v>1782</v>
      </c>
      <c r="G75" t="s">
        <v>74</v>
      </c>
      <c r="H75" t="s">
        <v>74</v>
      </c>
      <c r="I75" t="s">
        <v>1783</v>
      </c>
      <c r="J75" t="s">
        <v>1747</v>
      </c>
      <c r="K75" t="s">
        <v>74</v>
      </c>
      <c r="L75" t="s">
        <v>74</v>
      </c>
      <c r="M75" t="s">
        <v>78</v>
      </c>
      <c r="N75" t="s">
        <v>79</v>
      </c>
      <c r="O75" t="s">
        <v>74</v>
      </c>
      <c r="P75" t="s">
        <v>74</v>
      </c>
      <c r="Q75" t="s">
        <v>74</v>
      </c>
      <c r="R75" t="s">
        <v>74</v>
      </c>
      <c r="S75" t="s">
        <v>74</v>
      </c>
      <c r="T75" t="s">
        <v>74</v>
      </c>
      <c r="U75" t="s">
        <v>1784</v>
      </c>
      <c r="V75" t="s">
        <v>1785</v>
      </c>
      <c r="W75" t="s">
        <v>1786</v>
      </c>
      <c r="X75" t="s">
        <v>1787</v>
      </c>
      <c r="Y75" t="s">
        <v>1788</v>
      </c>
      <c r="Z75" t="s">
        <v>1789</v>
      </c>
      <c r="AA75" t="s">
        <v>74</v>
      </c>
      <c r="AB75" t="s">
        <v>1790</v>
      </c>
      <c r="AC75" t="s">
        <v>1791</v>
      </c>
      <c r="AD75" t="s">
        <v>1758</v>
      </c>
      <c r="AE75" t="s">
        <v>74</v>
      </c>
      <c r="AF75" t="s">
        <v>74</v>
      </c>
      <c r="AG75">
        <v>72</v>
      </c>
      <c r="AH75">
        <v>2</v>
      </c>
      <c r="AI75">
        <v>2</v>
      </c>
      <c r="AJ75">
        <v>1</v>
      </c>
      <c r="AK75">
        <v>9</v>
      </c>
      <c r="AL75" t="s">
        <v>1710</v>
      </c>
      <c r="AM75" t="s">
        <v>609</v>
      </c>
      <c r="AN75" t="s">
        <v>1711</v>
      </c>
      <c r="AO75" t="s">
        <v>1759</v>
      </c>
      <c r="AP75" t="s">
        <v>1760</v>
      </c>
      <c r="AQ75" t="s">
        <v>74</v>
      </c>
      <c r="AR75" t="s">
        <v>1761</v>
      </c>
      <c r="AS75" t="s">
        <v>1762</v>
      </c>
      <c r="AT75" t="s">
        <v>1212</v>
      </c>
      <c r="AU75">
        <v>2020</v>
      </c>
      <c r="AV75">
        <v>125</v>
      </c>
      <c r="AW75">
        <v>11</v>
      </c>
      <c r="AX75" t="s">
        <v>74</v>
      </c>
      <c r="AY75" t="s">
        <v>74</v>
      </c>
      <c r="AZ75" t="s">
        <v>74</v>
      </c>
      <c r="BA75" t="s">
        <v>74</v>
      </c>
      <c r="BB75" t="s">
        <v>74</v>
      </c>
      <c r="BC75" t="s">
        <v>74</v>
      </c>
      <c r="BD75" t="s">
        <v>1792</v>
      </c>
      <c r="BE75" t="s">
        <v>1793</v>
      </c>
      <c r="BF75" t="str">
        <f>HYPERLINK("http://dx.doi.org/10.1029/2019JC015104","http://dx.doi.org/10.1029/2019JC015104")</f>
        <v>http://dx.doi.org/10.1029/2019JC015104</v>
      </c>
      <c r="BG75" t="s">
        <v>74</v>
      </c>
      <c r="BH75" t="s">
        <v>74</v>
      </c>
      <c r="BI75">
        <v>15</v>
      </c>
      <c r="BJ75" t="s">
        <v>1283</v>
      </c>
      <c r="BK75" t="s">
        <v>100</v>
      </c>
      <c r="BL75" t="s">
        <v>1283</v>
      </c>
      <c r="BM75" t="s">
        <v>1765</v>
      </c>
      <c r="BN75" t="s">
        <v>74</v>
      </c>
      <c r="BO75" t="s">
        <v>1794</v>
      </c>
      <c r="BP75" t="s">
        <v>74</v>
      </c>
      <c r="BQ75" t="s">
        <v>74</v>
      </c>
      <c r="BR75" t="s">
        <v>104</v>
      </c>
      <c r="BS75" t="s">
        <v>1795</v>
      </c>
      <c r="BT75" t="str">
        <f>HYPERLINK("https%3A%2F%2Fwww.webofscience.com%2Fwos%2Fwoscc%2Ffull-record%2FWOS:000595724300018","View Full Record in Web of Science")</f>
        <v>View Full Record in Web of Science</v>
      </c>
    </row>
    <row r="76" spans="1:72" x14ac:dyDescent="0.15">
      <c r="A76" t="s">
        <v>72</v>
      </c>
      <c r="B76" t="s">
        <v>1796</v>
      </c>
      <c r="C76" t="s">
        <v>74</v>
      </c>
      <c r="D76" t="s">
        <v>74</v>
      </c>
      <c r="E76" t="s">
        <v>74</v>
      </c>
      <c r="F76" t="s">
        <v>1797</v>
      </c>
      <c r="G76" t="s">
        <v>74</v>
      </c>
      <c r="H76" t="s">
        <v>74</v>
      </c>
      <c r="I76" t="s">
        <v>1798</v>
      </c>
      <c r="J76" t="s">
        <v>1747</v>
      </c>
      <c r="K76" t="s">
        <v>74</v>
      </c>
      <c r="L76" t="s">
        <v>74</v>
      </c>
      <c r="M76" t="s">
        <v>78</v>
      </c>
      <c r="N76" t="s">
        <v>79</v>
      </c>
      <c r="O76" t="s">
        <v>74</v>
      </c>
      <c r="P76" t="s">
        <v>74</v>
      </c>
      <c r="Q76" t="s">
        <v>74</v>
      </c>
      <c r="R76" t="s">
        <v>74</v>
      </c>
      <c r="S76" t="s">
        <v>74</v>
      </c>
      <c r="T76" t="s">
        <v>1799</v>
      </c>
      <c r="U76" t="s">
        <v>1800</v>
      </c>
      <c r="V76" t="s">
        <v>1801</v>
      </c>
      <c r="W76" t="s">
        <v>1802</v>
      </c>
      <c r="X76" t="s">
        <v>1803</v>
      </c>
      <c r="Y76" t="s">
        <v>1804</v>
      </c>
      <c r="Z76" t="s">
        <v>1805</v>
      </c>
      <c r="AA76" t="s">
        <v>1806</v>
      </c>
      <c r="AB76" t="s">
        <v>1807</v>
      </c>
      <c r="AC76" t="s">
        <v>74</v>
      </c>
      <c r="AD76" t="s">
        <v>74</v>
      </c>
      <c r="AE76" t="s">
        <v>74</v>
      </c>
      <c r="AF76" t="s">
        <v>74</v>
      </c>
      <c r="AG76">
        <v>103</v>
      </c>
      <c r="AH76">
        <v>10</v>
      </c>
      <c r="AI76">
        <v>11</v>
      </c>
      <c r="AJ76">
        <v>3</v>
      </c>
      <c r="AK76">
        <v>24</v>
      </c>
      <c r="AL76" t="s">
        <v>1710</v>
      </c>
      <c r="AM76" t="s">
        <v>609</v>
      </c>
      <c r="AN76" t="s">
        <v>1711</v>
      </c>
      <c r="AO76" t="s">
        <v>1759</v>
      </c>
      <c r="AP76" t="s">
        <v>1760</v>
      </c>
      <c r="AQ76" t="s">
        <v>74</v>
      </c>
      <c r="AR76" t="s">
        <v>1761</v>
      </c>
      <c r="AS76" t="s">
        <v>1762</v>
      </c>
      <c r="AT76" t="s">
        <v>1212</v>
      </c>
      <c r="AU76">
        <v>2020</v>
      </c>
      <c r="AV76">
        <v>125</v>
      </c>
      <c r="AW76">
        <v>11</v>
      </c>
      <c r="AX76" t="s">
        <v>74</v>
      </c>
      <c r="AY76" t="s">
        <v>74</v>
      </c>
      <c r="AZ76" t="s">
        <v>74</v>
      </c>
      <c r="BA76" t="s">
        <v>74</v>
      </c>
      <c r="BB76" t="s">
        <v>74</v>
      </c>
      <c r="BC76" t="s">
        <v>74</v>
      </c>
      <c r="BD76" t="s">
        <v>1808</v>
      </c>
      <c r="BE76" t="s">
        <v>1809</v>
      </c>
      <c r="BF76" t="str">
        <f>HYPERLINK("http://dx.doi.org/10.1029/2020JC016387","http://dx.doi.org/10.1029/2020JC016387")</f>
        <v>http://dx.doi.org/10.1029/2020JC016387</v>
      </c>
      <c r="BG76" t="s">
        <v>74</v>
      </c>
      <c r="BH76" t="s">
        <v>74</v>
      </c>
      <c r="BI76">
        <v>20</v>
      </c>
      <c r="BJ76" t="s">
        <v>1283</v>
      </c>
      <c r="BK76" t="s">
        <v>100</v>
      </c>
      <c r="BL76" t="s">
        <v>1283</v>
      </c>
      <c r="BM76" t="s">
        <v>1765</v>
      </c>
      <c r="BN76" t="s">
        <v>74</v>
      </c>
      <c r="BO76" t="s">
        <v>1259</v>
      </c>
      <c r="BP76" t="s">
        <v>74</v>
      </c>
      <c r="BQ76" t="s">
        <v>74</v>
      </c>
      <c r="BR76" t="s">
        <v>104</v>
      </c>
      <c r="BS76" t="s">
        <v>1810</v>
      </c>
      <c r="BT76" t="str">
        <f>HYPERLINK("https%3A%2F%2Fwww.webofscience.com%2Fwos%2Fwoscc%2Ffull-record%2FWOS:000595724300016","View Full Record in Web of Science")</f>
        <v>View Full Record in Web of Science</v>
      </c>
    </row>
    <row r="77" spans="1:72" x14ac:dyDescent="0.15">
      <c r="A77" t="s">
        <v>72</v>
      </c>
      <c r="B77" t="s">
        <v>1811</v>
      </c>
      <c r="C77" t="s">
        <v>74</v>
      </c>
      <c r="D77" t="s">
        <v>74</v>
      </c>
      <c r="E77" t="s">
        <v>74</v>
      </c>
      <c r="F77" t="s">
        <v>1812</v>
      </c>
      <c r="G77" t="s">
        <v>74</v>
      </c>
      <c r="H77" t="s">
        <v>74</v>
      </c>
      <c r="I77" t="s">
        <v>1813</v>
      </c>
      <c r="J77" t="s">
        <v>1747</v>
      </c>
      <c r="K77" t="s">
        <v>74</v>
      </c>
      <c r="L77" t="s">
        <v>74</v>
      </c>
      <c r="M77" t="s">
        <v>78</v>
      </c>
      <c r="N77" t="s">
        <v>79</v>
      </c>
      <c r="O77" t="s">
        <v>74</v>
      </c>
      <c r="P77" t="s">
        <v>74</v>
      </c>
      <c r="Q77" t="s">
        <v>74</v>
      </c>
      <c r="R77" t="s">
        <v>74</v>
      </c>
      <c r="S77" t="s">
        <v>74</v>
      </c>
      <c r="T77" t="s">
        <v>1814</v>
      </c>
      <c r="U77" t="s">
        <v>1815</v>
      </c>
      <c r="V77" t="s">
        <v>1816</v>
      </c>
      <c r="W77" t="s">
        <v>1817</v>
      </c>
      <c r="X77" t="s">
        <v>1818</v>
      </c>
      <c r="Y77" t="s">
        <v>1819</v>
      </c>
      <c r="Z77" t="s">
        <v>1820</v>
      </c>
      <c r="AA77" t="s">
        <v>1821</v>
      </c>
      <c r="AB77" t="s">
        <v>1822</v>
      </c>
      <c r="AC77" t="s">
        <v>74</v>
      </c>
      <c r="AD77" t="s">
        <v>74</v>
      </c>
      <c r="AE77" t="s">
        <v>74</v>
      </c>
      <c r="AF77" t="s">
        <v>74</v>
      </c>
      <c r="AG77">
        <v>44</v>
      </c>
      <c r="AH77">
        <v>8</v>
      </c>
      <c r="AI77">
        <v>9</v>
      </c>
      <c r="AJ77">
        <v>0</v>
      </c>
      <c r="AK77">
        <v>4</v>
      </c>
      <c r="AL77" t="s">
        <v>1710</v>
      </c>
      <c r="AM77" t="s">
        <v>609</v>
      </c>
      <c r="AN77" t="s">
        <v>1711</v>
      </c>
      <c r="AO77" t="s">
        <v>1759</v>
      </c>
      <c r="AP77" t="s">
        <v>1760</v>
      </c>
      <c r="AQ77" t="s">
        <v>74</v>
      </c>
      <c r="AR77" t="s">
        <v>1761</v>
      </c>
      <c r="AS77" t="s">
        <v>1762</v>
      </c>
      <c r="AT77" t="s">
        <v>1212</v>
      </c>
      <c r="AU77">
        <v>2020</v>
      </c>
      <c r="AV77">
        <v>125</v>
      </c>
      <c r="AW77">
        <v>11</v>
      </c>
      <c r="AX77" t="s">
        <v>74</v>
      </c>
      <c r="AY77" t="s">
        <v>74</v>
      </c>
      <c r="AZ77" t="s">
        <v>74</v>
      </c>
      <c r="BA77" t="s">
        <v>74</v>
      </c>
      <c r="BB77" t="s">
        <v>74</v>
      </c>
      <c r="BC77" t="s">
        <v>74</v>
      </c>
      <c r="BD77" t="s">
        <v>1823</v>
      </c>
      <c r="BE77" t="s">
        <v>1824</v>
      </c>
      <c r="BF77" t="str">
        <f>HYPERLINK("http://dx.doi.org/10.1029/2020JC016459","http://dx.doi.org/10.1029/2020JC016459")</f>
        <v>http://dx.doi.org/10.1029/2020JC016459</v>
      </c>
      <c r="BG77" t="s">
        <v>74</v>
      </c>
      <c r="BH77" t="s">
        <v>74</v>
      </c>
      <c r="BI77">
        <v>14</v>
      </c>
      <c r="BJ77" t="s">
        <v>1283</v>
      </c>
      <c r="BK77" t="s">
        <v>100</v>
      </c>
      <c r="BL77" t="s">
        <v>1283</v>
      </c>
      <c r="BM77" t="s">
        <v>1765</v>
      </c>
      <c r="BN77" t="s">
        <v>74</v>
      </c>
      <c r="BO77" t="s">
        <v>1825</v>
      </c>
      <c r="BP77" t="s">
        <v>74</v>
      </c>
      <c r="BQ77" t="s">
        <v>74</v>
      </c>
      <c r="BR77" t="s">
        <v>104</v>
      </c>
      <c r="BS77" t="s">
        <v>1826</v>
      </c>
      <c r="BT77" t="str">
        <f>HYPERLINK("https%3A%2F%2Fwww.webofscience.com%2Fwos%2Fwoscc%2Ffull-record%2FWOS:000595724300004","View Full Record in Web of Science")</f>
        <v>View Full Record in Web of Science</v>
      </c>
    </row>
    <row r="78" spans="1:72" x14ac:dyDescent="0.15">
      <c r="A78" t="s">
        <v>72</v>
      </c>
      <c r="B78" t="s">
        <v>1827</v>
      </c>
      <c r="C78" t="s">
        <v>74</v>
      </c>
      <c r="D78" t="s">
        <v>74</v>
      </c>
      <c r="E78" t="s">
        <v>74</v>
      </c>
      <c r="F78" t="s">
        <v>1828</v>
      </c>
      <c r="G78" t="s">
        <v>74</v>
      </c>
      <c r="H78" t="s">
        <v>74</v>
      </c>
      <c r="I78" t="s">
        <v>1829</v>
      </c>
      <c r="J78" t="s">
        <v>1830</v>
      </c>
      <c r="K78" t="s">
        <v>74</v>
      </c>
      <c r="L78" t="s">
        <v>74</v>
      </c>
      <c r="M78" t="s">
        <v>78</v>
      </c>
      <c r="N78" t="s">
        <v>79</v>
      </c>
      <c r="O78" t="s">
        <v>74</v>
      </c>
      <c r="P78" t="s">
        <v>74</v>
      </c>
      <c r="Q78" t="s">
        <v>74</v>
      </c>
      <c r="R78" t="s">
        <v>74</v>
      </c>
      <c r="S78" t="s">
        <v>74</v>
      </c>
      <c r="T78" t="s">
        <v>1831</v>
      </c>
      <c r="U78" t="s">
        <v>1832</v>
      </c>
      <c r="V78" t="s">
        <v>1833</v>
      </c>
      <c r="W78" t="s">
        <v>1834</v>
      </c>
      <c r="X78" t="s">
        <v>1835</v>
      </c>
      <c r="Y78" t="s">
        <v>1836</v>
      </c>
      <c r="Z78" t="s">
        <v>1837</v>
      </c>
      <c r="AA78" t="s">
        <v>1838</v>
      </c>
      <c r="AB78" t="s">
        <v>1839</v>
      </c>
      <c r="AC78" t="s">
        <v>1840</v>
      </c>
      <c r="AD78" t="s">
        <v>1841</v>
      </c>
      <c r="AE78" t="s">
        <v>1842</v>
      </c>
      <c r="AF78" t="s">
        <v>74</v>
      </c>
      <c r="AG78">
        <v>53</v>
      </c>
      <c r="AH78">
        <v>13</v>
      </c>
      <c r="AI78">
        <v>14</v>
      </c>
      <c r="AJ78">
        <v>1</v>
      </c>
      <c r="AK78">
        <v>20</v>
      </c>
      <c r="AL78" t="s">
        <v>1710</v>
      </c>
      <c r="AM78" t="s">
        <v>609</v>
      </c>
      <c r="AN78" t="s">
        <v>1711</v>
      </c>
      <c r="AO78" t="s">
        <v>1843</v>
      </c>
      <c r="AP78" t="s">
        <v>1844</v>
      </c>
      <c r="AQ78" t="s">
        <v>74</v>
      </c>
      <c r="AR78" t="s">
        <v>1845</v>
      </c>
      <c r="AS78" t="s">
        <v>1846</v>
      </c>
      <c r="AT78" t="s">
        <v>1212</v>
      </c>
      <c r="AU78">
        <v>2020</v>
      </c>
      <c r="AV78">
        <v>125</v>
      </c>
      <c r="AW78">
        <v>11</v>
      </c>
      <c r="AX78" t="s">
        <v>74</v>
      </c>
      <c r="AY78" t="s">
        <v>74</v>
      </c>
      <c r="AZ78" t="s">
        <v>74</v>
      </c>
      <c r="BA78" t="s">
        <v>74</v>
      </c>
      <c r="BB78" t="s">
        <v>74</v>
      </c>
      <c r="BC78" t="s">
        <v>74</v>
      </c>
      <c r="BD78" t="s">
        <v>1847</v>
      </c>
      <c r="BE78" t="s">
        <v>1848</v>
      </c>
      <c r="BF78" t="str">
        <f>HYPERLINK("http://dx.doi.org/10.1029/2020JA028257","http://dx.doi.org/10.1029/2020JA028257")</f>
        <v>http://dx.doi.org/10.1029/2020JA028257</v>
      </c>
      <c r="BG78" t="s">
        <v>74</v>
      </c>
      <c r="BH78" t="s">
        <v>74</v>
      </c>
      <c r="BI78">
        <v>16</v>
      </c>
      <c r="BJ78" t="s">
        <v>1849</v>
      </c>
      <c r="BK78" t="s">
        <v>100</v>
      </c>
      <c r="BL78" t="s">
        <v>1849</v>
      </c>
      <c r="BM78" t="s">
        <v>1850</v>
      </c>
      <c r="BN78" t="s">
        <v>74</v>
      </c>
      <c r="BO78" t="s">
        <v>74</v>
      </c>
      <c r="BP78" t="s">
        <v>74</v>
      </c>
      <c r="BQ78" t="s">
        <v>74</v>
      </c>
      <c r="BR78" t="s">
        <v>104</v>
      </c>
      <c r="BS78" t="s">
        <v>1851</v>
      </c>
      <c r="BT78" t="str">
        <f>HYPERLINK("https%3A%2F%2Fwww.webofscience.com%2Fwos%2Fwoscc%2Ffull-record%2FWOS:000595859400012","View Full Record in Web of Science")</f>
        <v>View Full Record in Web of Science</v>
      </c>
    </row>
    <row r="79" spans="1:72" x14ac:dyDescent="0.15">
      <c r="A79" t="s">
        <v>72</v>
      </c>
      <c r="B79" t="s">
        <v>1852</v>
      </c>
      <c r="C79" t="s">
        <v>74</v>
      </c>
      <c r="D79" t="s">
        <v>74</v>
      </c>
      <c r="E79" t="s">
        <v>74</v>
      </c>
      <c r="F79" t="s">
        <v>1853</v>
      </c>
      <c r="G79" t="s">
        <v>74</v>
      </c>
      <c r="H79" t="s">
        <v>74</v>
      </c>
      <c r="I79" t="s">
        <v>1854</v>
      </c>
      <c r="J79" t="s">
        <v>1855</v>
      </c>
      <c r="K79" t="s">
        <v>74</v>
      </c>
      <c r="L79" t="s">
        <v>74</v>
      </c>
      <c r="M79" t="s">
        <v>78</v>
      </c>
      <c r="N79" t="s">
        <v>79</v>
      </c>
      <c r="O79" t="s">
        <v>74</v>
      </c>
      <c r="P79" t="s">
        <v>74</v>
      </c>
      <c r="Q79" t="s">
        <v>74</v>
      </c>
      <c r="R79" t="s">
        <v>74</v>
      </c>
      <c r="S79" t="s">
        <v>74</v>
      </c>
      <c r="T79" t="s">
        <v>74</v>
      </c>
      <c r="U79" t="s">
        <v>1856</v>
      </c>
      <c r="V79" t="s">
        <v>1857</v>
      </c>
      <c r="W79" t="s">
        <v>1858</v>
      </c>
      <c r="X79" t="s">
        <v>1859</v>
      </c>
      <c r="Y79" t="s">
        <v>1860</v>
      </c>
      <c r="Z79" t="s">
        <v>1861</v>
      </c>
      <c r="AA79" t="s">
        <v>1862</v>
      </c>
      <c r="AB79" t="s">
        <v>1863</v>
      </c>
      <c r="AC79" t="s">
        <v>1864</v>
      </c>
      <c r="AD79" t="s">
        <v>1865</v>
      </c>
      <c r="AE79" t="s">
        <v>1866</v>
      </c>
      <c r="AF79" t="s">
        <v>74</v>
      </c>
      <c r="AG79">
        <v>122</v>
      </c>
      <c r="AH79">
        <v>32</v>
      </c>
      <c r="AI79">
        <v>34</v>
      </c>
      <c r="AJ79">
        <v>1</v>
      </c>
      <c r="AK79">
        <v>17</v>
      </c>
      <c r="AL79" t="s">
        <v>1710</v>
      </c>
      <c r="AM79" t="s">
        <v>609</v>
      </c>
      <c r="AN79" t="s">
        <v>1711</v>
      </c>
      <c r="AO79" t="s">
        <v>1867</v>
      </c>
      <c r="AP79" t="s">
        <v>1868</v>
      </c>
      <c r="AQ79" t="s">
        <v>74</v>
      </c>
      <c r="AR79" t="s">
        <v>1869</v>
      </c>
      <c r="AS79" t="s">
        <v>1870</v>
      </c>
      <c r="AT79" t="s">
        <v>1212</v>
      </c>
      <c r="AU79">
        <v>2020</v>
      </c>
      <c r="AV79">
        <v>35</v>
      </c>
      <c r="AW79">
        <v>11</v>
      </c>
      <c r="AX79" t="s">
        <v>74</v>
      </c>
      <c r="AY79" t="s">
        <v>74</v>
      </c>
      <c r="AZ79" t="s">
        <v>74</v>
      </c>
      <c r="BA79" t="s">
        <v>74</v>
      </c>
      <c r="BB79" t="s">
        <v>74</v>
      </c>
      <c r="BC79" t="s">
        <v>74</v>
      </c>
      <c r="BD79" t="s">
        <v>1871</v>
      </c>
      <c r="BE79" t="s">
        <v>1872</v>
      </c>
      <c r="BF79" t="str">
        <f>HYPERLINK("http://dx.doi.org/10.1029/2020PA003927","http://dx.doi.org/10.1029/2020PA003927")</f>
        <v>http://dx.doi.org/10.1029/2020PA003927</v>
      </c>
      <c r="BG79" t="s">
        <v>74</v>
      </c>
      <c r="BH79" t="s">
        <v>74</v>
      </c>
      <c r="BI79">
        <v>23</v>
      </c>
      <c r="BJ79" t="s">
        <v>1873</v>
      </c>
      <c r="BK79" t="s">
        <v>100</v>
      </c>
      <c r="BL79" t="s">
        <v>1874</v>
      </c>
      <c r="BM79" t="s">
        <v>1875</v>
      </c>
      <c r="BN79" t="s">
        <v>74</v>
      </c>
      <c r="BO79" t="s">
        <v>1876</v>
      </c>
      <c r="BP79" t="s">
        <v>74</v>
      </c>
      <c r="BQ79" t="s">
        <v>74</v>
      </c>
      <c r="BR79" t="s">
        <v>104</v>
      </c>
      <c r="BS79" t="s">
        <v>1877</v>
      </c>
      <c r="BT79" t="str">
        <f>HYPERLINK("https%3A%2F%2Fwww.webofscience.com%2Fwos%2Fwoscc%2Ffull-record%2FWOS:000595926100008","View Full Record in Web of Science")</f>
        <v>View Full Record in Web of Science</v>
      </c>
    </row>
    <row r="80" spans="1:72" x14ac:dyDescent="0.15">
      <c r="A80" t="s">
        <v>72</v>
      </c>
      <c r="B80" t="s">
        <v>1878</v>
      </c>
      <c r="C80" t="s">
        <v>74</v>
      </c>
      <c r="D80" t="s">
        <v>74</v>
      </c>
      <c r="E80" t="s">
        <v>74</v>
      </c>
      <c r="F80" t="s">
        <v>1879</v>
      </c>
      <c r="G80" t="s">
        <v>74</v>
      </c>
      <c r="H80" t="s">
        <v>74</v>
      </c>
      <c r="I80" t="s">
        <v>1880</v>
      </c>
      <c r="J80" t="s">
        <v>1855</v>
      </c>
      <c r="K80" t="s">
        <v>74</v>
      </c>
      <c r="L80" t="s">
        <v>74</v>
      </c>
      <c r="M80" t="s">
        <v>78</v>
      </c>
      <c r="N80" t="s">
        <v>79</v>
      </c>
      <c r="O80" t="s">
        <v>74</v>
      </c>
      <c r="P80" t="s">
        <v>74</v>
      </c>
      <c r="Q80" t="s">
        <v>74</v>
      </c>
      <c r="R80" t="s">
        <v>74</v>
      </c>
      <c r="S80" t="s">
        <v>74</v>
      </c>
      <c r="T80" t="s">
        <v>1881</v>
      </c>
      <c r="U80" t="s">
        <v>1882</v>
      </c>
      <c r="V80" t="s">
        <v>1883</v>
      </c>
      <c r="W80" t="s">
        <v>1884</v>
      </c>
      <c r="X80" t="s">
        <v>1885</v>
      </c>
      <c r="Y80" t="s">
        <v>1886</v>
      </c>
      <c r="Z80" t="s">
        <v>1887</v>
      </c>
      <c r="AA80" t="s">
        <v>1888</v>
      </c>
      <c r="AB80" t="s">
        <v>1889</v>
      </c>
      <c r="AC80" t="s">
        <v>1890</v>
      </c>
      <c r="AD80" t="s">
        <v>1890</v>
      </c>
      <c r="AE80" t="s">
        <v>1891</v>
      </c>
      <c r="AF80" t="s">
        <v>74</v>
      </c>
      <c r="AG80">
        <v>59</v>
      </c>
      <c r="AH80">
        <v>3</v>
      </c>
      <c r="AI80">
        <v>3</v>
      </c>
      <c r="AJ80">
        <v>3</v>
      </c>
      <c r="AK80">
        <v>6</v>
      </c>
      <c r="AL80" t="s">
        <v>1710</v>
      </c>
      <c r="AM80" t="s">
        <v>609</v>
      </c>
      <c r="AN80" t="s">
        <v>1711</v>
      </c>
      <c r="AO80" t="s">
        <v>1867</v>
      </c>
      <c r="AP80" t="s">
        <v>1868</v>
      </c>
      <c r="AQ80" t="s">
        <v>74</v>
      </c>
      <c r="AR80" t="s">
        <v>1869</v>
      </c>
      <c r="AS80" t="s">
        <v>1870</v>
      </c>
      <c r="AT80" t="s">
        <v>1212</v>
      </c>
      <c r="AU80">
        <v>2020</v>
      </c>
      <c r="AV80">
        <v>35</v>
      </c>
      <c r="AW80">
        <v>11</v>
      </c>
      <c r="AX80" t="s">
        <v>74</v>
      </c>
      <c r="AY80" t="s">
        <v>74</v>
      </c>
      <c r="AZ80" t="s">
        <v>74</v>
      </c>
      <c r="BA80" t="s">
        <v>74</v>
      </c>
      <c r="BB80" t="s">
        <v>74</v>
      </c>
      <c r="BC80" t="s">
        <v>74</v>
      </c>
      <c r="BD80" t="s">
        <v>1892</v>
      </c>
      <c r="BE80" t="s">
        <v>1893</v>
      </c>
      <c r="BF80" t="str">
        <f>HYPERLINK("http://dx.doi.org/10.1029/2020PA003971","http://dx.doi.org/10.1029/2020PA003971")</f>
        <v>http://dx.doi.org/10.1029/2020PA003971</v>
      </c>
      <c r="BG80" t="s">
        <v>74</v>
      </c>
      <c r="BH80" t="s">
        <v>74</v>
      </c>
      <c r="BI80">
        <v>15</v>
      </c>
      <c r="BJ80" t="s">
        <v>1873</v>
      </c>
      <c r="BK80" t="s">
        <v>100</v>
      </c>
      <c r="BL80" t="s">
        <v>1874</v>
      </c>
      <c r="BM80" t="s">
        <v>1875</v>
      </c>
      <c r="BN80" t="s">
        <v>74</v>
      </c>
      <c r="BO80" t="s">
        <v>1894</v>
      </c>
      <c r="BP80" t="s">
        <v>74</v>
      </c>
      <c r="BQ80" t="s">
        <v>74</v>
      </c>
      <c r="BR80" t="s">
        <v>104</v>
      </c>
      <c r="BS80" t="s">
        <v>1895</v>
      </c>
      <c r="BT80" t="str">
        <f>HYPERLINK("https%3A%2F%2Fwww.webofscience.com%2Fwos%2Fwoscc%2Ffull-record%2FWOS:000595926100003","View Full Record in Web of Science")</f>
        <v>View Full Record in Web of Science</v>
      </c>
    </row>
    <row r="81" spans="1:72" x14ac:dyDescent="0.15">
      <c r="A81" t="s">
        <v>72</v>
      </c>
      <c r="B81" t="s">
        <v>1896</v>
      </c>
      <c r="C81" t="s">
        <v>74</v>
      </c>
      <c r="D81" t="s">
        <v>74</v>
      </c>
      <c r="E81" t="s">
        <v>74</v>
      </c>
      <c r="F81" t="s">
        <v>1897</v>
      </c>
      <c r="G81" t="s">
        <v>74</v>
      </c>
      <c r="H81" t="s">
        <v>74</v>
      </c>
      <c r="I81" t="s">
        <v>1898</v>
      </c>
      <c r="J81" t="s">
        <v>1899</v>
      </c>
      <c r="K81" t="s">
        <v>74</v>
      </c>
      <c r="L81" t="s">
        <v>74</v>
      </c>
      <c r="M81" t="s">
        <v>78</v>
      </c>
      <c r="N81" t="s">
        <v>79</v>
      </c>
      <c r="O81" t="s">
        <v>74</v>
      </c>
      <c r="P81" t="s">
        <v>74</v>
      </c>
      <c r="Q81" t="s">
        <v>74</v>
      </c>
      <c r="R81" t="s">
        <v>74</v>
      </c>
      <c r="S81" t="s">
        <v>74</v>
      </c>
      <c r="T81" t="s">
        <v>1900</v>
      </c>
      <c r="U81" t="s">
        <v>1901</v>
      </c>
      <c r="V81" t="s">
        <v>1902</v>
      </c>
      <c r="W81" t="s">
        <v>1903</v>
      </c>
      <c r="X81" t="s">
        <v>1904</v>
      </c>
      <c r="Y81" t="s">
        <v>1905</v>
      </c>
      <c r="Z81" t="s">
        <v>1906</v>
      </c>
      <c r="AA81" t="s">
        <v>1907</v>
      </c>
      <c r="AB81" t="s">
        <v>1908</v>
      </c>
      <c r="AC81" t="s">
        <v>1909</v>
      </c>
      <c r="AD81" t="s">
        <v>1910</v>
      </c>
      <c r="AE81" t="s">
        <v>1911</v>
      </c>
      <c r="AF81" t="s">
        <v>74</v>
      </c>
      <c r="AG81">
        <v>146</v>
      </c>
      <c r="AH81">
        <v>17</v>
      </c>
      <c r="AI81">
        <v>17</v>
      </c>
      <c r="AJ81">
        <v>0</v>
      </c>
      <c r="AK81">
        <v>8</v>
      </c>
      <c r="AL81" t="s">
        <v>1710</v>
      </c>
      <c r="AM81" t="s">
        <v>609</v>
      </c>
      <c r="AN81" t="s">
        <v>1711</v>
      </c>
      <c r="AO81" t="s">
        <v>74</v>
      </c>
      <c r="AP81" t="s">
        <v>1912</v>
      </c>
      <c r="AQ81" t="s">
        <v>74</v>
      </c>
      <c r="AR81" t="s">
        <v>1913</v>
      </c>
      <c r="AS81" t="s">
        <v>1914</v>
      </c>
      <c r="AT81" t="s">
        <v>1212</v>
      </c>
      <c r="AU81">
        <v>2020</v>
      </c>
      <c r="AV81">
        <v>18</v>
      </c>
      <c r="AW81">
        <v>11</v>
      </c>
      <c r="AX81" t="s">
        <v>74</v>
      </c>
      <c r="AY81" t="s">
        <v>74</v>
      </c>
      <c r="AZ81" t="s">
        <v>74</v>
      </c>
      <c r="BA81" t="s">
        <v>74</v>
      </c>
      <c r="BB81" t="s">
        <v>74</v>
      </c>
      <c r="BC81" t="s">
        <v>74</v>
      </c>
      <c r="BD81" t="s">
        <v>1915</v>
      </c>
      <c r="BE81" t="s">
        <v>1916</v>
      </c>
      <c r="BF81" t="str">
        <f>HYPERLINK("http://dx.doi.org/10.1029/2020SW002603","http://dx.doi.org/10.1029/2020SW002603")</f>
        <v>http://dx.doi.org/10.1029/2020SW002603</v>
      </c>
      <c r="BG81" t="s">
        <v>74</v>
      </c>
      <c r="BH81" t="s">
        <v>74</v>
      </c>
      <c r="BI81">
        <v>24</v>
      </c>
      <c r="BJ81" t="s">
        <v>1917</v>
      </c>
      <c r="BK81" t="s">
        <v>100</v>
      </c>
      <c r="BL81" t="s">
        <v>1917</v>
      </c>
      <c r="BM81" t="s">
        <v>1918</v>
      </c>
      <c r="BN81" t="s">
        <v>74</v>
      </c>
      <c r="BO81" t="s">
        <v>1919</v>
      </c>
      <c r="BP81" t="s">
        <v>74</v>
      </c>
      <c r="BQ81" t="s">
        <v>74</v>
      </c>
      <c r="BR81" t="s">
        <v>104</v>
      </c>
      <c r="BS81" t="s">
        <v>1920</v>
      </c>
      <c r="BT81" t="str">
        <f>HYPERLINK("https%3A%2F%2Fwww.webofscience.com%2Fwos%2Fwoscc%2Ffull-record%2FWOS:000595860300003","View Full Record in Web of Science")</f>
        <v>View Full Record in Web of Science</v>
      </c>
    </row>
    <row r="82" spans="1:72" x14ac:dyDescent="0.15">
      <c r="A82" t="s">
        <v>72</v>
      </c>
      <c r="B82" t="s">
        <v>1921</v>
      </c>
      <c r="C82" t="s">
        <v>74</v>
      </c>
      <c r="D82" t="s">
        <v>74</v>
      </c>
      <c r="E82" t="s">
        <v>74</v>
      </c>
      <c r="F82" t="s">
        <v>1922</v>
      </c>
      <c r="G82" t="s">
        <v>74</v>
      </c>
      <c r="H82" t="s">
        <v>74</v>
      </c>
      <c r="I82" t="s">
        <v>1923</v>
      </c>
      <c r="J82" t="s">
        <v>1924</v>
      </c>
      <c r="K82" t="s">
        <v>74</v>
      </c>
      <c r="L82" t="s">
        <v>74</v>
      </c>
      <c r="M82" t="s">
        <v>78</v>
      </c>
      <c r="N82" t="s">
        <v>79</v>
      </c>
      <c r="O82" t="s">
        <v>74</v>
      </c>
      <c r="P82" t="s">
        <v>74</v>
      </c>
      <c r="Q82" t="s">
        <v>74</v>
      </c>
      <c r="R82" t="s">
        <v>74</v>
      </c>
      <c r="S82" t="s">
        <v>74</v>
      </c>
      <c r="T82" t="s">
        <v>1925</v>
      </c>
      <c r="U82" t="s">
        <v>1926</v>
      </c>
      <c r="V82" t="s">
        <v>1927</v>
      </c>
      <c r="W82" t="s">
        <v>1928</v>
      </c>
      <c r="X82" t="s">
        <v>1929</v>
      </c>
      <c r="Y82" t="s">
        <v>1930</v>
      </c>
      <c r="Z82" t="s">
        <v>1931</v>
      </c>
      <c r="AA82" t="s">
        <v>1932</v>
      </c>
      <c r="AB82" t="s">
        <v>1933</v>
      </c>
      <c r="AC82" t="s">
        <v>1934</v>
      </c>
      <c r="AD82" t="s">
        <v>1935</v>
      </c>
      <c r="AE82" t="s">
        <v>1936</v>
      </c>
      <c r="AF82" t="s">
        <v>74</v>
      </c>
      <c r="AG82">
        <v>99</v>
      </c>
      <c r="AH82">
        <v>4</v>
      </c>
      <c r="AI82">
        <v>4</v>
      </c>
      <c r="AJ82">
        <v>1</v>
      </c>
      <c r="AK82">
        <v>9</v>
      </c>
      <c r="AL82" t="s">
        <v>1710</v>
      </c>
      <c r="AM82" t="s">
        <v>609</v>
      </c>
      <c r="AN82" t="s">
        <v>1711</v>
      </c>
      <c r="AO82" t="s">
        <v>74</v>
      </c>
      <c r="AP82" t="s">
        <v>1937</v>
      </c>
      <c r="AQ82" t="s">
        <v>74</v>
      </c>
      <c r="AR82" t="s">
        <v>1938</v>
      </c>
      <c r="AS82" t="s">
        <v>1939</v>
      </c>
      <c r="AT82" t="s">
        <v>1212</v>
      </c>
      <c r="AU82">
        <v>2020</v>
      </c>
      <c r="AV82">
        <v>21</v>
      </c>
      <c r="AW82">
        <v>11</v>
      </c>
      <c r="AX82" t="s">
        <v>74</v>
      </c>
      <c r="AY82" t="s">
        <v>74</v>
      </c>
      <c r="AZ82" t="s">
        <v>74</v>
      </c>
      <c r="BA82" t="s">
        <v>74</v>
      </c>
      <c r="BB82" t="s">
        <v>74</v>
      </c>
      <c r="BC82" t="s">
        <v>74</v>
      </c>
      <c r="BD82" t="s">
        <v>1940</v>
      </c>
      <c r="BE82" t="s">
        <v>1941</v>
      </c>
      <c r="BF82" t="str">
        <f>HYPERLINK("http://dx.doi.org/10.1029/2020GC009380","http://dx.doi.org/10.1029/2020GC009380")</f>
        <v>http://dx.doi.org/10.1029/2020GC009380</v>
      </c>
      <c r="BG82" t="s">
        <v>74</v>
      </c>
      <c r="BH82" t="s">
        <v>74</v>
      </c>
      <c r="BI82">
        <v>26</v>
      </c>
      <c r="BJ82" t="s">
        <v>1361</v>
      </c>
      <c r="BK82" t="s">
        <v>100</v>
      </c>
      <c r="BL82" t="s">
        <v>1361</v>
      </c>
      <c r="BM82" t="s">
        <v>1942</v>
      </c>
      <c r="BN82" t="s">
        <v>74</v>
      </c>
      <c r="BO82" t="s">
        <v>1943</v>
      </c>
      <c r="BP82" t="s">
        <v>74</v>
      </c>
      <c r="BQ82" t="s">
        <v>74</v>
      </c>
      <c r="BR82" t="s">
        <v>104</v>
      </c>
      <c r="BS82" t="s">
        <v>1944</v>
      </c>
      <c r="BT82" t="str">
        <f>HYPERLINK("https%3A%2F%2Fwww.webofscience.com%2Fwos%2Fwoscc%2Ffull-record%2FWOS:000595790900003","View Full Record in Web of Science")</f>
        <v>View Full Record in Web of Science</v>
      </c>
    </row>
    <row r="83" spans="1:72" x14ac:dyDescent="0.15">
      <c r="A83" t="s">
        <v>72</v>
      </c>
      <c r="B83" t="s">
        <v>1945</v>
      </c>
      <c r="C83" t="s">
        <v>74</v>
      </c>
      <c r="D83" t="s">
        <v>74</v>
      </c>
      <c r="E83" t="s">
        <v>74</v>
      </c>
      <c r="F83" t="s">
        <v>1946</v>
      </c>
      <c r="G83" t="s">
        <v>74</v>
      </c>
      <c r="H83" t="s">
        <v>74</v>
      </c>
      <c r="I83" t="s">
        <v>1947</v>
      </c>
      <c r="J83" t="s">
        <v>1924</v>
      </c>
      <c r="K83" t="s">
        <v>74</v>
      </c>
      <c r="L83" t="s">
        <v>74</v>
      </c>
      <c r="M83" t="s">
        <v>78</v>
      </c>
      <c r="N83" t="s">
        <v>79</v>
      </c>
      <c r="O83" t="s">
        <v>74</v>
      </c>
      <c r="P83" t="s">
        <v>74</v>
      </c>
      <c r="Q83" t="s">
        <v>74</v>
      </c>
      <c r="R83" t="s">
        <v>74</v>
      </c>
      <c r="S83" t="s">
        <v>74</v>
      </c>
      <c r="T83" t="s">
        <v>1948</v>
      </c>
      <c r="U83" t="s">
        <v>1949</v>
      </c>
      <c r="V83" t="s">
        <v>1950</v>
      </c>
      <c r="W83" t="s">
        <v>1951</v>
      </c>
      <c r="X83" t="s">
        <v>1952</v>
      </c>
      <c r="Y83" t="s">
        <v>1953</v>
      </c>
      <c r="Z83" t="s">
        <v>1954</v>
      </c>
      <c r="AA83" t="s">
        <v>1955</v>
      </c>
      <c r="AB83" t="s">
        <v>1956</v>
      </c>
      <c r="AC83" t="s">
        <v>1957</v>
      </c>
      <c r="AD83" t="s">
        <v>1958</v>
      </c>
      <c r="AE83" t="s">
        <v>1959</v>
      </c>
      <c r="AF83" t="s">
        <v>74</v>
      </c>
      <c r="AG83">
        <v>97</v>
      </c>
      <c r="AH83">
        <v>6</v>
      </c>
      <c r="AI83">
        <v>7</v>
      </c>
      <c r="AJ83">
        <v>3</v>
      </c>
      <c r="AK83">
        <v>6</v>
      </c>
      <c r="AL83" t="s">
        <v>1710</v>
      </c>
      <c r="AM83" t="s">
        <v>609</v>
      </c>
      <c r="AN83" t="s">
        <v>1711</v>
      </c>
      <c r="AO83" t="s">
        <v>74</v>
      </c>
      <c r="AP83" t="s">
        <v>1937</v>
      </c>
      <c r="AQ83" t="s">
        <v>74</v>
      </c>
      <c r="AR83" t="s">
        <v>1938</v>
      </c>
      <c r="AS83" t="s">
        <v>1939</v>
      </c>
      <c r="AT83" t="s">
        <v>1212</v>
      </c>
      <c r="AU83">
        <v>2020</v>
      </c>
      <c r="AV83">
        <v>21</v>
      </c>
      <c r="AW83">
        <v>11</v>
      </c>
      <c r="AX83" t="s">
        <v>74</v>
      </c>
      <c r="AY83" t="s">
        <v>74</v>
      </c>
      <c r="AZ83" t="s">
        <v>74</v>
      </c>
      <c r="BA83" t="s">
        <v>74</v>
      </c>
      <c r="BB83" t="s">
        <v>74</v>
      </c>
      <c r="BC83" t="s">
        <v>74</v>
      </c>
      <c r="BD83" t="s">
        <v>1960</v>
      </c>
      <c r="BE83" t="s">
        <v>1961</v>
      </c>
      <c r="BF83" t="str">
        <f>HYPERLINK("http://dx.doi.org/10.1029/2020GC009156","http://dx.doi.org/10.1029/2020GC009156")</f>
        <v>http://dx.doi.org/10.1029/2020GC009156</v>
      </c>
      <c r="BG83" t="s">
        <v>74</v>
      </c>
      <c r="BH83" t="s">
        <v>74</v>
      </c>
      <c r="BI83">
        <v>23</v>
      </c>
      <c r="BJ83" t="s">
        <v>1361</v>
      </c>
      <c r="BK83" t="s">
        <v>100</v>
      </c>
      <c r="BL83" t="s">
        <v>1361</v>
      </c>
      <c r="BM83" t="s">
        <v>1942</v>
      </c>
      <c r="BN83" t="s">
        <v>74</v>
      </c>
      <c r="BO83" t="s">
        <v>1259</v>
      </c>
      <c r="BP83" t="s">
        <v>74</v>
      </c>
      <c r="BQ83" t="s">
        <v>74</v>
      </c>
      <c r="BR83" t="s">
        <v>104</v>
      </c>
      <c r="BS83" t="s">
        <v>1962</v>
      </c>
      <c r="BT83" t="str">
        <f>HYPERLINK("https%3A%2F%2Fwww.webofscience.com%2Fwos%2Fwoscc%2Ffull-record%2FWOS:000595790900005","View Full Record in Web of Science")</f>
        <v>View Full Record in Web of Science</v>
      </c>
    </row>
    <row r="84" spans="1:72" x14ac:dyDescent="0.15">
      <c r="A84" t="s">
        <v>72</v>
      </c>
      <c r="B84" t="s">
        <v>1963</v>
      </c>
      <c r="C84" t="s">
        <v>74</v>
      </c>
      <c r="D84" t="s">
        <v>74</v>
      </c>
      <c r="E84" t="s">
        <v>74</v>
      </c>
      <c r="F84" t="s">
        <v>1964</v>
      </c>
      <c r="G84" t="s">
        <v>74</v>
      </c>
      <c r="H84" t="s">
        <v>74</v>
      </c>
      <c r="I84" t="s">
        <v>1965</v>
      </c>
      <c r="J84" t="s">
        <v>1924</v>
      </c>
      <c r="K84" t="s">
        <v>74</v>
      </c>
      <c r="L84" t="s">
        <v>74</v>
      </c>
      <c r="M84" t="s">
        <v>78</v>
      </c>
      <c r="N84" t="s">
        <v>79</v>
      </c>
      <c r="O84" t="s">
        <v>74</v>
      </c>
      <c r="P84" t="s">
        <v>74</v>
      </c>
      <c r="Q84" t="s">
        <v>74</v>
      </c>
      <c r="R84" t="s">
        <v>74</v>
      </c>
      <c r="S84" t="s">
        <v>74</v>
      </c>
      <c r="T84" t="s">
        <v>1966</v>
      </c>
      <c r="U84" t="s">
        <v>1967</v>
      </c>
      <c r="V84" t="s">
        <v>1968</v>
      </c>
      <c r="W84" t="s">
        <v>1969</v>
      </c>
      <c r="X84" t="s">
        <v>1970</v>
      </c>
      <c r="Y84" t="s">
        <v>1971</v>
      </c>
      <c r="Z84" t="s">
        <v>1972</v>
      </c>
      <c r="AA84" t="s">
        <v>1973</v>
      </c>
      <c r="AB84" t="s">
        <v>1974</v>
      </c>
      <c r="AC84" t="s">
        <v>1975</v>
      </c>
      <c r="AD84" t="s">
        <v>1976</v>
      </c>
      <c r="AE84" t="s">
        <v>1977</v>
      </c>
      <c r="AF84" t="s">
        <v>74</v>
      </c>
      <c r="AG84">
        <v>84</v>
      </c>
      <c r="AH84">
        <v>33</v>
      </c>
      <c r="AI84">
        <v>37</v>
      </c>
      <c r="AJ84">
        <v>2</v>
      </c>
      <c r="AK84">
        <v>34</v>
      </c>
      <c r="AL84" t="s">
        <v>1710</v>
      </c>
      <c r="AM84" t="s">
        <v>609</v>
      </c>
      <c r="AN84" t="s">
        <v>1711</v>
      </c>
      <c r="AO84" t="s">
        <v>74</v>
      </c>
      <c r="AP84" t="s">
        <v>1937</v>
      </c>
      <c r="AQ84" t="s">
        <v>74</v>
      </c>
      <c r="AR84" t="s">
        <v>1938</v>
      </c>
      <c r="AS84" t="s">
        <v>1939</v>
      </c>
      <c r="AT84" t="s">
        <v>1212</v>
      </c>
      <c r="AU84">
        <v>2020</v>
      </c>
      <c r="AV84">
        <v>21</v>
      </c>
      <c r="AW84">
        <v>11</v>
      </c>
      <c r="AX84" t="s">
        <v>74</v>
      </c>
      <c r="AY84" t="s">
        <v>74</v>
      </c>
      <c r="AZ84" t="s">
        <v>74</v>
      </c>
      <c r="BA84" t="s">
        <v>74</v>
      </c>
      <c r="BB84" t="s">
        <v>74</v>
      </c>
      <c r="BC84" t="s">
        <v>74</v>
      </c>
      <c r="BD84" t="s">
        <v>1978</v>
      </c>
      <c r="BE84" t="s">
        <v>1979</v>
      </c>
      <c r="BF84" t="str">
        <f>HYPERLINK("http://dx.doi.org/10.1029/2020GC009350","http://dx.doi.org/10.1029/2020GC009350")</f>
        <v>http://dx.doi.org/10.1029/2020GC009350</v>
      </c>
      <c r="BG84" t="s">
        <v>74</v>
      </c>
      <c r="BH84" t="s">
        <v>74</v>
      </c>
      <c r="BI84">
        <v>26</v>
      </c>
      <c r="BJ84" t="s">
        <v>1361</v>
      </c>
      <c r="BK84" t="s">
        <v>100</v>
      </c>
      <c r="BL84" t="s">
        <v>1361</v>
      </c>
      <c r="BM84" t="s">
        <v>1942</v>
      </c>
      <c r="BN84" t="s">
        <v>74</v>
      </c>
      <c r="BO84" t="s">
        <v>1980</v>
      </c>
      <c r="BP84" t="s">
        <v>74</v>
      </c>
      <c r="BQ84" t="s">
        <v>74</v>
      </c>
      <c r="BR84" t="s">
        <v>104</v>
      </c>
      <c r="BS84" t="s">
        <v>1981</v>
      </c>
      <c r="BT84" t="str">
        <f>HYPERLINK("https%3A%2F%2Fwww.webofscience.com%2Fwos%2Fwoscc%2Ffull-record%2FWOS:000595790900027","View Full Record in Web of Science")</f>
        <v>View Full Record in Web of Science</v>
      </c>
    </row>
    <row r="85" spans="1:72" x14ac:dyDescent="0.15">
      <c r="A85" t="s">
        <v>72</v>
      </c>
      <c r="B85" t="s">
        <v>1982</v>
      </c>
      <c r="C85" t="s">
        <v>74</v>
      </c>
      <c r="D85" t="s">
        <v>74</v>
      </c>
      <c r="E85" t="s">
        <v>74</v>
      </c>
      <c r="F85" t="s">
        <v>1983</v>
      </c>
      <c r="G85" t="s">
        <v>74</v>
      </c>
      <c r="H85" t="s">
        <v>74</v>
      </c>
      <c r="I85" t="s">
        <v>1984</v>
      </c>
      <c r="J85" t="s">
        <v>1985</v>
      </c>
      <c r="K85" t="s">
        <v>74</v>
      </c>
      <c r="L85" t="s">
        <v>74</v>
      </c>
      <c r="M85" t="s">
        <v>78</v>
      </c>
      <c r="N85" t="s">
        <v>79</v>
      </c>
      <c r="O85" t="s">
        <v>74</v>
      </c>
      <c r="P85" t="s">
        <v>74</v>
      </c>
      <c r="Q85" t="s">
        <v>74</v>
      </c>
      <c r="R85" t="s">
        <v>74</v>
      </c>
      <c r="S85" t="s">
        <v>74</v>
      </c>
      <c r="T85" t="s">
        <v>1986</v>
      </c>
      <c r="U85" t="s">
        <v>1987</v>
      </c>
      <c r="V85" t="s">
        <v>1988</v>
      </c>
      <c r="W85" t="s">
        <v>1989</v>
      </c>
      <c r="X85" t="s">
        <v>1990</v>
      </c>
      <c r="Y85" t="s">
        <v>1991</v>
      </c>
      <c r="Z85" t="s">
        <v>1992</v>
      </c>
      <c r="AA85" t="s">
        <v>1993</v>
      </c>
      <c r="AB85" t="s">
        <v>1994</v>
      </c>
      <c r="AC85" t="s">
        <v>1995</v>
      </c>
      <c r="AD85" t="s">
        <v>1996</v>
      </c>
      <c r="AE85" t="s">
        <v>1997</v>
      </c>
      <c r="AF85" t="s">
        <v>74</v>
      </c>
      <c r="AG85">
        <v>87</v>
      </c>
      <c r="AH85">
        <v>3</v>
      </c>
      <c r="AI85">
        <v>3</v>
      </c>
      <c r="AJ85">
        <v>3</v>
      </c>
      <c r="AK85">
        <v>14</v>
      </c>
      <c r="AL85" t="s">
        <v>1710</v>
      </c>
      <c r="AM85" t="s">
        <v>609</v>
      </c>
      <c r="AN85" t="s">
        <v>1711</v>
      </c>
      <c r="AO85" t="s">
        <v>1998</v>
      </c>
      <c r="AP85" t="s">
        <v>1999</v>
      </c>
      <c r="AQ85" t="s">
        <v>74</v>
      </c>
      <c r="AR85" t="s">
        <v>2000</v>
      </c>
      <c r="AS85" t="s">
        <v>2001</v>
      </c>
      <c r="AT85" t="s">
        <v>1212</v>
      </c>
      <c r="AU85">
        <v>2020</v>
      </c>
      <c r="AV85">
        <v>34</v>
      </c>
      <c r="AW85">
        <v>11</v>
      </c>
      <c r="AX85" t="s">
        <v>74</v>
      </c>
      <c r="AY85" t="s">
        <v>74</v>
      </c>
      <c r="AZ85" t="s">
        <v>74</v>
      </c>
      <c r="BA85" t="s">
        <v>74</v>
      </c>
      <c r="BB85" t="s">
        <v>74</v>
      </c>
      <c r="BC85" t="s">
        <v>74</v>
      </c>
      <c r="BD85" t="s">
        <v>2002</v>
      </c>
      <c r="BE85" t="s">
        <v>2003</v>
      </c>
      <c r="BF85" t="str">
        <f>HYPERLINK("http://dx.doi.org/10.1029/2020GB006665","http://dx.doi.org/10.1029/2020GB006665")</f>
        <v>http://dx.doi.org/10.1029/2020GB006665</v>
      </c>
      <c r="BG85" t="s">
        <v>74</v>
      </c>
      <c r="BH85" t="s">
        <v>74</v>
      </c>
      <c r="BI85">
        <v>21</v>
      </c>
      <c r="BJ85" t="s">
        <v>846</v>
      </c>
      <c r="BK85" t="s">
        <v>100</v>
      </c>
      <c r="BL85" t="s">
        <v>847</v>
      </c>
      <c r="BM85" t="s">
        <v>2004</v>
      </c>
      <c r="BN85" t="s">
        <v>74</v>
      </c>
      <c r="BO85" t="s">
        <v>564</v>
      </c>
      <c r="BP85" t="s">
        <v>74</v>
      </c>
      <c r="BQ85" t="s">
        <v>74</v>
      </c>
      <c r="BR85" t="s">
        <v>104</v>
      </c>
      <c r="BS85" t="s">
        <v>2005</v>
      </c>
      <c r="BT85" t="str">
        <f>HYPERLINK("https%3A%2F%2Fwww.webofscience.com%2Fwos%2Fwoscc%2Ffull-record%2FWOS:000595748400006","View Full Record in Web of Science")</f>
        <v>View Full Record in Web of Science</v>
      </c>
    </row>
    <row r="86" spans="1:72" x14ac:dyDescent="0.15">
      <c r="A86" t="s">
        <v>72</v>
      </c>
      <c r="B86" t="s">
        <v>2006</v>
      </c>
      <c r="C86" t="s">
        <v>74</v>
      </c>
      <c r="D86" t="s">
        <v>74</v>
      </c>
      <c r="E86" t="s">
        <v>74</v>
      </c>
      <c r="F86" t="s">
        <v>2007</v>
      </c>
      <c r="G86" t="s">
        <v>74</v>
      </c>
      <c r="H86" t="s">
        <v>74</v>
      </c>
      <c r="I86" t="s">
        <v>2008</v>
      </c>
      <c r="J86" t="s">
        <v>1985</v>
      </c>
      <c r="K86" t="s">
        <v>74</v>
      </c>
      <c r="L86" t="s">
        <v>74</v>
      </c>
      <c r="M86" t="s">
        <v>78</v>
      </c>
      <c r="N86" t="s">
        <v>79</v>
      </c>
      <c r="O86" t="s">
        <v>74</v>
      </c>
      <c r="P86" t="s">
        <v>74</v>
      </c>
      <c r="Q86" t="s">
        <v>74</v>
      </c>
      <c r="R86" t="s">
        <v>74</v>
      </c>
      <c r="S86" t="s">
        <v>74</v>
      </c>
      <c r="T86" t="s">
        <v>2009</v>
      </c>
      <c r="U86" t="s">
        <v>2010</v>
      </c>
      <c r="V86" t="s">
        <v>2011</v>
      </c>
      <c r="W86" t="s">
        <v>2012</v>
      </c>
      <c r="X86" t="s">
        <v>2013</v>
      </c>
      <c r="Y86" t="s">
        <v>2014</v>
      </c>
      <c r="Z86" t="s">
        <v>2015</v>
      </c>
      <c r="AA86" t="s">
        <v>74</v>
      </c>
      <c r="AB86" t="s">
        <v>2016</v>
      </c>
      <c r="AC86" t="s">
        <v>2017</v>
      </c>
      <c r="AD86" t="s">
        <v>2018</v>
      </c>
      <c r="AE86" t="s">
        <v>2019</v>
      </c>
      <c r="AF86" t="s">
        <v>74</v>
      </c>
      <c r="AG86">
        <v>82</v>
      </c>
      <c r="AH86">
        <v>7</v>
      </c>
      <c r="AI86">
        <v>7</v>
      </c>
      <c r="AJ86">
        <v>1</v>
      </c>
      <c r="AK86">
        <v>19</v>
      </c>
      <c r="AL86" t="s">
        <v>1710</v>
      </c>
      <c r="AM86" t="s">
        <v>609</v>
      </c>
      <c r="AN86" t="s">
        <v>1711</v>
      </c>
      <c r="AO86" t="s">
        <v>1998</v>
      </c>
      <c r="AP86" t="s">
        <v>1999</v>
      </c>
      <c r="AQ86" t="s">
        <v>74</v>
      </c>
      <c r="AR86" t="s">
        <v>2000</v>
      </c>
      <c r="AS86" t="s">
        <v>2001</v>
      </c>
      <c r="AT86" t="s">
        <v>1212</v>
      </c>
      <c r="AU86">
        <v>2020</v>
      </c>
      <c r="AV86">
        <v>34</v>
      </c>
      <c r="AW86">
        <v>11</v>
      </c>
      <c r="AX86" t="s">
        <v>74</v>
      </c>
      <c r="AY86" t="s">
        <v>74</v>
      </c>
      <c r="AZ86" t="s">
        <v>74</v>
      </c>
      <c r="BA86" t="s">
        <v>74</v>
      </c>
      <c r="BB86" t="s">
        <v>74</v>
      </c>
      <c r="BC86" t="s">
        <v>74</v>
      </c>
      <c r="BD86" t="s">
        <v>2020</v>
      </c>
      <c r="BE86" t="s">
        <v>2021</v>
      </c>
      <c r="BF86" t="str">
        <f>HYPERLINK("http://dx.doi.org/10.1029/2020GB006741","http://dx.doi.org/10.1029/2020GB006741")</f>
        <v>http://dx.doi.org/10.1029/2020GB006741</v>
      </c>
      <c r="BG86" t="s">
        <v>74</v>
      </c>
      <c r="BH86" t="s">
        <v>74</v>
      </c>
      <c r="BI86">
        <v>15</v>
      </c>
      <c r="BJ86" t="s">
        <v>846</v>
      </c>
      <c r="BK86" t="s">
        <v>100</v>
      </c>
      <c r="BL86" t="s">
        <v>847</v>
      </c>
      <c r="BM86" t="s">
        <v>2004</v>
      </c>
      <c r="BN86" t="s">
        <v>74</v>
      </c>
      <c r="BO86" t="s">
        <v>1432</v>
      </c>
      <c r="BP86" t="s">
        <v>74</v>
      </c>
      <c r="BQ86" t="s">
        <v>74</v>
      </c>
      <c r="BR86" t="s">
        <v>104</v>
      </c>
      <c r="BS86" t="s">
        <v>2022</v>
      </c>
      <c r="BT86" t="str">
        <f>HYPERLINK("https%3A%2F%2Fwww.webofscience.com%2Fwos%2Fwoscc%2Ffull-record%2FWOS:000595748400004","View Full Record in Web of Science")</f>
        <v>View Full Record in Web of Science</v>
      </c>
    </row>
    <row r="87" spans="1:72" x14ac:dyDescent="0.15">
      <c r="A87" t="s">
        <v>72</v>
      </c>
      <c r="B87" t="s">
        <v>2023</v>
      </c>
      <c r="C87" t="s">
        <v>74</v>
      </c>
      <c r="D87" t="s">
        <v>74</v>
      </c>
      <c r="E87" t="s">
        <v>74</v>
      </c>
      <c r="F87" t="s">
        <v>2024</v>
      </c>
      <c r="G87" t="s">
        <v>74</v>
      </c>
      <c r="H87" t="s">
        <v>74</v>
      </c>
      <c r="I87" t="s">
        <v>2025</v>
      </c>
      <c r="J87" t="s">
        <v>2026</v>
      </c>
      <c r="K87" t="s">
        <v>74</v>
      </c>
      <c r="L87" t="s">
        <v>74</v>
      </c>
      <c r="M87" t="s">
        <v>78</v>
      </c>
      <c r="N87" t="s">
        <v>79</v>
      </c>
      <c r="O87" t="s">
        <v>74</v>
      </c>
      <c r="P87" t="s">
        <v>74</v>
      </c>
      <c r="Q87" t="s">
        <v>74</v>
      </c>
      <c r="R87" t="s">
        <v>74</v>
      </c>
      <c r="S87" t="s">
        <v>74</v>
      </c>
      <c r="T87" t="s">
        <v>2027</v>
      </c>
      <c r="U87" t="s">
        <v>2028</v>
      </c>
      <c r="V87" t="s">
        <v>2029</v>
      </c>
      <c r="W87" t="s">
        <v>2030</v>
      </c>
      <c r="X87" t="s">
        <v>2031</v>
      </c>
      <c r="Y87" t="s">
        <v>2032</v>
      </c>
      <c r="Z87" t="s">
        <v>2033</v>
      </c>
      <c r="AA87" t="s">
        <v>74</v>
      </c>
      <c r="AB87" t="s">
        <v>2034</v>
      </c>
      <c r="AC87" t="s">
        <v>2035</v>
      </c>
      <c r="AD87" t="s">
        <v>2036</v>
      </c>
      <c r="AE87" t="s">
        <v>2037</v>
      </c>
      <c r="AF87" t="s">
        <v>74</v>
      </c>
      <c r="AG87">
        <v>109</v>
      </c>
      <c r="AH87">
        <v>7</v>
      </c>
      <c r="AI87">
        <v>7</v>
      </c>
      <c r="AJ87">
        <v>0</v>
      </c>
      <c r="AK87">
        <v>6</v>
      </c>
      <c r="AL87" t="s">
        <v>1710</v>
      </c>
      <c r="AM87" t="s">
        <v>609</v>
      </c>
      <c r="AN87" t="s">
        <v>1711</v>
      </c>
      <c r="AO87" t="s">
        <v>2038</v>
      </c>
      <c r="AP87" t="s">
        <v>2039</v>
      </c>
      <c r="AQ87" t="s">
        <v>74</v>
      </c>
      <c r="AR87" t="s">
        <v>2040</v>
      </c>
      <c r="AS87" t="s">
        <v>2041</v>
      </c>
      <c r="AT87" t="s">
        <v>1212</v>
      </c>
      <c r="AU87">
        <v>2020</v>
      </c>
      <c r="AV87">
        <v>125</v>
      </c>
      <c r="AW87">
        <v>11</v>
      </c>
      <c r="AX87" t="s">
        <v>74</v>
      </c>
      <c r="AY87" t="s">
        <v>74</v>
      </c>
      <c r="AZ87" t="s">
        <v>74</v>
      </c>
      <c r="BA87" t="s">
        <v>74</v>
      </c>
      <c r="BB87" t="s">
        <v>74</v>
      </c>
      <c r="BC87" t="s">
        <v>74</v>
      </c>
      <c r="BD87" t="s">
        <v>2042</v>
      </c>
      <c r="BE87" t="s">
        <v>2043</v>
      </c>
      <c r="BF87" t="str">
        <f>HYPERLINK("http://dx.doi.org/10.1029/2019JF005359","http://dx.doi.org/10.1029/2019JF005359")</f>
        <v>http://dx.doi.org/10.1029/2019JF005359</v>
      </c>
      <c r="BG87" t="s">
        <v>74</v>
      </c>
      <c r="BH87" t="s">
        <v>74</v>
      </c>
      <c r="BI87">
        <v>20</v>
      </c>
      <c r="BJ87" t="s">
        <v>534</v>
      </c>
      <c r="BK87" t="s">
        <v>100</v>
      </c>
      <c r="BL87" t="s">
        <v>535</v>
      </c>
      <c r="BM87" t="s">
        <v>2044</v>
      </c>
      <c r="BN87" t="s">
        <v>74</v>
      </c>
      <c r="BO87" t="s">
        <v>1259</v>
      </c>
      <c r="BP87" t="s">
        <v>74</v>
      </c>
      <c r="BQ87" t="s">
        <v>74</v>
      </c>
      <c r="BR87" t="s">
        <v>104</v>
      </c>
      <c r="BS87" t="s">
        <v>2045</v>
      </c>
      <c r="BT87" t="str">
        <f>HYPERLINK("https%3A%2F%2Fwww.webofscience.com%2Fwos%2Fwoscc%2Ffull-record%2FWOS:000595847000004","View Full Record in Web of Science")</f>
        <v>View Full Record in Web of Science</v>
      </c>
    </row>
    <row r="88" spans="1:72" x14ac:dyDescent="0.15">
      <c r="A88" t="s">
        <v>72</v>
      </c>
      <c r="B88" t="s">
        <v>2046</v>
      </c>
      <c r="C88" t="s">
        <v>74</v>
      </c>
      <c r="D88" t="s">
        <v>74</v>
      </c>
      <c r="E88" t="s">
        <v>74</v>
      </c>
      <c r="F88" t="s">
        <v>2047</v>
      </c>
      <c r="G88" t="s">
        <v>74</v>
      </c>
      <c r="H88" t="s">
        <v>74</v>
      </c>
      <c r="I88" t="s">
        <v>2048</v>
      </c>
      <c r="J88" t="s">
        <v>2049</v>
      </c>
      <c r="K88" t="s">
        <v>74</v>
      </c>
      <c r="L88" t="s">
        <v>74</v>
      </c>
      <c r="M88" t="s">
        <v>78</v>
      </c>
      <c r="N88" t="s">
        <v>79</v>
      </c>
      <c r="O88" t="s">
        <v>74</v>
      </c>
      <c r="P88" t="s">
        <v>74</v>
      </c>
      <c r="Q88" t="s">
        <v>74</v>
      </c>
      <c r="R88" t="s">
        <v>74</v>
      </c>
      <c r="S88" t="s">
        <v>74</v>
      </c>
      <c r="T88" t="s">
        <v>2050</v>
      </c>
      <c r="U88" t="s">
        <v>2051</v>
      </c>
      <c r="V88" t="s">
        <v>2052</v>
      </c>
      <c r="W88" t="s">
        <v>2053</v>
      </c>
      <c r="X88" t="s">
        <v>2054</v>
      </c>
      <c r="Y88" t="s">
        <v>2055</v>
      </c>
      <c r="Z88" t="s">
        <v>2056</v>
      </c>
      <c r="AA88" t="s">
        <v>2057</v>
      </c>
      <c r="AB88" t="s">
        <v>2058</v>
      </c>
      <c r="AC88" t="s">
        <v>2059</v>
      </c>
      <c r="AD88" t="s">
        <v>2060</v>
      </c>
      <c r="AE88" t="s">
        <v>2061</v>
      </c>
      <c r="AF88" t="s">
        <v>74</v>
      </c>
      <c r="AG88">
        <v>111</v>
      </c>
      <c r="AH88">
        <v>27</v>
      </c>
      <c r="AI88">
        <v>29</v>
      </c>
      <c r="AJ88">
        <v>8</v>
      </c>
      <c r="AK88">
        <v>64</v>
      </c>
      <c r="AL88" t="s">
        <v>1495</v>
      </c>
      <c r="AM88" t="s">
        <v>1496</v>
      </c>
      <c r="AN88" t="s">
        <v>1497</v>
      </c>
      <c r="AO88" t="s">
        <v>2062</v>
      </c>
      <c r="AP88" t="s">
        <v>2063</v>
      </c>
      <c r="AQ88" t="s">
        <v>74</v>
      </c>
      <c r="AR88" t="s">
        <v>2064</v>
      </c>
      <c r="AS88" t="s">
        <v>2065</v>
      </c>
      <c r="AT88" t="s">
        <v>2066</v>
      </c>
      <c r="AU88">
        <v>2020</v>
      </c>
      <c r="AV88">
        <v>33</v>
      </c>
      <c r="AW88">
        <v>21</v>
      </c>
      <c r="AX88" t="s">
        <v>74</v>
      </c>
      <c r="AY88" t="s">
        <v>74</v>
      </c>
      <c r="AZ88" t="s">
        <v>74</v>
      </c>
      <c r="BA88" t="s">
        <v>74</v>
      </c>
      <c r="BB88">
        <v>1</v>
      </c>
      <c r="BC88">
        <v>18</v>
      </c>
      <c r="BD88" t="s">
        <v>74</v>
      </c>
      <c r="BE88" t="s">
        <v>2067</v>
      </c>
      <c r="BF88" t="str">
        <f>HYPERLINK("http://dx.doi.org/10.1175/JCLI-D-19-1016.1","http://dx.doi.org/10.1175/JCLI-D-19-1016.1")</f>
        <v>http://dx.doi.org/10.1175/JCLI-D-19-1016.1</v>
      </c>
      <c r="BG88" t="s">
        <v>74</v>
      </c>
      <c r="BH88" t="s">
        <v>74</v>
      </c>
      <c r="BI88">
        <v>18</v>
      </c>
      <c r="BJ88" t="s">
        <v>800</v>
      </c>
      <c r="BK88" t="s">
        <v>100</v>
      </c>
      <c r="BL88" t="s">
        <v>800</v>
      </c>
      <c r="BM88" t="s">
        <v>2068</v>
      </c>
      <c r="BN88" t="s">
        <v>74</v>
      </c>
      <c r="BO88" t="s">
        <v>2069</v>
      </c>
      <c r="BP88" t="s">
        <v>74</v>
      </c>
      <c r="BQ88" t="s">
        <v>74</v>
      </c>
      <c r="BR88" t="s">
        <v>104</v>
      </c>
      <c r="BS88" t="s">
        <v>2070</v>
      </c>
      <c r="BT88" t="str">
        <f>HYPERLINK("https%3A%2F%2Fwww.webofscience.com%2Fwos%2Fwoscc%2Ffull-record%2FWOS:000589811900001","View Full Record in Web of Science")</f>
        <v>View Full Record in Web of Science</v>
      </c>
    </row>
    <row r="89" spans="1:72" x14ac:dyDescent="0.15">
      <c r="A89" t="s">
        <v>72</v>
      </c>
      <c r="B89" t="s">
        <v>2071</v>
      </c>
      <c r="C89" t="s">
        <v>74</v>
      </c>
      <c r="D89" t="s">
        <v>74</v>
      </c>
      <c r="E89" t="s">
        <v>74</v>
      </c>
      <c r="F89" t="s">
        <v>2072</v>
      </c>
      <c r="G89" t="s">
        <v>74</v>
      </c>
      <c r="H89" t="s">
        <v>74</v>
      </c>
      <c r="I89" t="s">
        <v>2073</v>
      </c>
      <c r="J89" t="s">
        <v>2074</v>
      </c>
      <c r="K89" t="s">
        <v>74</v>
      </c>
      <c r="L89" t="s">
        <v>74</v>
      </c>
      <c r="M89" t="s">
        <v>78</v>
      </c>
      <c r="N89" t="s">
        <v>79</v>
      </c>
      <c r="O89" t="s">
        <v>74</v>
      </c>
      <c r="P89" t="s">
        <v>74</v>
      </c>
      <c r="Q89" t="s">
        <v>74</v>
      </c>
      <c r="R89" t="s">
        <v>74</v>
      </c>
      <c r="S89" t="s">
        <v>74</v>
      </c>
      <c r="T89" t="s">
        <v>2075</v>
      </c>
      <c r="U89" t="s">
        <v>2076</v>
      </c>
      <c r="V89" t="s">
        <v>2077</v>
      </c>
      <c r="W89" t="s">
        <v>2078</v>
      </c>
      <c r="X89" t="s">
        <v>2079</v>
      </c>
      <c r="Y89" t="s">
        <v>2080</v>
      </c>
      <c r="Z89" t="s">
        <v>2081</v>
      </c>
      <c r="AA89" t="s">
        <v>74</v>
      </c>
      <c r="AB89" t="s">
        <v>2082</v>
      </c>
      <c r="AC89" t="s">
        <v>2083</v>
      </c>
      <c r="AD89" t="s">
        <v>2083</v>
      </c>
      <c r="AE89" t="s">
        <v>2084</v>
      </c>
      <c r="AF89" t="s">
        <v>74</v>
      </c>
      <c r="AG89">
        <v>59</v>
      </c>
      <c r="AH89">
        <v>13</v>
      </c>
      <c r="AI89">
        <v>15</v>
      </c>
      <c r="AJ89">
        <v>4</v>
      </c>
      <c r="AK89">
        <v>19</v>
      </c>
      <c r="AL89" t="s">
        <v>2085</v>
      </c>
      <c r="AM89" t="s">
        <v>2086</v>
      </c>
      <c r="AN89" t="s">
        <v>2087</v>
      </c>
      <c r="AO89" t="s">
        <v>74</v>
      </c>
      <c r="AP89" t="s">
        <v>2088</v>
      </c>
      <c r="AQ89" t="s">
        <v>74</v>
      </c>
      <c r="AR89" t="s">
        <v>2089</v>
      </c>
      <c r="AS89" t="s">
        <v>2090</v>
      </c>
      <c r="AT89" t="s">
        <v>1212</v>
      </c>
      <c r="AU89">
        <v>2020</v>
      </c>
      <c r="AV89">
        <v>12</v>
      </c>
      <c r="AW89">
        <v>22</v>
      </c>
      <c r="AX89" t="s">
        <v>74</v>
      </c>
      <c r="AY89" t="s">
        <v>74</v>
      </c>
      <c r="AZ89" t="s">
        <v>74</v>
      </c>
      <c r="BA89" t="s">
        <v>74</v>
      </c>
      <c r="BB89" t="s">
        <v>74</v>
      </c>
      <c r="BC89" t="s">
        <v>74</v>
      </c>
      <c r="BD89">
        <v>3692</v>
      </c>
      <c r="BE89" t="s">
        <v>2091</v>
      </c>
      <c r="BF89" t="str">
        <f>HYPERLINK("http://dx.doi.org/10.3390/rs12223692","http://dx.doi.org/10.3390/rs12223692")</f>
        <v>http://dx.doi.org/10.3390/rs12223692</v>
      </c>
      <c r="BG89" t="s">
        <v>74</v>
      </c>
      <c r="BH89" t="s">
        <v>74</v>
      </c>
      <c r="BI89">
        <v>14</v>
      </c>
      <c r="BJ89" t="s">
        <v>2092</v>
      </c>
      <c r="BK89" t="s">
        <v>100</v>
      </c>
      <c r="BL89" t="s">
        <v>2093</v>
      </c>
      <c r="BM89" t="s">
        <v>2094</v>
      </c>
      <c r="BN89" t="s">
        <v>74</v>
      </c>
      <c r="BO89" t="s">
        <v>202</v>
      </c>
      <c r="BP89" t="s">
        <v>74</v>
      </c>
      <c r="BQ89" t="s">
        <v>74</v>
      </c>
      <c r="BR89" t="s">
        <v>104</v>
      </c>
      <c r="BS89" t="s">
        <v>2095</v>
      </c>
      <c r="BT89" t="str">
        <f>HYPERLINK("https%3A%2F%2Fwww.webofscience.com%2Fwos%2Fwoscc%2Ffull-record%2FWOS:000594551400001","View Full Record in Web of Science")</f>
        <v>View Full Record in Web of Science</v>
      </c>
    </row>
    <row r="90" spans="1:72" x14ac:dyDescent="0.15">
      <c r="A90" t="s">
        <v>72</v>
      </c>
      <c r="B90" t="s">
        <v>2096</v>
      </c>
      <c r="C90" t="s">
        <v>74</v>
      </c>
      <c r="D90" t="s">
        <v>74</v>
      </c>
      <c r="E90" t="s">
        <v>74</v>
      </c>
      <c r="F90" t="s">
        <v>2097</v>
      </c>
      <c r="G90" t="s">
        <v>74</v>
      </c>
      <c r="H90" t="s">
        <v>74</v>
      </c>
      <c r="I90" t="s">
        <v>2098</v>
      </c>
      <c r="J90" t="s">
        <v>2074</v>
      </c>
      <c r="K90" t="s">
        <v>74</v>
      </c>
      <c r="L90" t="s">
        <v>74</v>
      </c>
      <c r="M90" t="s">
        <v>78</v>
      </c>
      <c r="N90" t="s">
        <v>79</v>
      </c>
      <c r="O90" t="s">
        <v>74</v>
      </c>
      <c r="P90" t="s">
        <v>74</v>
      </c>
      <c r="Q90" t="s">
        <v>74</v>
      </c>
      <c r="R90" t="s">
        <v>74</v>
      </c>
      <c r="S90" t="s">
        <v>74</v>
      </c>
      <c r="T90" t="s">
        <v>2099</v>
      </c>
      <c r="U90" t="s">
        <v>2100</v>
      </c>
      <c r="V90" t="s">
        <v>2101</v>
      </c>
      <c r="W90" t="s">
        <v>2102</v>
      </c>
      <c r="X90" t="s">
        <v>2103</v>
      </c>
      <c r="Y90" t="s">
        <v>2104</v>
      </c>
      <c r="Z90" t="s">
        <v>2105</v>
      </c>
      <c r="AA90" t="s">
        <v>2106</v>
      </c>
      <c r="AB90" t="s">
        <v>2107</v>
      </c>
      <c r="AC90" t="s">
        <v>2108</v>
      </c>
      <c r="AD90" t="s">
        <v>2109</v>
      </c>
      <c r="AE90" t="s">
        <v>2110</v>
      </c>
      <c r="AF90" t="s">
        <v>74</v>
      </c>
      <c r="AG90">
        <v>55</v>
      </c>
      <c r="AH90">
        <v>8</v>
      </c>
      <c r="AI90">
        <v>8</v>
      </c>
      <c r="AJ90">
        <v>3</v>
      </c>
      <c r="AK90">
        <v>13</v>
      </c>
      <c r="AL90" t="s">
        <v>2085</v>
      </c>
      <c r="AM90" t="s">
        <v>2086</v>
      </c>
      <c r="AN90" t="s">
        <v>2087</v>
      </c>
      <c r="AO90" t="s">
        <v>74</v>
      </c>
      <c r="AP90" t="s">
        <v>2088</v>
      </c>
      <c r="AQ90" t="s">
        <v>74</v>
      </c>
      <c r="AR90" t="s">
        <v>2089</v>
      </c>
      <c r="AS90" t="s">
        <v>2090</v>
      </c>
      <c r="AT90" t="s">
        <v>1212</v>
      </c>
      <c r="AU90">
        <v>2020</v>
      </c>
      <c r="AV90">
        <v>12</v>
      </c>
      <c r="AW90">
        <v>22</v>
      </c>
      <c r="AX90" t="s">
        <v>74</v>
      </c>
      <c r="AY90" t="s">
        <v>74</v>
      </c>
      <c r="AZ90" t="s">
        <v>74</v>
      </c>
      <c r="BA90" t="s">
        <v>74</v>
      </c>
      <c r="BB90" t="s">
        <v>74</v>
      </c>
      <c r="BC90" t="s">
        <v>74</v>
      </c>
      <c r="BD90">
        <v>3769</v>
      </c>
      <c r="BE90" t="s">
        <v>2111</v>
      </c>
      <c r="BF90" t="str">
        <f>HYPERLINK("http://dx.doi.org/10.3390/rs12223769","http://dx.doi.org/10.3390/rs12223769")</f>
        <v>http://dx.doi.org/10.3390/rs12223769</v>
      </c>
      <c r="BG90" t="s">
        <v>74</v>
      </c>
      <c r="BH90" t="s">
        <v>74</v>
      </c>
      <c r="BI90">
        <v>16</v>
      </c>
      <c r="BJ90" t="s">
        <v>2092</v>
      </c>
      <c r="BK90" t="s">
        <v>100</v>
      </c>
      <c r="BL90" t="s">
        <v>2093</v>
      </c>
      <c r="BM90" t="s">
        <v>2112</v>
      </c>
      <c r="BN90" t="s">
        <v>74</v>
      </c>
      <c r="BO90" t="s">
        <v>2113</v>
      </c>
      <c r="BP90" t="s">
        <v>74</v>
      </c>
      <c r="BQ90" t="s">
        <v>74</v>
      </c>
      <c r="BR90" t="s">
        <v>104</v>
      </c>
      <c r="BS90" t="s">
        <v>2114</v>
      </c>
      <c r="BT90" t="str">
        <f>HYPERLINK("https%3A%2F%2Fwww.webofscience.com%2Fwos%2Fwoscc%2Ffull-record%2FWOS:000594572600001","View Full Record in Web of Science")</f>
        <v>View Full Record in Web of Science</v>
      </c>
    </row>
    <row r="91" spans="1:72" x14ac:dyDescent="0.15">
      <c r="A91" t="s">
        <v>72</v>
      </c>
      <c r="B91" t="s">
        <v>2115</v>
      </c>
      <c r="C91" t="s">
        <v>74</v>
      </c>
      <c r="D91" t="s">
        <v>74</v>
      </c>
      <c r="E91" t="s">
        <v>74</v>
      </c>
      <c r="F91" t="s">
        <v>2116</v>
      </c>
      <c r="G91" t="s">
        <v>74</v>
      </c>
      <c r="H91" t="s">
        <v>74</v>
      </c>
      <c r="I91" t="s">
        <v>2117</v>
      </c>
      <c r="J91" t="s">
        <v>2074</v>
      </c>
      <c r="K91" t="s">
        <v>74</v>
      </c>
      <c r="L91" t="s">
        <v>74</v>
      </c>
      <c r="M91" t="s">
        <v>78</v>
      </c>
      <c r="N91" t="s">
        <v>79</v>
      </c>
      <c r="O91" t="s">
        <v>74</v>
      </c>
      <c r="P91" t="s">
        <v>74</v>
      </c>
      <c r="Q91" t="s">
        <v>74</v>
      </c>
      <c r="R91" t="s">
        <v>74</v>
      </c>
      <c r="S91" t="s">
        <v>74</v>
      </c>
      <c r="T91" t="s">
        <v>2118</v>
      </c>
      <c r="U91" t="s">
        <v>2119</v>
      </c>
      <c r="V91" t="s">
        <v>2120</v>
      </c>
      <c r="W91" t="s">
        <v>2121</v>
      </c>
      <c r="X91" t="s">
        <v>2122</v>
      </c>
      <c r="Y91" t="s">
        <v>2123</v>
      </c>
      <c r="Z91" t="s">
        <v>2124</v>
      </c>
      <c r="AA91" t="s">
        <v>2125</v>
      </c>
      <c r="AB91" t="s">
        <v>2126</v>
      </c>
      <c r="AC91" t="s">
        <v>2127</v>
      </c>
      <c r="AD91" t="s">
        <v>2128</v>
      </c>
      <c r="AE91" t="s">
        <v>2129</v>
      </c>
      <c r="AF91" t="s">
        <v>74</v>
      </c>
      <c r="AG91">
        <v>55</v>
      </c>
      <c r="AH91">
        <v>9</v>
      </c>
      <c r="AI91">
        <v>11</v>
      </c>
      <c r="AJ91">
        <v>4</v>
      </c>
      <c r="AK91">
        <v>33</v>
      </c>
      <c r="AL91" t="s">
        <v>2085</v>
      </c>
      <c r="AM91" t="s">
        <v>2086</v>
      </c>
      <c r="AN91" t="s">
        <v>2087</v>
      </c>
      <c r="AO91" t="s">
        <v>74</v>
      </c>
      <c r="AP91" t="s">
        <v>2088</v>
      </c>
      <c r="AQ91" t="s">
        <v>74</v>
      </c>
      <c r="AR91" t="s">
        <v>2089</v>
      </c>
      <c r="AS91" t="s">
        <v>2090</v>
      </c>
      <c r="AT91" t="s">
        <v>1212</v>
      </c>
      <c r="AU91">
        <v>2020</v>
      </c>
      <c r="AV91">
        <v>12</v>
      </c>
      <c r="AW91">
        <v>22</v>
      </c>
      <c r="AX91" t="s">
        <v>74</v>
      </c>
      <c r="AY91" t="s">
        <v>74</v>
      </c>
      <c r="AZ91" t="s">
        <v>74</v>
      </c>
      <c r="BA91" t="s">
        <v>74</v>
      </c>
      <c r="BB91" t="s">
        <v>74</v>
      </c>
      <c r="BC91" t="s">
        <v>74</v>
      </c>
      <c r="BD91">
        <v>3746</v>
      </c>
      <c r="BE91" t="s">
        <v>2130</v>
      </c>
      <c r="BF91" t="str">
        <f>HYPERLINK("http://dx.doi.org/10.3390/rs12223746","http://dx.doi.org/10.3390/rs12223746")</f>
        <v>http://dx.doi.org/10.3390/rs12223746</v>
      </c>
      <c r="BG91" t="s">
        <v>74</v>
      </c>
      <c r="BH91" t="s">
        <v>74</v>
      </c>
      <c r="BI91">
        <v>20</v>
      </c>
      <c r="BJ91" t="s">
        <v>2092</v>
      </c>
      <c r="BK91" t="s">
        <v>100</v>
      </c>
      <c r="BL91" t="s">
        <v>2093</v>
      </c>
      <c r="BM91" t="s">
        <v>2131</v>
      </c>
      <c r="BN91" t="s">
        <v>74</v>
      </c>
      <c r="BO91" t="s">
        <v>202</v>
      </c>
      <c r="BP91" t="s">
        <v>74</v>
      </c>
      <c r="BQ91" t="s">
        <v>74</v>
      </c>
      <c r="BR91" t="s">
        <v>104</v>
      </c>
      <c r="BS91" t="s">
        <v>2132</v>
      </c>
      <c r="BT91" t="str">
        <f>HYPERLINK("https%3A%2F%2Fwww.webofscience.com%2Fwos%2Fwoscc%2Ffull-record%2FWOS:000594550200001","View Full Record in Web of Science")</f>
        <v>View Full Record in Web of Science</v>
      </c>
    </row>
    <row r="92" spans="1:72" x14ac:dyDescent="0.15">
      <c r="A92" t="s">
        <v>72</v>
      </c>
      <c r="B92" t="s">
        <v>2133</v>
      </c>
      <c r="C92" t="s">
        <v>74</v>
      </c>
      <c r="D92" t="s">
        <v>74</v>
      </c>
      <c r="E92" t="s">
        <v>74</v>
      </c>
      <c r="F92" t="s">
        <v>2134</v>
      </c>
      <c r="G92" t="s">
        <v>74</v>
      </c>
      <c r="H92" t="s">
        <v>74</v>
      </c>
      <c r="I92" t="s">
        <v>2135</v>
      </c>
      <c r="J92" t="s">
        <v>2074</v>
      </c>
      <c r="K92" t="s">
        <v>74</v>
      </c>
      <c r="L92" t="s">
        <v>74</v>
      </c>
      <c r="M92" t="s">
        <v>78</v>
      </c>
      <c r="N92" t="s">
        <v>79</v>
      </c>
      <c r="O92" t="s">
        <v>74</v>
      </c>
      <c r="P92" t="s">
        <v>74</v>
      </c>
      <c r="Q92" t="s">
        <v>74</v>
      </c>
      <c r="R92" t="s">
        <v>74</v>
      </c>
      <c r="S92" t="s">
        <v>74</v>
      </c>
      <c r="T92" t="s">
        <v>2136</v>
      </c>
      <c r="U92" t="s">
        <v>2137</v>
      </c>
      <c r="V92" t="s">
        <v>2138</v>
      </c>
      <c r="W92" t="s">
        <v>2139</v>
      </c>
      <c r="X92" t="s">
        <v>2140</v>
      </c>
      <c r="Y92" t="s">
        <v>2141</v>
      </c>
      <c r="Z92" t="s">
        <v>2142</v>
      </c>
      <c r="AA92" t="s">
        <v>2143</v>
      </c>
      <c r="AB92" t="s">
        <v>2144</v>
      </c>
      <c r="AC92" t="s">
        <v>2145</v>
      </c>
      <c r="AD92" t="s">
        <v>2146</v>
      </c>
      <c r="AE92" t="s">
        <v>2147</v>
      </c>
      <c r="AF92" t="s">
        <v>74</v>
      </c>
      <c r="AG92">
        <v>59</v>
      </c>
      <c r="AH92">
        <v>9</v>
      </c>
      <c r="AI92">
        <v>12</v>
      </c>
      <c r="AJ92">
        <v>3</v>
      </c>
      <c r="AK92">
        <v>28</v>
      </c>
      <c r="AL92" t="s">
        <v>2085</v>
      </c>
      <c r="AM92" t="s">
        <v>2086</v>
      </c>
      <c r="AN92" t="s">
        <v>2087</v>
      </c>
      <c r="AO92" t="s">
        <v>74</v>
      </c>
      <c r="AP92" t="s">
        <v>2088</v>
      </c>
      <c r="AQ92" t="s">
        <v>74</v>
      </c>
      <c r="AR92" t="s">
        <v>2089</v>
      </c>
      <c r="AS92" t="s">
        <v>2090</v>
      </c>
      <c r="AT92" t="s">
        <v>1212</v>
      </c>
      <c r="AU92">
        <v>2020</v>
      </c>
      <c r="AV92">
        <v>12</v>
      </c>
      <c r="AW92">
        <v>22</v>
      </c>
      <c r="AX92" t="s">
        <v>74</v>
      </c>
      <c r="AY92" t="s">
        <v>74</v>
      </c>
      <c r="AZ92" t="s">
        <v>74</v>
      </c>
      <c r="BA92" t="s">
        <v>74</v>
      </c>
      <c r="BB92" t="s">
        <v>74</v>
      </c>
      <c r="BC92" t="s">
        <v>74</v>
      </c>
      <c r="BD92">
        <v>3751</v>
      </c>
      <c r="BE92" t="s">
        <v>2148</v>
      </c>
      <c r="BF92" t="str">
        <f>HYPERLINK("http://dx.doi.org/10.3390/rs12223751","http://dx.doi.org/10.3390/rs12223751")</f>
        <v>http://dx.doi.org/10.3390/rs12223751</v>
      </c>
      <c r="BG92" t="s">
        <v>74</v>
      </c>
      <c r="BH92" t="s">
        <v>74</v>
      </c>
      <c r="BI92">
        <v>20</v>
      </c>
      <c r="BJ92" t="s">
        <v>2092</v>
      </c>
      <c r="BK92" t="s">
        <v>100</v>
      </c>
      <c r="BL92" t="s">
        <v>2093</v>
      </c>
      <c r="BM92" t="s">
        <v>2149</v>
      </c>
      <c r="BN92" t="s">
        <v>74</v>
      </c>
      <c r="BO92" t="s">
        <v>2113</v>
      </c>
      <c r="BP92" t="s">
        <v>74</v>
      </c>
      <c r="BQ92" t="s">
        <v>74</v>
      </c>
      <c r="BR92" t="s">
        <v>104</v>
      </c>
      <c r="BS92" t="s">
        <v>2150</v>
      </c>
      <c r="BT92" t="str">
        <f>HYPERLINK("https%3A%2F%2Fwww.webofscience.com%2Fwos%2Fwoscc%2Ffull-record%2FWOS:000595179700001","View Full Record in Web of Science")</f>
        <v>View Full Record in Web of Science</v>
      </c>
    </row>
    <row r="93" spans="1:72" x14ac:dyDescent="0.15">
      <c r="A93" t="s">
        <v>72</v>
      </c>
      <c r="B93" t="s">
        <v>2151</v>
      </c>
      <c r="C93" t="s">
        <v>74</v>
      </c>
      <c r="D93" t="s">
        <v>74</v>
      </c>
      <c r="E93" t="s">
        <v>74</v>
      </c>
      <c r="F93" t="s">
        <v>2152</v>
      </c>
      <c r="G93" t="s">
        <v>74</v>
      </c>
      <c r="H93" t="s">
        <v>74</v>
      </c>
      <c r="I93" t="s">
        <v>2153</v>
      </c>
      <c r="J93" t="s">
        <v>2154</v>
      </c>
      <c r="K93" t="s">
        <v>74</v>
      </c>
      <c r="L93" t="s">
        <v>74</v>
      </c>
      <c r="M93" t="s">
        <v>78</v>
      </c>
      <c r="N93" t="s">
        <v>79</v>
      </c>
      <c r="O93" t="s">
        <v>74</v>
      </c>
      <c r="P93" t="s">
        <v>74</v>
      </c>
      <c r="Q93" t="s">
        <v>74</v>
      </c>
      <c r="R93" t="s">
        <v>74</v>
      </c>
      <c r="S93" t="s">
        <v>74</v>
      </c>
      <c r="T93" t="s">
        <v>2155</v>
      </c>
      <c r="U93" t="s">
        <v>2156</v>
      </c>
      <c r="V93" t="s">
        <v>2157</v>
      </c>
      <c r="W93" t="s">
        <v>2158</v>
      </c>
      <c r="X93" t="s">
        <v>2159</v>
      </c>
      <c r="Y93" t="s">
        <v>2160</v>
      </c>
      <c r="Z93" t="s">
        <v>2161</v>
      </c>
      <c r="AA93" t="s">
        <v>74</v>
      </c>
      <c r="AB93" t="s">
        <v>74</v>
      </c>
      <c r="AC93" t="s">
        <v>2162</v>
      </c>
      <c r="AD93" t="s">
        <v>2162</v>
      </c>
      <c r="AE93" t="s">
        <v>2163</v>
      </c>
      <c r="AF93" t="s">
        <v>74</v>
      </c>
      <c r="AG93">
        <v>32</v>
      </c>
      <c r="AH93">
        <v>8</v>
      </c>
      <c r="AI93">
        <v>8</v>
      </c>
      <c r="AJ93">
        <v>0</v>
      </c>
      <c r="AK93">
        <v>12</v>
      </c>
      <c r="AL93" t="s">
        <v>2085</v>
      </c>
      <c r="AM93" t="s">
        <v>2086</v>
      </c>
      <c r="AN93" t="s">
        <v>2087</v>
      </c>
      <c r="AO93" t="s">
        <v>74</v>
      </c>
      <c r="AP93" t="s">
        <v>2164</v>
      </c>
      <c r="AQ93" t="s">
        <v>74</v>
      </c>
      <c r="AR93" t="s">
        <v>2154</v>
      </c>
      <c r="AS93" t="s">
        <v>2165</v>
      </c>
      <c r="AT93" t="s">
        <v>1212</v>
      </c>
      <c r="AU93">
        <v>2020</v>
      </c>
      <c r="AV93">
        <v>12</v>
      </c>
      <c r="AW93">
        <v>11</v>
      </c>
      <c r="AX93" t="s">
        <v>74</v>
      </c>
      <c r="AY93" t="s">
        <v>74</v>
      </c>
      <c r="AZ93" t="s">
        <v>74</v>
      </c>
      <c r="BA93" t="s">
        <v>74</v>
      </c>
      <c r="BB93" t="s">
        <v>74</v>
      </c>
      <c r="BC93" t="s">
        <v>74</v>
      </c>
      <c r="BD93">
        <v>3550</v>
      </c>
      <c r="BE93" t="s">
        <v>2166</v>
      </c>
      <c r="BF93" t="str">
        <f>HYPERLINK("http://dx.doi.org/10.3390/nu12113550","http://dx.doi.org/10.3390/nu12113550")</f>
        <v>http://dx.doi.org/10.3390/nu12113550</v>
      </c>
      <c r="BG93" t="s">
        <v>74</v>
      </c>
      <c r="BH93" t="s">
        <v>74</v>
      </c>
      <c r="BI93">
        <v>10</v>
      </c>
      <c r="BJ93" t="s">
        <v>2167</v>
      </c>
      <c r="BK93" t="s">
        <v>100</v>
      </c>
      <c r="BL93" t="s">
        <v>2167</v>
      </c>
      <c r="BM93" t="s">
        <v>2168</v>
      </c>
      <c r="BN93">
        <v>33233504</v>
      </c>
      <c r="BO93" t="s">
        <v>332</v>
      </c>
      <c r="BP93" t="s">
        <v>74</v>
      </c>
      <c r="BQ93" t="s">
        <v>74</v>
      </c>
      <c r="BR93" t="s">
        <v>104</v>
      </c>
      <c r="BS93" t="s">
        <v>2169</v>
      </c>
      <c r="BT93" t="str">
        <f>HYPERLINK("https%3A%2F%2Fwww.webofscience.com%2Fwos%2Fwoscc%2Ffull-record%2FWOS:000593790400001","View Full Record in Web of Science")</f>
        <v>View Full Record in Web of Science</v>
      </c>
    </row>
    <row r="94" spans="1:72" x14ac:dyDescent="0.15">
      <c r="A94" t="s">
        <v>72</v>
      </c>
      <c r="B94" t="s">
        <v>2170</v>
      </c>
      <c r="C94" t="s">
        <v>74</v>
      </c>
      <c r="D94" t="s">
        <v>74</v>
      </c>
      <c r="E94" t="s">
        <v>74</v>
      </c>
      <c r="F94" t="s">
        <v>2171</v>
      </c>
      <c r="G94" t="s">
        <v>74</v>
      </c>
      <c r="H94" t="s">
        <v>74</v>
      </c>
      <c r="I94" t="s">
        <v>2172</v>
      </c>
      <c r="J94" t="s">
        <v>2173</v>
      </c>
      <c r="K94" t="s">
        <v>74</v>
      </c>
      <c r="L94" t="s">
        <v>74</v>
      </c>
      <c r="M94" t="s">
        <v>78</v>
      </c>
      <c r="N94" t="s">
        <v>79</v>
      </c>
      <c r="O94" t="s">
        <v>74</v>
      </c>
      <c r="P94" t="s">
        <v>74</v>
      </c>
      <c r="Q94" t="s">
        <v>74</v>
      </c>
      <c r="R94" t="s">
        <v>74</v>
      </c>
      <c r="S94" t="s">
        <v>74</v>
      </c>
      <c r="T94" t="s">
        <v>2174</v>
      </c>
      <c r="U94" t="s">
        <v>2175</v>
      </c>
      <c r="V94" t="s">
        <v>2176</v>
      </c>
      <c r="W94" t="s">
        <v>2177</v>
      </c>
      <c r="X94" t="s">
        <v>2178</v>
      </c>
      <c r="Y94" t="s">
        <v>2179</v>
      </c>
      <c r="Z94" t="s">
        <v>2180</v>
      </c>
      <c r="AA94" t="s">
        <v>2181</v>
      </c>
      <c r="AB94" t="s">
        <v>2182</v>
      </c>
      <c r="AC94" t="s">
        <v>2183</v>
      </c>
      <c r="AD94" t="s">
        <v>2183</v>
      </c>
      <c r="AE94" t="s">
        <v>2184</v>
      </c>
      <c r="AF94" t="s">
        <v>74</v>
      </c>
      <c r="AG94">
        <v>52</v>
      </c>
      <c r="AH94">
        <v>12</v>
      </c>
      <c r="AI94">
        <v>12</v>
      </c>
      <c r="AJ94">
        <v>4</v>
      </c>
      <c r="AK94">
        <v>12</v>
      </c>
      <c r="AL94" t="s">
        <v>2085</v>
      </c>
      <c r="AM94" t="s">
        <v>2086</v>
      </c>
      <c r="AN94" t="s">
        <v>2087</v>
      </c>
      <c r="AO94" t="s">
        <v>74</v>
      </c>
      <c r="AP94" t="s">
        <v>2185</v>
      </c>
      <c r="AQ94" t="s">
        <v>74</v>
      </c>
      <c r="AR94" t="s">
        <v>2186</v>
      </c>
      <c r="AS94" t="s">
        <v>2187</v>
      </c>
      <c r="AT94" t="s">
        <v>1212</v>
      </c>
      <c r="AU94">
        <v>2020</v>
      </c>
      <c r="AV94">
        <v>8</v>
      </c>
      <c r="AW94">
        <v>11</v>
      </c>
      <c r="AX94" t="s">
        <v>74</v>
      </c>
      <c r="AY94" t="s">
        <v>74</v>
      </c>
      <c r="AZ94" t="s">
        <v>74</v>
      </c>
      <c r="BA94" t="s">
        <v>74</v>
      </c>
      <c r="BB94" t="s">
        <v>74</v>
      </c>
      <c r="BC94" t="s">
        <v>74</v>
      </c>
      <c r="BD94">
        <v>935</v>
      </c>
      <c r="BE94" t="s">
        <v>2188</v>
      </c>
      <c r="BF94" t="str">
        <f>HYPERLINK("http://dx.doi.org/10.3390/jmse8110935","http://dx.doi.org/10.3390/jmse8110935")</f>
        <v>http://dx.doi.org/10.3390/jmse8110935</v>
      </c>
      <c r="BG94" t="s">
        <v>74</v>
      </c>
      <c r="BH94" t="s">
        <v>74</v>
      </c>
      <c r="BI94">
        <v>11</v>
      </c>
      <c r="BJ94" t="s">
        <v>2189</v>
      </c>
      <c r="BK94" t="s">
        <v>100</v>
      </c>
      <c r="BL94" t="s">
        <v>2190</v>
      </c>
      <c r="BM94" t="s">
        <v>2191</v>
      </c>
      <c r="BN94" t="s">
        <v>74</v>
      </c>
      <c r="BO94" t="s">
        <v>202</v>
      </c>
      <c r="BP94" t="s">
        <v>74</v>
      </c>
      <c r="BQ94" t="s">
        <v>74</v>
      </c>
      <c r="BR94" t="s">
        <v>104</v>
      </c>
      <c r="BS94" t="s">
        <v>2192</v>
      </c>
      <c r="BT94" t="str">
        <f>HYPERLINK("https%3A%2F%2Fwww.webofscience.com%2Fwos%2Fwoscc%2Ffull-record%2FWOS:000593281000001","View Full Record in Web of Science")</f>
        <v>View Full Record in Web of Science</v>
      </c>
    </row>
    <row r="95" spans="1:72" x14ac:dyDescent="0.15">
      <c r="A95" t="s">
        <v>72</v>
      </c>
      <c r="B95" t="s">
        <v>2193</v>
      </c>
      <c r="C95" t="s">
        <v>74</v>
      </c>
      <c r="D95" t="s">
        <v>74</v>
      </c>
      <c r="E95" t="s">
        <v>74</v>
      </c>
      <c r="F95" t="s">
        <v>2194</v>
      </c>
      <c r="G95" t="s">
        <v>74</v>
      </c>
      <c r="H95" t="s">
        <v>74</v>
      </c>
      <c r="I95" t="s">
        <v>2195</v>
      </c>
      <c r="J95" t="s">
        <v>2196</v>
      </c>
      <c r="K95" t="s">
        <v>74</v>
      </c>
      <c r="L95" t="s">
        <v>74</v>
      </c>
      <c r="M95" t="s">
        <v>78</v>
      </c>
      <c r="N95" t="s">
        <v>79</v>
      </c>
      <c r="O95" t="s">
        <v>74</v>
      </c>
      <c r="P95" t="s">
        <v>74</v>
      </c>
      <c r="Q95" t="s">
        <v>74</v>
      </c>
      <c r="R95" t="s">
        <v>74</v>
      </c>
      <c r="S95" t="s">
        <v>74</v>
      </c>
      <c r="T95" t="s">
        <v>74</v>
      </c>
      <c r="U95" t="s">
        <v>2197</v>
      </c>
      <c r="V95" t="s">
        <v>2198</v>
      </c>
      <c r="W95" t="s">
        <v>2199</v>
      </c>
      <c r="X95" t="s">
        <v>2200</v>
      </c>
      <c r="Y95" t="s">
        <v>2201</v>
      </c>
      <c r="Z95" t="s">
        <v>2202</v>
      </c>
      <c r="AA95" t="s">
        <v>2203</v>
      </c>
      <c r="AB95" t="s">
        <v>2204</v>
      </c>
      <c r="AC95" t="s">
        <v>2205</v>
      </c>
      <c r="AD95" t="s">
        <v>2206</v>
      </c>
      <c r="AE95" t="s">
        <v>2207</v>
      </c>
      <c r="AF95" t="s">
        <v>74</v>
      </c>
      <c r="AG95">
        <v>53</v>
      </c>
      <c r="AH95">
        <v>4</v>
      </c>
      <c r="AI95">
        <v>4</v>
      </c>
      <c r="AJ95">
        <v>1</v>
      </c>
      <c r="AK95">
        <v>5</v>
      </c>
      <c r="AL95" t="s">
        <v>1406</v>
      </c>
      <c r="AM95" t="s">
        <v>1407</v>
      </c>
      <c r="AN95" t="s">
        <v>1408</v>
      </c>
      <c r="AO95" t="s">
        <v>2208</v>
      </c>
      <c r="AP95" t="s">
        <v>2209</v>
      </c>
      <c r="AQ95" t="s">
        <v>74</v>
      </c>
      <c r="AR95" t="s">
        <v>2210</v>
      </c>
      <c r="AS95" t="s">
        <v>2211</v>
      </c>
      <c r="AT95" t="s">
        <v>1212</v>
      </c>
      <c r="AU95">
        <v>2020</v>
      </c>
      <c r="AV95">
        <v>86</v>
      </c>
      <c r="AW95" t="s">
        <v>74</v>
      </c>
      <c r="AX95">
        <v>4</v>
      </c>
      <c r="AY95" t="s">
        <v>74</v>
      </c>
      <c r="AZ95" t="s">
        <v>74</v>
      </c>
      <c r="BA95" t="s">
        <v>74</v>
      </c>
      <c r="BB95">
        <v>401</v>
      </c>
      <c r="BC95">
        <v>421</v>
      </c>
      <c r="BD95" t="s">
        <v>74</v>
      </c>
      <c r="BE95" t="s">
        <v>2212</v>
      </c>
      <c r="BF95" t="str">
        <f>HYPERLINK("http://dx.doi.org/10.1093/mollus/eyaa028","http://dx.doi.org/10.1093/mollus/eyaa028")</f>
        <v>http://dx.doi.org/10.1093/mollus/eyaa028</v>
      </c>
      <c r="BG95" t="s">
        <v>74</v>
      </c>
      <c r="BH95" t="s">
        <v>74</v>
      </c>
      <c r="BI95">
        <v>21</v>
      </c>
      <c r="BJ95" t="s">
        <v>1186</v>
      </c>
      <c r="BK95" t="s">
        <v>100</v>
      </c>
      <c r="BL95" t="s">
        <v>1186</v>
      </c>
      <c r="BM95" t="s">
        <v>2213</v>
      </c>
      <c r="BN95" t="s">
        <v>74</v>
      </c>
      <c r="BO95" t="s">
        <v>74</v>
      </c>
      <c r="BP95" t="s">
        <v>74</v>
      </c>
      <c r="BQ95" t="s">
        <v>74</v>
      </c>
      <c r="BR95" t="s">
        <v>104</v>
      </c>
      <c r="BS95" t="s">
        <v>2214</v>
      </c>
      <c r="BT95" t="str">
        <f>HYPERLINK("https%3A%2F%2Fwww.webofscience.com%2Fwos%2Fwoscc%2Ffull-record%2FWOS:000593089700012","View Full Record in Web of Science")</f>
        <v>View Full Record in Web of Science</v>
      </c>
    </row>
    <row r="96" spans="1:72" x14ac:dyDescent="0.15">
      <c r="A96" t="s">
        <v>72</v>
      </c>
      <c r="B96" t="s">
        <v>2215</v>
      </c>
      <c r="C96" t="s">
        <v>74</v>
      </c>
      <c r="D96" t="s">
        <v>74</v>
      </c>
      <c r="E96" t="s">
        <v>74</v>
      </c>
      <c r="F96" t="s">
        <v>2216</v>
      </c>
      <c r="G96" t="s">
        <v>74</v>
      </c>
      <c r="H96" t="s">
        <v>74</v>
      </c>
      <c r="I96" t="s">
        <v>2217</v>
      </c>
      <c r="J96" t="s">
        <v>2218</v>
      </c>
      <c r="K96" t="s">
        <v>74</v>
      </c>
      <c r="L96" t="s">
        <v>74</v>
      </c>
      <c r="M96" t="s">
        <v>78</v>
      </c>
      <c r="N96" t="s">
        <v>79</v>
      </c>
      <c r="O96" t="s">
        <v>74</v>
      </c>
      <c r="P96" t="s">
        <v>74</v>
      </c>
      <c r="Q96" t="s">
        <v>74</v>
      </c>
      <c r="R96" t="s">
        <v>74</v>
      </c>
      <c r="S96" t="s">
        <v>74</v>
      </c>
      <c r="T96" t="s">
        <v>2219</v>
      </c>
      <c r="U96" t="s">
        <v>2220</v>
      </c>
      <c r="V96" t="s">
        <v>2221</v>
      </c>
      <c r="W96" t="s">
        <v>2222</v>
      </c>
      <c r="X96" t="s">
        <v>2223</v>
      </c>
      <c r="Y96" t="s">
        <v>2224</v>
      </c>
      <c r="Z96" t="s">
        <v>2225</v>
      </c>
      <c r="AA96" t="s">
        <v>2226</v>
      </c>
      <c r="AB96" t="s">
        <v>2227</v>
      </c>
      <c r="AC96" t="s">
        <v>2228</v>
      </c>
      <c r="AD96" t="s">
        <v>2228</v>
      </c>
      <c r="AE96" t="s">
        <v>2229</v>
      </c>
      <c r="AF96" t="s">
        <v>74</v>
      </c>
      <c r="AG96">
        <v>67</v>
      </c>
      <c r="AH96">
        <v>10</v>
      </c>
      <c r="AI96">
        <v>10</v>
      </c>
      <c r="AJ96">
        <v>4</v>
      </c>
      <c r="AK96">
        <v>13</v>
      </c>
      <c r="AL96" t="s">
        <v>2085</v>
      </c>
      <c r="AM96" t="s">
        <v>2086</v>
      </c>
      <c r="AN96" t="s">
        <v>2087</v>
      </c>
      <c r="AO96" t="s">
        <v>74</v>
      </c>
      <c r="AP96" t="s">
        <v>2230</v>
      </c>
      <c r="AQ96" t="s">
        <v>74</v>
      </c>
      <c r="AR96" t="s">
        <v>2231</v>
      </c>
      <c r="AS96" t="s">
        <v>2232</v>
      </c>
      <c r="AT96" t="s">
        <v>1212</v>
      </c>
      <c r="AU96">
        <v>2020</v>
      </c>
      <c r="AV96">
        <v>18</v>
      </c>
      <c r="AW96">
        <v>11</v>
      </c>
      <c r="AX96" t="s">
        <v>74</v>
      </c>
      <c r="AY96" t="s">
        <v>74</v>
      </c>
      <c r="AZ96" t="s">
        <v>74</v>
      </c>
      <c r="BA96" t="s">
        <v>74</v>
      </c>
      <c r="BB96" t="s">
        <v>74</v>
      </c>
      <c r="BC96" t="s">
        <v>74</v>
      </c>
      <c r="BD96">
        <v>579</v>
      </c>
      <c r="BE96" t="s">
        <v>2233</v>
      </c>
      <c r="BF96" t="str">
        <f>HYPERLINK("http://dx.doi.org/10.3390/md18110579","http://dx.doi.org/10.3390/md18110579")</f>
        <v>http://dx.doi.org/10.3390/md18110579</v>
      </c>
      <c r="BG96" t="s">
        <v>74</v>
      </c>
      <c r="BH96" t="s">
        <v>74</v>
      </c>
      <c r="BI96">
        <v>18</v>
      </c>
      <c r="BJ96" t="s">
        <v>2234</v>
      </c>
      <c r="BK96" t="s">
        <v>100</v>
      </c>
      <c r="BL96" t="s">
        <v>2235</v>
      </c>
      <c r="BM96" t="s">
        <v>2236</v>
      </c>
      <c r="BN96">
        <v>33233712</v>
      </c>
      <c r="BO96" t="s">
        <v>2113</v>
      </c>
      <c r="BP96" t="s">
        <v>74</v>
      </c>
      <c r="BQ96" t="s">
        <v>74</v>
      </c>
      <c r="BR96" t="s">
        <v>104</v>
      </c>
      <c r="BS96" t="s">
        <v>2237</v>
      </c>
      <c r="BT96" t="str">
        <f>HYPERLINK("https%3A%2F%2Fwww.webofscience.com%2Fwos%2Fwoscc%2Ffull-record%2FWOS:000593426800001","View Full Record in Web of Science")</f>
        <v>View Full Record in Web of Science</v>
      </c>
    </row>
    <row r="97" spans="1:72" x14ac:dyDescent="0.15">
      <c r="A97" t="s">
        <v>72</v>
      </c>
      <c r="B97" t="s">
        <v>2238</v>
      </c>
      <c r="C97" t="s">
        <v>74</v>
      </c>
      <c r="D97" t="s">
        <v>74</v>
      </c>
      <c r="E97" t="s">
        <v>74</v>
      </c>
      <c r="F97" t="s">
        <v>2239</v>
      </c>
      <c r="G97" t="s">
        <v>74</v>
      </c>
      <c r="H97" t="s">
        <v>74</v>
      </c>
      <c r="I97" t="s">
        <v>2240</v>
      </c>
      <c r="J97" t="s">
        <v>2218</v>
      </c>
      <c r="K97" t="s">
        <v>74</v>
      </c>
      <c r="L97" t="s">
        <v>74</v>
      </c>
      <c r="M97" t="s">
        <v>78</v>
      </c>
      <c r="N97" t="s">
        <v>79</v>
      </c>
      <c r="O97" t="s">
        <v>74</v>
      </c>
      <c r="P97" t="s">
        <v>74</v>
      </c>
      <c r="Q97" t="s">
        <v>74</v>
      </c>
      <c r="R97" t="s">
        <v>74</v>
      </c>
      <c r="S97" t="s">
        <v>74</v>
      </c>
      <c r="T97" t="s">
        <v>2241</v>
      </c>
      <c r="U97" t="s">
        <v>2242</v>
      </c>
      <c r="V97" t="s">
        <v>2243</v>
      </c>
      <c r="W97" t="s">
        <v>2244</v>
      </c>
      <c r="X97" t="s">
        <v>2245</v>
      </c>
      <c r="Y97" t="s">
        <v>2246</v>
      </c>
      <c r="Z97" t="s">
        <v>2247</v>
      </c>
      <c r="AA97" t="s">
        <v>2248</v>
      </c>
      <c r="AB97" t="s">
        <v>2249</v>
      </c>
      <c r="AC97" t="s">
        <v>2250</v>
      </c>
      <c r="AD97" t="s">
        <v>2251</v>
      </c>
      <c r="AE97" t="s">
        <v>2252</v>
      </c>
      <c r="AF97" t="s">
        <v>74</v>
      </c>
      <c r="AG97">
        <v>50</v>
      </c>
      <c r="AH97">
        <v>9</v>
      </c>
      <c r="AI97">
        <v>10</v>
      </c>
      <c r="AJ97">
        <v>3</v>
      </c>
      <c r="AK97">
        <v>23</v>
      </c>
      <c r="AL97" t="s">
        <v>2085</v>
      </c>
      <c r="AM97" t="s">
        <v>2086</v>
      </c>
      <c r="AN97" t="s">
        <v>2087</v>
      </c>
      <c r="AO97" t="s">
        <v>74</v>
      </c>
      <c r="AP97" t="s">
        <v>2230</v>
      </c>
      <c r="AQ97" t="s">
        <v>74</v>
      </c>
      <c r="AR97" t="s">
        <v>2231</v>
      </c>
      <c r="AS97" t="s">
        <v>2232</v>
      </c>
      <c r="AT97" t="s">
        <v>1212</v>
      </c>
      <c r="AU97">
        <v>2020</v>
      </c>
      <c r="AV97">
        <v>18</v>
      </c>
      <c r="AW97">
        <v>11</v>
      </c>
      <c r="AX97" t="s">
        <v>74</v>
      </c>
      <c r="AY97" t="s">
        <v>74</v>
      </c>
      <c r="AZ97" t="s">
        <v>74</v>
      </c>
      <c r="BA97" t="s">
        <v>74</v>
      </c>
      <c r="BB97" t="s">
        <v>74</v>
      </c>
      <c r="BC97" t="s">
        <v>74</v>
      </c>
      <c r="BD97">
        <v>563</v>
      </c>
      <c r="BE97" t="s">
        <v>2253</v>
      </c>
      <c r="BF97" t="str">
        <f>HYPERLINK("http://dx.doi.org/10.3390/md18110563","http://dx.doi.org/10.3390/md18110563")</f>
        <v>http://dx.doi.org/10.3390/md18110563</v>
      </c>
      <c r="BG97" t="s">
        <v>74</v>
      </c>
      <c r="BH97" t="s">
        <v>74</v>
      </c>
      <c r="BI97">
        <v>16</v>
      </c>
      <c r="BJ97" t="s">
        <v>2234</v>
      </c>
      <c r="BK97" t="s">
        <v>100</v>
      </c>
      <c r="BL97" t="s">
        <v>2235</v>
      </c>
      <c r="BM97" t="s">
        <v>2254</v>
      </c>
      <c r="BN97">
        <v>33217919</v>
      </c>
      <c r="BO97" t="s">
        <v>2113</v>
      </c>
      <c r="BP97" t="s">
        <v>74</v>
      </c>
      <c r="BQ97" t="s">
        <v>74</v>
      </c>
      <c r="BR97" t="s">
        <v>104</v>
      </c>
      <c r="BS97" t="s">
        <v>2255</v>
      </c>
      <c r="BT97" t="str">
        <f>HYPERLINK("https%3A%2F%2Fwww.webofscience.com%2Fwos%2Fwoscc%2Ffull-record%2FWOS:000593681700001","View Full Record in Web of Science")</f>
        <v>View Full Record in Web of Science</v>
      </c>
    </row>
    <row r="98" spans="1:72" x14ac:dyDescent="0.15">
      <c r="A98" t="s">
        <v>72</v>
      </c>
      <c r="B98" t="s">
        <v>2256</v>
      </c>
      <c r="C98" t="s">
        <v>74</v>
      </c>
      <c r="D98" t="s">
        <v>74</v>
      </c>
      <c r="E98" t="s">
        <v>74</v>
      </c>
      <c r="F98" t="s">
        <v>2257</v>
      </c>
      <c r="G98" t="s">
        <v>74</v>
      </c>
      <c r="H98" t="s">
        <v>74</v>
      </c>
      <c r="I98" t="s">
        <v>2258</v>
      </c>
      <c r="J98" t="s">
        <v>2259</v>
      </c>
      <c r="K98" t="s">
        <v>74</v>
      </c>
      <c r="L98" t="s">
        <v>74</v>
      </c>
      <c r="M98" t="s">
        <v>78</v>
      </c>
      <c r="N98" t="s">
        <v>79</v>
      </c>
      <c r="O98" t="s">
        <v>74</v>
      </c>
      <c r="P98" t="s">
        <v>74</v>
      </c>
      <c r="Q98" t="s">
        <v>74</v>
      </c>
      <c r="R98" t="s">
        <v>74</v>
      </c>
      <c r="S98" t="s">
        <v>74</v>
      </c>
      <c r="T98" t="s">
        <v>2260</v>
      </c>
      <c r="U98" t="s">
        <v>2261</v>
      </c>
      <c r="V98" t="s">
        <v>2262</v>
      </c>
      <c r="W98" t="s">
        <v>2263</v>
      </c>
      <c r="X98" t="s">
        <v>2264</v>
      </c>
      <c r="Y98" t="s">
        <v>2265</v>
      </c>
      <c r="Z98" t="s">
        <v>2266</v>
      </c>
      <c r="AA98" t="s">
        <v>2267</v>
      </c>
      <c r="AB98" t="s">
        <v>2268</v>
      </c>
      <c r="AC98" t="s">
        <v>2269</v>
      </c>
      <c r="AD98" t="s">
        <v>2270</v>
      </c>
      <c r="AE98" t="s">
        <v>2271</v>
      </c>
      <c r="AF98" t="s">
        <v>74</v>
      </c>
      <c r="AG98">
        <v>56</v>
      </c>
      <c r="AH98">
        <v>11</v>
      </c>
      <c r="AI98">
        <v>11</v>
      </c>
      <c r="AJ98">
        <v>3</v>
      </c>
      <c r="AK98">
        <v>22</v>
      </c>
      <c r="AL98" t="s">
        <v>2085</v>
      </c>
      <c r="AM98" t="s">
        <v>2086</v>
      </c>
      <c r="AN98" t="s">
        <v>2087</v>
      </c>
      <c r="AO98" t="s">
        <v>74</v>
      </c>
      <c r="AP98" t="s">
        <v>2272</v>
      </c>
      <c r="AQ98" t="s">
        <v>74</v>
      </c>
      <c r="AR98" t="s">
        <v>2259</v>
      </c>
      <c r="AS98" t="s">
        <v>2273</v>
      </c>
      <c r="AT98" t="s">
        <v>1212</v>
      </c>
      <c r="AU98">
        <v>2020</v>
      </c>
      <c r="AV98">
        <v>8</v>
      </c>
      <c r="AW98">
        <v>11</v>
      </c>
      <c r="AX98" t="s">
        <v>74</v>
      </c>
      <c r="AY98" t="s">
        <v>74</v>
      </c>
      <c r="AZ98" t="s">
        <v>74</v>
      </c>
      <c r="BA98" t="s">
        <v>74</v>
      </c>
      <c r="BB98" t="s">
        <v>74</v>
      </c>
      <c r="BC98" t="s">
        <v>74</v>
      </c>
      <c r="BD98">
        <v>1788</v>
      </c>
      <c r="BE98" t="s">
        <v>2274</v>
      </c>
      <c r="BF98" t="str">
        <f>HYPERLINK("http://dx.doi.org/10.3390/microorganisms8111788","http://dx.doi.org/10.3390/microorganisms8111788")</f>
        <v>http://dx.doi.org/10.3390/microorganisms8111788</v>
      </c>
      <c r="BG98" t="s">
        <v>74</v>
      </c>
      <c r="BH98" t="s">
        <v>74</v>
      </c>
      <c r="BI98">
        <v>15</v>
      </c>
      <c r="BJ98" t="s">
        <v>229</v>
      </c>
      <c r="BK98" t="s">
        <v>100</v>
      </c>
      <c r="BL98" t="s">
        <v>229</v>
      </c>
      <c r="BM98" t="s">
        <v>2275</v>
      </c>
      <c r="BN98">
        <v>33202619</v>
      </c>
      <c r="BO98" t="s">
        <v>2113</v>
      </c>
      <c r="BP98" t="s">
        <v>74</v>
      </c>
      <c r="BQ98" t="s">
        <v>74</v>
      </c>
      <c r="BR98" t="s">
        <v>104</v>
      </c>
      <c r="BS98" t="s">
        <v>2276</v>
      </c>
      <c r="BT98" t="str">
        <f>HYPERLINK("https%3A%2F%2Fwww.webofscience.com%2Fwos%2Fwoscc%2Ffull-record%2FWOS:000593186800001","View Full Record in Web of Science")</f>
        <v>View Full Record in Web of Science</v>
      </c>
    </row>
    <row r="99" spans="1:72" x14ac:dyDescent="0.15">
      <c r="A99" t="s">
        <v>72</v>
      </c>
      <c r="B99" t="s">
        <v>2277</v>
      </c>
      <c r="C99" t="s">
        <v>74</v>
      </c>
      <c r="D99" t="s">
        <v>74</v>
      </c>
      <c r="E99" t="s">
        <v>74</v>
      </c>
      <c r="F99" t="s">
        <v>2278</v>
      </c>
      <c r="G99" t="s">
        <v>74</v>
      </c>
      <c r="H99" t="s">
        <v>74</v>
      </c>
      <c r="I99" t="s">
        <v>2279</v>
      </c>
      <c r="J99" t="s">
        <v>2259</v>
      </c>
      <c r="K99" t="s">
        <v>74</v>
      </c>
      <c r="L99" t="s">
        <v>74</v>
      </c>
      <c r="M99" t="s">
        <v>78</v>
      </c>
      <c r="N99" t="s">
        <v>79</v>
      </c>
      <c r="O99" t="s">
        <v>74</v>
      </c>
      <c r="P99" t="s">
        <v>74</v>
      </c>
      <c r="Q99" t="s">
        <v>74</v>
      </c>
      <c r="R99" t="s">
        <v>74</v>
      </c>
      <c r="S99" t="s">
        <v>74</v>
      </c>
      <c r="T99" t="s">
        <v>2280</v>
      </c>
      <c r="U99" t="s">
        <v>2281</v>
      </c>
      <c r="V99" t="s">
        <v>2282</v>
      </c>
      <c r="W99" t="s">
        <v>2283</v>
      </c>
      <c r="X99" t="s">
        <v>2284</v>
      </c>
      <c r="Y99" t="s">
        <v>2285</v>
      </c>
      <c r="Z99" t="s">
        <v>2286</v>
      </c>
      <c r="AA99" t="s">
        <v>2287</v>
      </c>
      <c r="AB99" t="s">
        <v>2288</v>
      </c>
      <c r="AC99" t="s">
        <v>2289</v>
      </c>
      <c r="AD99" t="s">
        <v>2290</v>
      </c>
      <c r="AE99" t="s">
        <v>2291</v>
      </c>
      <c r="AF99" t="s">
        <v>74</v>
      </c>
      <c r="AG99">
        <v>73</v>
      </c>
      <c r="AH99">
        <v>8</v>
      </c>
      <c r="AI99">
        <v>9</v>
      </c>
      <c r="AJ99">
        <v>7</v>
      </c>
      <c r="AK99">
        <v>21</v>
      </c>
      <c r="AL99" t="s">
        <v>2085</v>
      </c>
      <c r="AM99" t="s">
        <v>2086</v>
      </c>
      <c r="AN99" t="s">
        <v>2087</v>
      </c>
      <c r="AO99" t="s">
        <v>74</v>
      </c>
      <c r="AP99" t="s">
        <v>2272</v>
      </c>
      <c r="AQ99" t="s">
        <v>74</v>
      </c>
      <c r="AR99" t="s">
        <v>2259</v>
      </c>
      <c r="AS99" t="s">
        <v>2273</v>
      </c>
      <c r="AT99" t="s">
        <v>1212</v>
      </c>
      <c r="AU99">
        <v>2020</v>
      </c>
      <c r="AV99">
        <v>8</v>
      </c>
      <c r="AW99">
        <v>11</v>
      </c>
      <c r="AX99" t="s">
        <v>74</v>
      </c>
      <c r="AY99" t="s">
        <v>74</v>
      </c>
      <c r="AZ99" t="s">
        <v>74</v>
      </c>
      <c r="BA99" t="s">
        <v>74</v>
      </c>
      <c r="BB99" t="s">
        <v>74</v>
      </c>
      <c r="BC99" t="s">
        <v>74</v>
      </c>
      <c r="BD99">
        <v>1747</v>
      </c>
      <c r="BE99" t="s">
        <v>2292</v>
      </c>
      <c r="BF99" t="str">
        <f>HYPERLINK("http://dx.doi.org/10.3390/microorganisms8111747","http://dx.doi.org/10.3390/microorganisms8111747")</f>
        <v>http://dx.doi.org/10.3390/microorganisms8111747</v>
      </c>
      <c r="BG99" t="s">
        <v>74</v>
      </c>
      <c r="BH99" t="s">
        <v>74</v>
      </c>
      <c r="BI99">
        <v>16</v>
      </c>
      <c r="BJ99" t="s">
        <v>229</v>
      </c>
      <c r="BK99" t="s">
        <v>100</v>
      </c>
      <c r="BL99" t="s">
        <v>229</v>
      </c>
      <c r="BM99" t="s">
        <v>2293</v>
      </c>
      <c r="BN99">
        <v>33171740</v>
      </c>
      <c r="BO99" t="s">
        <v>2113</v>
      </c>
      <c r="BP99" t="s">
        <v>74</v>
      </c>
      <c r="BQ99" t="s">
        <v>74</v>
      </c>
      <c r="BR99" t="s">
        <v>104</v>
      </c>
      <c r="BS99" t="s">
        <v>2294</v>
      </c>
      <c r="BT99" t="str">
        <f>HYPERLINK("https%3A%2F%2Fwww.webofscience.com%2Fwos%2Fwoscc%2Ffull-record%2FWOS:000593372900001","View Full Record in Web of Science")</f>
        <v>View Full Record in Web of Science</v>
      </c>
    </row>
    <row r="100" spans="1:72" x14ac:dyDescent="0.15">
      <c r="A100" t="s">
        <v>72</v>
      </c>
      <c r="B100" t="s">
        <v>2295</v>
      </c>
      <c r="C100" t="s">
        <v>74</v>
      </c>
      <c r="D100" t="s">
        <v>74</v>
      </c>
      <c r="E100" t="s">
        <v>74</v>
      </c>
      <c r="F100" t="s">
        <v>2296</v>
      </c>
      <c r="G100" t="s">
        <v>74</v>
      </c>
      <c r="H100" t="s">
        <v>74</v>
      </c>
      <c r="I100" t="s">
        <v>2297</v>
      </c>
      <c r="J100" t="s">
        <v>2298</v>
      </c>
      <c r="K100" t="s">
        <v>74</v>
      </c>
      <c r="L100" t="s">
        <v>74</v>
      </c>
      <c r="M100" t="s">
        <v>78</v>
      </c>
      <c r="N100" t="s">
        <v>79</v>
      </c>
      <c r="O100" t="s">
        <v>74</v>
      </c>
      <c r="P100" t="s">
        <v>74</v>
      </c>
      <c r="Q100" t="s">
        <v>74</v>
      </c>
      <c r="R100" t="s">
        <v>74</v>
      </c>
      <c r="S100" t="s">
        <v>74</v>
      </c>
      <c r="T100" t="s">
        <v>2299</v>
      </c>
      <c r="U100" t="s">
        <v>2300</v>
      </c>
      <c r="V100" t="s">
        <v>2301</v>
      </c>
      <c r="W100" t="s">
        <v>2302</v>
      </c>
      <c r="X100" t="s">
        <v>2303</v>
      </c>
      <c r="Y100" t="s">
        <v>2304</v>
      </c>
      <c r="Z100" t="s">
        <v>2305</v>
      </c>
      <c r="AA100" t="s">
        <v>2306</v>
      </c>
      <c r="AB100" t="s">
        <v>74</v>
      </c>
      <c r="AC100" t="s">
        <v>2307</v>
      </c>
      <c r="AD100" t="s">
        <v>2308</v>
      </c>
      <c r="AE100" t="s">
        <v>2309</v>
      </c>
      <c r="AF100" t="s">
        <v>74</v>
      </c>
      <c r="AG100">
        <v>97</v>
      </c>
      <c r="AH100">
        <v>1</v>
      </c>
      <c r="AI100">
        <v>2</v>
      </c>
      <c r="AJ100">
        <v>0</v>
      </c>
      <c r="AK100">
        <v>12</v>
      </c>
      <c r="AL100" t="s">
        <v>2085</v>
      </c>
      <c r="AM100" t="s">
        <v>2086</v>
      </c>
      <c r="AN100" t="s">
        <v>2087</v>
      </c>
      <c r="AO100" t="s">
        <v>74</v>
      </c>
      <c r="AP100" t="s">
        <v>2310</v>
      </c>
      <c r="AQ100" t="s">
        <v>74</v>
      </c>
      <c r="AR100" t="s">
        <v>2311</v>
      </c>
      <c r="AS100" t="s">
        <v>2312</v>
      </c>
      <c r="AT100" t="s">
        <v>1212</v>
      </c>
      <c r="AU100">
        <v>2020</v>
      </c>
      <c r="AV100">
        <v>10</v>
      </c>
      <c r="AW100">
        <v>11</v>
      </c>
      <c r="AX100" t="s">
        <v>74</v>
      </c>
      <c r="AY100" t="s">
        <v>74</v>
      </c>
      <c r="AZ100" t="s">
        <v>74</v>
      </c>
      <c r="BA100" t="s">
        <v>74</v>
      </c>
      <c r="BB100" t="s">
        <v>74</v>
      </c>
      <c r="BC100" t="s">
        <v>74</v>
      </c>
      <c r="BD100">
        <v>1010</v>
      </c>
      <c r="BE100" t="s">
        <v>2313</v>
      </c>
      <c r="BF100" t="str">
        <f>HYPERLINK("http://dx.doi.org/10.3390/min10111010","http://dx.doi.org/10.3390/min10111010")</f>
        <v>http://dx.doi.org/10.3390/min10111010</v>
      </c>
      <c r="BG100" t="s">
        <v>74</v>
      </c>
      <c r="BH100" t="s">
        <v>74</v>
      </c>
      <c r="BI100">
        <v>20</v>
      </c>
      <c r="BJ100" t="s">
        <v>2314</v>
      </c>
      <c r="BK100" t="s">
        <v>100</v>
      </c>
      <c r="BL100" t="s">
        <v>2314</v>
      </c>
      <c r="BM100" t="s">
        <v>2315</v>
      </c>
      <c r="BN100" t="s">
        <v>74</v>
      </c>
      <c r="BO100" t="s">
        <v>332</v>
      </c>
      <c r="BP100" t="s">
        <v>74</v>
      </c>
      <c r="BQ100" t="s">
        <v>74</v>
      </c>
      <c r="BR100" t="s">
        <v>104</v>
      </c>
      <c r="BS100" t="s">
        <v>2316</v>
      </c>
      <c r="BT100" t="str">
        <f>HYPERLINK("https%3A%2F%2Fwww.webofscience.com%2Fwos%2Fwoscc%2Ffull-record%2FWOS:000593290400001","View Full Record in Web of Science")</f>
        <v>View Full Record in Web of Science</v>
      </c>
    </row>
    <row r="101" spans="1:72" x14ac:dyDescent="0.15">
      <c r="A101" t="s">
        <v>72</v>
      </c>
      <c r="B101" t="s">
        <v>2317</v>
      </c>
      <c r="C101" t="s">
        <v>74</v>
      </c>
      <c r="D101" t="s">
        <v>74</v>
      </c>
      <c r="E101" t="s">
        <v>74</v>
      </c>
      <c r="F101" t="s">
        <v>2318</v>
      </c>
      <c r="G101" t="s">
        <v>74</v>
      </c>
      <c r="H101" t="s">
        <v>74</v>
      </c>
      <c r="I101" t="s">
        <v>2319</v>
      </c>
      <c r="J101" t="s">
        <v>2320</v>
      </c>
      <c r="K101" t="s">
        <v>74</v>
      </c>
      <c r="L101" t="s">
        <v>74</v>
      </c>
      <c r="M101" t="s">
        <v>78</v>
      </c>
      <c r="N101" t="s">
        <v>79</v>
      </c>
      <c r="O101" t="s">
        <v>74</v>
      </c>
      <c r="P101" t="s">
        <v>74</v>
      </c>
      <c r="Q101" t="s">
        <v>74</v>
      </c>
      <c r="R101" t="s">
        <v>74</v>
      </c>
      <c r="S101" t="s">
        <v>74</v>
      </c>
      <c r="T101" t="s">
        <v>2321</v>
      </c>
      <c r="U101" t="s">
        <v>2322</v>
      </c>
      <c r="V101" t="s">
        <v>2323</v>
      </c>
      <c r="W101" t="s">
        <v>2324</v>
      </c>
      <c r="X101" t="s">
        <v>2325</v>
      </c>
      <c r="Y101" t="s">
        <v>2326</v>
      </c>
      <c r="Z101" t="s">
        <v>2327</v>
      </c>
      <c r="AA101" t="s">
        <v>2328</v>
      </c>
      <c r="AB101" t="s">
        <v>2329</v>
      </c>
      <c r="AC101" t="s">
        <v>2330</v>
      </c>
      <c r="AD101" t="s">
        <v>2331</v>
      </c>
      <c r="AE101" t="s">
        <v>2332</v>
      </c>
      <c r="AF101" t="s">
        <v>74</v>
      </c>
      <c r="AG101">
        <v>45</v>
      </c>
      <c r="AH101">
        <v>57</v>
      </c>
      <c r="AI101">
        <v>60</v>
      </c>
      <c r="AJ101">
        <v>29</v>
      </c>
      <c r="AK101">
        <v>169</v>
      </c>
      <c r="AL101" t="s">
        <v>2085</v>
      </c>
      <c r="AM101" t="s">
        <v>2086</v>
      </c>
      <c r="AN101" t="s">
        <v>2087</v>
      </c>
      <c r="AO101" t="s">
        <v>74</v>
      </c>
      <c r="AP101" t="s">
        <v>2333</v>
      </c>
      <c r="AQ101" t="s">
        <v>74</v>
      </c>
      <c r="AR101" t="s">
        <v>2334</v>
      </c>
      <c r="AS101" t="s">
        <v>2335</v>
      </c>
      <c r="AT101" t="s">
        <v>1212</v>
      </c>
      <c r="AU101">
        <v>2020</v>
      </c>
      <c r="AV101">
        <v>12</v>
      </c>
      <c r="AW101">
        <v>11</v>
      </c>
      <c r="AX101" t="s">
        <v>74</v>
      </c>
      <c r="AY101" t="s">
        <v>74</v>
      </c>
      <c r="AZ101" t="s">
        <v>74</v>
      </c>
      <c r="BA101" t="s">
        <v>74</v>
      </c>
      <c r="BB101" t="s">
        <v>74</v>
      </c>
      <c r="BC101" t="s">
        <v>74</v>
      </c>
      <c r="BD101">
        <v>2616</v>
      </c>
      <c r="BE101" t="s">
        <v>2336</v>
      </c>
      <c r="BF101" t="str">
        <f>HYPERLINK("http://dx.doi.org/10.3390/polym12112616","http://dx.doi.org/10.3390/polym12112616")</f>
        <v>http://dx.doi.org/10.3390/polym12112616</v>
      </c>
      <c r="BG101" t="s">
        <v>74</v>
      </c>
      <c r="BH101" t="s">
        <v>74</v>
      </c>
      <c r="BI101">
        <v>12</v>
      </c>
      <c r="BJ101" t="s">
        <v>2337</v>
      </c>
      <c r="BK101" t="s">
        <v>100</v>
      </c>
      <c r="BL101" t="s">
        <v>2337</v>
      </c>
      <c r="BM101" t="s">
        <v>2338</v>
      </c>
      <c r="BN101">
        <v>33172014</v>
      </c>
      <c r="BO101" t="s">
        <v>332</v>
      </c>
      <c r="BP101" t="s">
        <v>74</v>
      </c>
      <c r="BQ101" t="s">
        <v>74</v>
      </c>
      <c r="BR101" t="s">
        <v>104</v>
      </c>
      <c r="BS101" t="s">
        <v>2339</v>
      </c>
      <c r="BT101" t="str">
        <f>HYPERLINK("https%3A%2F%2Fwww.webofscience.com%2Fwos%2Fwoscc%2Ffull-record%2FWOS:000593736800001","View Full Record in Web of Science")</f>
        <v>View Full Record in Web of Science</v>
      </c>
    </row>
    <row r="102" spans="1:72" x14ac:dyDescent="0.15">
      <c r="A102" t="s">
        <v>72</v>
      </c>
      <c r="B102" t="s">
        <v>2340</v>
      </c>
      <c r="C102" t="s">
        <v>74</v>
      </c>
      <c r="D102" t="s">
        <v>74</v>
      </c>
      <c r="E102" t="s">
        <v>74</v>
      </c>
      <c r="F102" t="s">
        <v>2341</v>
      </c>
      <c r="G102" t="s">
        <v>74</v>
      </c>
      <c r="H102" t="s">
        <v>74</v>
      </c>
      <c r="I102" t="s">
        <v>2342</v>
      </c>
      <c r="J102" t="s">
        <v>2343</v>
      </c>
      <c r="K102" t="s">
        <v>74</v>
      </c>
      <c r="L102" t="s">
        <v>74</v>
      </c>
      <c r="M102" t="s">
        <v>78</v>
      </c>
      <c r="N102" t="s">
        <v>79</v>
      </c>
      <c r="O102" t="s">
        <v>74</v>
      </c>
      <c r="P102" t="s">
        <v>74</v>
      </c>
      <c r="Q102" t="s">
        <v>74</v>
      </c>
      <c r="R102" t="s">
        <v>74</v>
      </c>
      <c r="S102" t="s">
        <v>74</v>
      </c>
      <c r="T102" t="s">
        <v>2344</v>
      </c>
      <c r="U102" t="s">
        <v>2345</v>
      </c>
      <c r="V102" t="s">
        <v>2346</v>
      </c>
      <c r="W102" t="s">
        <v>2347</v>
      </c>
      <c r="X102" t="s">
        <v>2348</v>
      </c>
      <c r="Y102" t="s">
        <v>2349</v>
      </c>
      <c r="Z102" t="s">
        <v>2350</v>
      </c>
      <c r="AA102" t="s">
        <v>2351</v>
      </c>
      <c r="AB102" t="s">
        <v>2352</v>
      </c>
      <c r="AC102" t="s">
        <v>2353</v>
      </c>
      <c r="AD102" t="s">
        <v>2354</v>
      </c>
      <c r="AE102" t="s">
        <v>2355</v>
      </c>
      <c r="AF102" t="s">
        <v>74</v>
      </c>
      <c r="AG102">
        <v>48</v>
      </c>
      <c r="AH102">
        <v>14</v>
      </c>
      <c r="AI102">
        <v>16</v>
      </c>
      <c r="AJ102">
        <v>1</v>
      </c>
      <c r="AK102">
        <v>27</v>
      </c>
      <c r="AL102" t="s">
        <v>2085</v>
      </c>
      <c r="AM102" t="s">
        <v>2086</v>
      </c>
      <c r="AN102" t="s">
        <v>2087</v>
      </c>
      <c r="AO102" t="s">
        <v>74</v>
      </c>
      <c r="AP102" t="s">
        <v>2356</v>
      </c>
      <c r="AQ102" t="s">
        <v>74</v>
      </c>
      <c r="AR102" t="s">
        <v>2357</v>
      </c>
      <c r="AS102" t="s">
        <v>2358</v>
      </c>
      <c r="AT102" t="s">
        <v>1212</v>
      </c>
      <c r="AU102">
        <v>2020</v>
      </c>
      <c r="AV102">
        <v>11</v>
      </c>
      <c r="AW102">
        <v>11</v>
      </c>
      <c r="AX102" t="s">
        <v>74</v>
      </c>
      <c r="AY102" t="s">
        <v>74</v>
      </c>
      <c r="AZ102" t="s">
        <v>74</v>
      </c>
      <c r="BA102" t="s">
        <v>74</v>
      </c>
      <c r="BB102" t="s">
        <v>74</v>
      </c>
      <c r="BC102" t="s">
        <v>74</v>
      </c>
      <c r="BD102">
        <v>1170</v>
      </c>
      <c r="BE102" t="s">
        <v>2359</v>
      </c>
      <c r="BF102" t="str">
        <f>HYPERLINK("http://dx.doi.org/10.3390/atmos11111170","http://dx.doi.org/10.3390/atmos11111170")</f>
        <v>http://dx.doi.org/10.3390/atmos11111170</v>
      </c>
      <c r="BG102" t="s">
        <v>74</v>
      </c>
      <c r="BH102" t="s">
        <v>74</v>
      </c>
      <c r="BI102">
        <v>22</v>
      </c>
      <c r="BJ102" t="s">
        <v>1027</v>
      </c>
      <c r="BK102" t="s">
        <v>100</v>
      </c>
      <c r="BL102" t="s">
        <v>1028</v>
      </c>
      <c r="BM102" t="s">
        <v>2360</v>
      </c>
      <c r="BN102" t="s">
        <v>74</v>
      </c>
      <c r="BO102" t="s">
        <v>202</v>
      </c>
      <c r="BP102" t="s">
        <v>74</v>
      </c>
      <c r="BQ102" t="s">
        <v>74</v>
      </c>
      <c r="BR102" t="s">
        <v>104</v>
      </c>
      <c r="BS102" t="s">
        <v>2361</v>
      </c>
      <c r="BT102" t="str">
        <f>HYPERLINK("https%3A%2F%2Fwww.webofscience.com%2Fwos%2Fwoscc%2Ffull-record%2FWOS:000593025600001","View Full Record in Web of Science")</f>
        <v>View Full Record in Web of Science</v>
      </c>
    </row>
    <row r="103" spans="1:72" x14ac:dyDescent="0.15">
      <c r="A103" t="s">
        <v>72</v>
      </c>
      <c r="B103" t="s">
        <v>2362</v>
      </c>
      <c r="C103" t="s">
        <v>74</v>
      </c>
      <c r="D103" t="s">
        <v>74</v>
      </c>
      <c r="E103" t="s">
        <v>74</v>
      </c>
      <c r="F103" t="s">
        <v>2363</v>
      </c>
      <c r="G103" t="s">
        <v>74</v>
      </c>
      <c r="H103" t="s">
        <v>74</v>
      </c>
      <c r="I103" t="s">
        <v>2364</v>
      </c>
      <c r="J103" t="s">
        <v>2365</v>
      </c>
      <c r="K103" t="s">
        <v>74</v>
      </c>
      <c r="L103" t="s">
        <v>74</v>
      </c>
      <c r="M103" t="s">
        <v>78</v>
      </c>
      <c r="N103" t="s">
        <v>79</v>
      </c>
      <c r="O103" t="s">
        <v>74</v>
      </c>
      <c r="P103" t="s">
        <v>74</v>
      </c>
      <c r="Q103" t="s">
        <v>74</v>
      </c>
      <c r="R103" t="s">
        <v>74</v>
      </c>
      <c r="S103" t="s">
        <v>74</v>
      </c>
      <c r="T103" t="s">
        <v>2366</v>
      </c>
      <c r="U103" t="s">
        <v>2367</v>
      </c>
      <c r="V103" t="s">
        <v>2368</v>
      </c>
      <c r="W103" t="s">
        <v>2369</v>
      </c>
      <c r="X103" t="s">
        <v>2370</v>
      </c>
      <c r="Y103" t="s">
        <v>2371</v>
      </c>
      <c r="Z103" t="s">
        <v>2372</v>
      </c>
      <c r="AA103" t="s">
        <v>2373</v>
      </c>
      <c r="AB103" t="s">
        <v>2374</v>
      </c>
      <c r="AC103" t="s">
        <v>2375</v>
      </c>
      <c r="AD103" t="s">
        <v>2376</v>
      </c>
      <c r="AE103" t="s">
        <v>2377</v>
      </c>
      <c r="AF103" t="s">
        <v>74</v>
      </c>
      <c r="AG103">
        <v>47</v>
      </c>
      <c r="AH103">
        <v>7</v>
      </c>
      <c r="AI103">
        <v>7</v>
      </c>
      <c r="AJ103">
        <v>2</v>
      </c>
      <c r="AK103">
        <v>12</v>
      </c>
      <c r="AL103" t="s">
        <v>2085</v>
      </c>
      <c r="AM103" t="s">
        <v>2086</v>
      </c>
      <c r="AN103" t="s">
        <v>2087</v>
      </c>
      <c r="AO103" t="s">
        <v>74</v>
      </c>
      <c r="AP103" t="s">
        <v>2378</v>
      </c>
      <c r="AQ103" t="s">
        <v>74</v>
      </c>
      <c r="AR103" t="s">
        <v>2365</v>
      </c>
      <c r="AS103" t="s">
        <v>2379</v>
      </c>
      <c r="AT103" t="s">
        <v>1212</v>
      </c>
      <c r="AU103">
        <v>2020</v>
      </c>
      <c r="AV103">
        <v>9</v>
      </c>
      <c r="AW103">
        <v>11</v>
      </c>
      <c r="AX103" t="s">
        <v>74</v>
      </c>
      <c r="AY103" t="s">
        <v>74</v>
      </c>
      <c r="AZ103" t="s">
        <v>74</v>
      </c>
      <c r="BA103" t="s">
        <v>74</v>
      </c>
      <c r="BB103" t="s">
        <v>74</v>
      </c>
      <c r="BC103" t="s">
        <v>74</v>
      </c>
      <c r="BD103">
        <v>410</v>
      </c>
      <c r="BE103" t="s">
        <v>2380</v>
      </c>
      <c r="BF103" t="str">
        <f>HYPERLINK("http://dx.doi.org/10.3390/biology9110410","http://dx.doi.org/10.3390/biology9110410")</f>
        <v>http://dx.doi.org/10.3390/biology9110410</v>
      </c>
      <c r="BG103" t="s">
        <v>74</v>
      </c>
      <c r="BH103" t="s">
        <v>74</v>
      </c>
      <c r="BI103">
        <v>13</v>
      </c>
      <c r="BJ103" t="s">
        <v>1454</v>
      </c>
      <c r="BK103" t="s">
        <v>100</v>
      </c>
      <c r="BL103" t="s">
        <v>1455</v>
      </c>
      <c r="BM103" t="s">
        <v>2381</v>
      </c>
      <c r="BN103">
        <v>33266516</v>
      </c>
      <c r="BO103" t="s">
        <v>2113</v>
      </c>
      <c r="BP103" t="s">
        <v>74</v>
      </c>
      <c r="BQ103" t="s">
        <v>74</v>
      </c>
      <c r="BR103" t="s">
        <v>104</v>
      </c>
      <c r="BS103" t="s">
        <v>2382</v>
      </c>
      <c r="BT103" t="str">
        <f>HYPERLINK("https%3A%2F%2Fwww.webofscience.com%2Fwos%2Fwoscc%2Ffull-record%2FWOS:000592927100001","View Full Record in Web of Science")</f>
        <v>View Full Record in Web of Science</v>
      </c>
    </row>
    <row r="104" spans="1:72" x14ac:dyDescent="0.15">
      <c r="A104" t="s">
        <v>72</v>
      </c>
      <c r="B104" t="s">
        <v>2383</v>
      </c>
      <c r="C104" t="s">
        <v>74</v>
      </c>
      <c r="D104" t="s">
        <v>74</v>
      </c>
      <c r="E104" t="s">
        <v>74</v>
      </c>
      <c r="F104" t="s">
        <v>2384</v>
      </c>
      <c r="G104" t="s">
        <v>74</v>
      </c>
      <c r="H104" t="s">
        <v>74</v>
      </c>
      <c r="I104" t="s">
        <v>2385</v>
      </c>
      <c r="J104" t="s">
        <v>2386</v>
      </c>
      <c r="K104" t="s">
        <v>74</v>
      </c>
      <c r="L104" t="s">
        <v>74</v>
      </c>
      <c r="M104" t="s">
        <v>78</v>
      </c>
      <c r="N104" t="s">
        <v>79</v>
      </c>
      <c r="O104" t="s">
        <v>74</v>
      </c>
      <c r="P104" t="s">
        <v>74</v>
      </c>
      <c r="Q104" t="s">
        <v>74</v>
      </c>
      <c r="R104" t="s">
        <v>74</v>
      </c>
      <c r="S104" t="s">
        <v>74</v>
      </c>
      <c r="T104" t="s">
        <v>2387</v>
      </c>
      <c r="U104" t="s">
        <v>2388</v>
      </c>
      <c r="V104" t="s">
        <v>2389</v>
      </c>
      <c r="W104" t="s">
        <v>2390</v>
      </c>
      <c r="X104" t="s">
        <v>2391</v>
      </c>
      <c r="Y104" t="s">
        <v>2392</v>
      </c>
      <c r="Z104" t="s">
        <v>2393</v>
      </c>
      <c r="AA104" t="s">
        <v>74</v>
      </c>
      <c r="AB104" t="s">
        <v>2394</v>
      </c>
      <c r="AC104" t="s">
        <v>2395</v>
      </c>
      <c r="AD104" t="s">
        <v>2395</v>
      </c>
      <c r="AE104" t="s">
        <v>2396</v>
      </c>
      <c r="AF104" t="s">
        <v>74</v>
      </c>
      <c r="AG104">
        <v>103</v>
      </c>
      <c r="AH104">
        <v>2</v>
      </c>
      <c r="AI104">
        <v>2</v>
      </c>
      <c r="AJ104">
        <v>2</v>
      </c>
      <c r="AK104">
        <v>11</v>
      </c>
      <c r="AL104" t="s">
        <v>2085</v>
      </c>
      <c r="AM104" t="s">
        <v>2086</v>
      </c>
      <c r="AN104" t="s">
        <v>2087</v>
      </c>
      <c r="AO104" t="s">
        <v>74</v>
      </c>
      <c r="AP104" t="s">
        <v>2397</v>
      </c>
      <c r="AQ104" t="s">
        <v>74</v>
      </c>
      <c r="AR104" t="s">
        <v>2386</v>
      </c>
      <c r="AS104" t="s">
        <v>2398</v>
      </c>
      <c r="AT104" t="s">
        <v>1212</v>
      </c>
      <c r="AU104">
        <v>2020</v>
      </c>
      <c r="AV104">
        <v>8</v>
      </c>
      <c r="AW104">
        <v>11</v>
      </c>
      <c r="AX104" t="s">
        <v>74</v>
      </c>
      <c r="AY104" t="s">
        <v>74</v>
      </c>
      <c r="AZ104" t="s">
        <v>74</v>
      </c>
      <c r="BA104" t="s">
        <v>74</v>
      </c>
      <c r="BB104" t="s">
        <v>74</v>
      </c>
      <c r="BC104" t="s">
        <v>74</v>
      </c>
      <c r="BD104">
        <v>130</v>
      </c>
      <c r="BE104" t="s">
        <v>2399</v>
      </c>
      <c r="BF104" t="str">
        <f>HYPERLINK("http://dx.doi.org/10.3390/cli8110130","http://dx.doi.org/10.3390/cli8110130")</f>
        <v>http://dx.doi.org/10.3390/cli8110130</v>
      </c>
      <c r="BG104" t="s">
        <v>74</v>
      </c>
      <c r="BH104" t="s">
        <v>74</v>
      </c>
      <c r="BI104">
        <v>40</v>
      </c>
      <c r="BJ104" t="s">
        <v>800</v>
      </c>
      <c r="BK104" t="s">
        <v>1214</v>
      </c>
      <c r="BL104" t="s">
        <v>800</v>
      </c>
      <c r="BM104" t="s">
        <v>2400</v>
      </c>
      <c r="BN104" t="s">
        <v>74</v>
      </c>
      <c r="BO104" t="s">
        <v>202</v>
      </c>
      <c r="BP104" t="s">
        <v>74</v>
      </c>
      <c r="BQ104" t="s">
        <v>74</v>
      </c>
      <c r="BR104" t="s">
        <v>104</v>
      </c>
      <c r="BS104" t="s">
        <v>2401</v>
      </c>
      <c r="BT104" t="str">
        <f>HYPERLINK("https%3A%2F%2Fwww.webofscience.com%2Fwos%2Fwoscc%2Ffull-record%2FWOS:000592752300001","View Full Record in Web of Science")</f>
        <v>View Full Record in Web of Science</v>
      </c>
    </row>
    <row r="105" spans="1:72" x14ac:dyDescent="0.15">
      <c r="A105" t="s">
        <v>72</v>
      </c>
      <c r="B105" t="s">
        <v>2402</v>
      </c>
      <c r="C105" t="s">
        <v>74</v>
      </c>
      <c r="D105" t="s">
        <v>74</v>
      </c>
      <c r="E105" t="s">
        <v>74</v>
      </c>
      <c r="F105" t="s">
        <v>2403</v>
      </c>
      <c r="G105" t="s">
        <v>74</v>
      </c>
      <c r="H105" t="s">
        <v>74</v>
      </c>
      <c r="I105" t="s">
        <v>2404</v>
      </c>
      <c r="J105" t="s">
        <v>2405</v>
      </c>
      <c r="K105" t="s">
        <v>74</v>
      </c>
      <c r="L105" t="s">
        <v>74</v>
      </c>
      <c r="M105" t="s">
        <v>78</v>
      </c>
      <c r="N105" t="s">
        <v>138</v>
      </c>
      <c r="O105" t="s">
        <v>74</v>
      </c>
      <c r="P105" t="s">
        <v>74</v>
      </c>
      <c r="Q105" t="s">
        <v>74</v>
      </c>
      <c r="R105" t="s">
        <v>74</v>
      </c>
      <c r="S105" t="s">
        <v>74</v>
      </c>
      <c r="T105" t="s">
        <v>2406</v>
      </c>
      <c r="U105" t="s">
        <v>2407</v>
      </c>
      <c r="V105" t="s">
        <v>2408</v>
      </c>
      <c r="W105" t="s">
        <v>2409</v>
      </c>
      <c r="X105" t="s">
        <v>2410</v>
      </c>
      <c r="Y105" t="s">
        <v>2411</v>
      </c>
      <c r="Z105" t="s">
        <v>2412</v>
      </c>
      <c r="AA105" t="s">
        <v>2413</v>
      </c>
      <c r="AB105" t="s">
        <v>2414</v>
      </c>
      <c r="AC105" t="s">
        <v>2415</v>
      </c>
      <c r="AD105" t="s">
        <v>2416</v>
      </c>
      <c r="AE105" t="s">
        <v>2417</v>
      </c>
      <c r="AF105" t="s">
        <v>74</v>
      </c>
      <c r="AG105">
        <v>185</v>
      </c>
      <c r="AH105">
        <v>14</v>
      </c>
      <c r="AI105">
        <v>14</v>
      </c>
      <c r="AJ105">
        <v>2</v>
      </c>
      <c r="AK105">
        <v>19</v>
      </c>
      <c r="AL105" t="s">
        <v>275</v>
      </c>
      <c r="AM105" t="s">
        <v>276</v>
      </c>
      <c r="AN105" t="s">
        <v>277</v>
      </c>
      <c r="AO105" t="s">
        <v>2418</v>
      </c>
      <c r="AP105" t="s">
        <v>2419</v>
      </c>
      <c r="AQ105" t="s">
        <v>74</v>
      </c>
      <c r="AR105" t="s">
        <v>2420</v>
      </c>
      <c r="AS105" t="s">
        <v>2421</v>
      </c>
      <c r="AT105" t="s">
        <v>1212</v>
      </c>
      <c r="AU105">
        <v>2020</v>
      </c>
      <c r="AV105">
        <v>210</v>
      </c>
      <c r="AW105" t="s">
        <v>74</v>
      </c>
      <c r="AX105" t="s">
        <v>74</v>
      </c>
      <c r="AY105" t="s">
        <v>74</v>
      </c>
      <c r="AZ105" t="s">
        <v>74</v>
      </c>
      <c r="BA105" t="s">
        <v>74</v>
      </c>
      <c r="BB105" t="s">
        <v>74</v>
      </c>
      <c r="BC105" t="s">
        <v>74</v>
      </c>
      <c r="BD105">
        <v>103391</v>
      </c>
      <c r="BE105" t="s">
        <v>2422</v>
      </c>
      <c r="BF105" t="str">
        <f>HYPERLINK("http://dx.doi.org/10.1016/j.earscirev.2020.103391","http://dx.doi.org/10.1016/j.earscirev.2020.103391")</f>
        <v>http://dx.doi.org/10.1016/j.earscirev.2020.103391</v>
      </c>
      <c r="BG105" t="s">
        <v>74</v>
      </c>
      <c r="BH105" t="s">
        <v>74</v>
      </c>
      <c r="BI105">
        <v>22</v>
      </c>
      <c r="BJ105" t="s">
        <v>534</v>
      </c>
      <c r="BK105" t="s">
        <v>100</v>
      </c>
      <c r="BL105" t="s">
        <v>535</v>
      </c>
      <c r="BM105" t="s">
        <v>2423</v>
      </c>
      <c r="BN105" t="s">
        <v>74</v>
      </c>
      <c r="BO105" t="s">
        <v>1188</v>
      </c>
      <c r="BP105" t="s">
        <v>74</v>
      </c>
      <c r="BQ105" t="s">
        <v>74</v>
      </c>
      <c r="BR105" t="s">
        <v>104</v>
      </c>
      <c r="BS105" t="s">
        <v>2424</v>
      </c>
      <c r="BT105" t="str">
        <f>HYPERLINK("https%3A%2F%2Fwww.webofscience.com%2Fwos%2Fwoscc%2Ffull-record%2FWOS:000588283400038","View Full Record in Web of Science")</f>
        <v>View Full Record in Web of Science</v>
      </c>
    </row>
    <row r="106" spans="1:72" x14ac:dyDescent="0.15">
      <c r="A106" t="s">
        <v>72</v>
      </c>
      <c r="B106" t="s">
        <v>2425</v>
      </c>
      <c r="C106" t="s">
        <v>74</v>
      </c>
      <c r="D106" t="s">
        <v>74</v>
      </c>
      <c r="E106" t="s">
        <v>74</v>
      </c>
      <c r="F106" t="s">
        <v>2426</v>
      </c>
      <c r="G106" t="s">
        <v>74</v>
      </c>
      <c r="H106" t="s">
        <v>74</v>
      </c>
      <c r="I106" t="s">
        <v>2427</v>
      </c>
      <c r="J106" t="s">
        <v>2405</v>
      </c>
      <c r="K106" t="s">
        <v>74</v>
      </c>
      <c r="L106" t="s">
        <v>74</v>
      </c>
      <c r="M106" t="s">
        <v>78</v>
      </c>
      <c r="N106" t="s">
        <v>138</v>
      </c>
      <c r="O106" t="s">
        <v>74</v>
      </c>
      <c r="P106" t="s">
        <v>74</v>
      </c>
      <c r="Q106" t="s">
        <v>74</v>
      </c>
      <c r="R106" t="s">
        <v>74</v>
      </c>
      <c r="S106" t="s">
        <v>74</v>
      </c>
      <c r="T106" t="s">
        <v>2428</v>
      </c>
      <c r="U106" t="s">
        <v>2429</v>
      </c>
      <c r="V106" t="s">
        <v>2430</v>
      </c>
      <c r="W106" t="s">
        <v>2431</v>
      </c>
      <c r="X106" t="s">
        <v>2432</v>
      </c>
      <c r="Y106" t="s">
        <v>2433</v>
      </c>
      <c r="Z106" t="s">
        <v>2434</v>
      </c>
      <c r="AA106" t="s">
        <v>74</v>
      </c>
      <c r="AB106" t="s">
        <v>2435</v>
      </c>
      <c r="AC106" t="s">
        <v>2436</v>
      </c>
      <c r="AD106" t="s">
        <v>2436</v>
      </c>
      <c r="AE106" t="s">
        <v>2437</v>
      </c>
      <c r="AF106" t="s">
        <v>74</v>
      </c>
      <c r="AG106">
        <v>217</v>
      </c>
      <c r="AH106">
        <v>23</v>
      </c>
      <c r="AI106">
        <v>24</v>
      </c>
      <c r="AJ106">
        <v>1</v>
      </c>
      <c r="AK106">
        <v>21</v>
      </c>
      <c r="AL106" t="s">
        <v>275</v>
      </c>
      <c r="AM106" t="s">
        <v>276</v>
      </c>
      <c r="AN106" t="s">
        <v>277</v>
      </c>
      <c r="AO106" t="s">
        <v>2418</v>
      </c>
      <c r="AP106" t="s">
        <v>2419</v>
      </c>
      <c r="AQ106" t="s">
        <v>74</v>
      </c>
      <c r="AR106" t="s">
        <v>2420</v>
      </c>
      <c r="AS106" t="s">
        <v>2421</v>
      </c>
      <c r="AT106" t="s">
        <v>1212</v>
      </c>
      <c r="AU106">
        <v>2020</v>
      </c>
      <c r="AV106">
        <v>210</v>
      </c>
      <c r="AW106" t="s">
        <v>74</v>
      </c>
      <c r="AX106" t="s">
        <v>74</v>
      </c>
      <c r="AY106" t="s">
        <v>74</v>
      </c>
      <c r="AZ106" t="s">
        <v>74</v>
      </c>
      <c r="BA106" t="s">
        <v>74</v>
      </c>
      <c r="BB106" t="s">
        <v>74</v>
      </c>
      <c r="BC106" t="s">
        <v>74</v>
      </c>
      <c r="BD106">
        <v>103379</v>
      </c>
      <c r="BE106" t="s">
        <v>2438</v>
      </c>
      <c r="BF106" t="str">
        <f>HYPERLINK("http://dx.doi.org/10.1016/j.earscirev.2020.103379","http://dx.doi.org/10.1016/j.earscirev.2020.103379")</f>
        <v>http://dx.doi.org/10.1016/j.earscirev.2020.103379</v>
      </c>
      <c r="BG106" t="s">
        <v>74</v>
      </c>
      <c r="BH106" t="s">
        <v>74</v>
      </c>
      <c r="BI106">
        <v>29</v>
      </c>
      <c r="BJ106" t="s">
        <v>534</v>
      </c>
      <c r="BK106" t="s">
        <v>100</v>
      </c>
      <c r="BL106" t="s">
        <v>535</v>
      </c>
      <c r="BM106" t="s">
        <v>2423</v>
      </c>
      <c r="BN106" t="s">
        <v>74</v>
      </c>
      <c r="BO106" t="s">
        <v>74</v>
      </c>
      <c r="BP106" t="s">
        <v>74</v>
      </c>
      <c r="BQ106" t="s">
        <v>74</v>
      </c>
      <c r="BR106" t="s">
        <v>104</v>
      </c>
      <c r="BS106" t="s">
        <v>2439</v>
      </c>
      <c r="BT106" t="str">
        <f>HYPERLINK("https%3A%2F%2Fwww.webofscience.com%2Fwos%2Fwoscc%2Ffull-record%2FWOS:000588283400030","View Full Record in Web of Science")</f>
        <v>View Full Record in Web of Science</v>
      </c>
    </row>
    <row r="107" spans="1:72" x14ac:dyDescent="0.15">
      <c r="A107" t="s">
        <v>72</v>
      </c>
      <c r="B107" t="s">
        <v>2440</v>
      </c>
      <c r="C107" t="s">
        <v>74</v>
      </c>
      <c r="D107" t="s">
        <v>74</v>
      </c>
      <c r="E107" t="s">
        <v>74</v>
      </c>
      <c r="F107" t="s">
        <v>2441</v>
      </c>
      <c r="G107" t="s">
        <v>74</v>
      </c>
      <c r="H107" t="s">
        <v>74</v>
      </c>
      <c r="I107" t="s">
        <v>2442</v>
      </c>
      <c r="J107" t="s">
        <v>2443</v>
      </c>
      <c r="K107" t="s">
        <v>74</v>
      </c>
      <c r="L107" t="s">
        <v>74</v>
      </c>
      <c r="M107" t="s">
        <v>78</v>
      </c>
      <c r="N107" t="s">
        <v>79</v>
      </c>
      <c r="O107" t="s">
        <v>74</v>
      </c>
      <c r="P107" t="s">
        <v>74</v>
      </c>
      <c r="Q107" t="s">
        <v>74</v>
      </c>
      <c r="R107" t="s">
        <v>74</v>
      </c>
      <c r="S107" t="s">
        <v>74</v>
      </c>
      <c r="T107" t="s">
        <v>2444</v>
      </c>
      <c r="U107" t="s">
        <v>2445</v>
      </c>
      <c r="V107" t="s">
        <v>2446</v>
      </c>
      <c r="W107" t="s">
        <v>2447</v>
      </c>
      <c r="X107" t="s">
        <v>2448</v>
      </c>
      <c r="Y107" t="s">
        <v>2449</v>
      </c>
      <c r="Z107" t="s">
        <v>2450</v>
      </c>
      <c r="AA107" t="s">
        <v>2451</v>
      </c>
      <c r="AB107" t="s">
        <v>2452</v>
      </c>
      <c r="AC107" t="s">
        <v>2453</v>
      </c>
      <c r="AD107" t="s">
        <v>2454</v>
      </c>
      <c r="AE107" t="s">
        <v>2455</v>
      </c>
      <c r="AF107" t="s">
        <v>74</v>
      </c>
      <c r="AG107">
        <v>51</v>
      </c>
      <c r="AH107">
        <v>6</v>
      </c>
      <c r="AI107">
        <v>6</v>
      </c>
      <c r="AJ107">
        <v>2</v>
      </c>
      <c r="AK107">
        <v>7</v>
      </c>
      <c r="AL107" t="s">
        <v>1406</v>
      </c>
      <c r="AM107" t="s">
        <v>1407</v>
      </c>
      <c r="AN107" t="s">
        <v>1408</v>
      </c>
      <c r="AO107" t="s">
        <v>2456</v>
      </c>
      <c r="AP107" t="s">
        <v>2457</v>
      </c>
      <c r="AQ107" t="s">
        <v>74</v>
      </c>
      <c r="AR107" t="s">
        <v>2458</v>
      </c>
      <c r="AS107" t="s">
        <v>2459</v>
      </c>
      <c r="AT107" t="s">
        <v>1212</v>
      </c>
      <c r="AU107">
        <v>2020</v>
      </c>
      <c r="AV107">
        <v>223</v>
      </c>
      <c r="AW107">
        <v>2</v>
      </c>
      <c r="AX107" t="s">
        <v>74</v>
      </c>
      <c r="AY107" t="s">
        <v>74</v>
      </c>
      <c r="AZ107" t="s">
        <v>74</v>
      </c>
      <c r="BA107" t="s">
        <v>74</v>
      </c>
      <c r="BB107">
        <v>1230</v>
      </c>
      <c r="BC107">
        <v>1246</v>
      </c>
      <c r="BD107" t="s">
        <v>74</v>
      </c>
      <c r="BE107" t="s">
        <v>2460</v>
      </c>
      <c r="BF107" t="str">
        <f>HYPERLINK("http://dx.doi.org/10.1093/gji/ggaa348","http://dx.doi.org/10.1093/gji/ggaa348")</f>
        <v>http://dx.doi.org/10.1093/gji/ggaa348</v>
      </c>
      <c r="BG107" t="s">
        <v>74</v>
      </c>
      <c r="BH107" t="s">
        <v>74</v>
      </c>
      <c r="BI107">
        <v>17</v>
      </c>
      <c r="BJ107" t="s">
        <v>1361</v>
      </c>
      <c r="BK107" t="s">
        <v>100</v>
      </c>
      <c r="BL107" t="s">
        <v>1361</v>
      </c>
      <c r="BM107" t="s">
        <v>2461</v>
      </c>
      <c r="BN107" t="s">
        <v>74</v>
      </c>
      <c r="BO107" t="s">
        <v>304</v>
      </c>
      <c r="BP107" t="s">
        <v>74</v>
      </c>
      <c r="BQ107" t="s">
        <v>74</v>
      </c>
      <c r="BR107" t="s">
        <v>104</v>
      </c>
      <c r="BS107" t="s">
        <v>2462</v>
      </c>
      <c r="BT107" t="str">
        <f>HYPERLINK("https%3A%2F%2Fwww.webofscience.com%2Fwos%2Fwoscc%2Ffull-record%2FWOS:000592214400001","View Full Record in Web of Science")</f>
        <v>View Full Record in Web of Science</v>
      </c>
    </row>
    <row r="108" spans="1:72" x14ac:dyDescent="0.15">
      <c r="A108" t="s">
        <v>72</v>
      </c>
      <c r="B108" t="s">
        <v>2463</v>
      </c>
      <c r="C108" t="s">
        <v>74</v>
      </c>
      <c r="D108" t="s">
        <v>74</v>
      </c>
      <c r="E108" t="s">
        <v>74</v>
      </c>
      <c r="F108" t="s">
        <v>2464</v>
      </c>
      <c r="G108" t="s">
        <v>74</v>
      </c>
      <c r="H108" t="s">
        <v>74</v>
      </c>
      <c r="I108" t="s">
        <v>2465</v>
      </c>
      <c r="J108" t="s">
        <v>2466</v>
      </c>
      <c r="K108" t="s">
        <v>74</v>
      </c>
      <c r="L108" t="s">
        <v>74</v>
      </c>
      <c r="M108" t="s">
        <v>78</v>
      </c>
      <c r="N108" t="s">
        <v>79</v>
      </c>
      <c r="O108" t="s">
        <v>74</v>
      </c>
      <c r="P108" t="s">
        <v>74</v>
      </c>
      <c r="Q108" t="s">
        <v>74</v>
      </c>
      <c r="R108" t="s">
        <v>74</v>
      </c>
      <c r="S108" t="s">
        <v>74</v>
      </c>
      <c r="T108" t="s">
        <v>2467</v>
      </c>
      <c r="U108" t="s">
        <v>2468</v>
      </c>
      <c r="V108" t="s">
        <v>2469</v>
      </c>
      <c r="W108" t="s">
        <v>2470</v>
      </c>
      <c r="X108" t="s">
        <v>2471</v>
      </c>
      <c r="Y108" t="s">
        <v>1199</v>
      </c>
      <c r="Z108" t="s">
        <v>1200</v>
      </c>
      <c r="AA108" t="s">
        <v>2472</v>
      </c>
      <c r="AB108" t="s">
        <v>2473</v>
      </c>
      <c r="AC108" t="s">
        <v>2474</v>
      </c>
      <c r="AD108" t="s">
        <v>2475</v>
      </c>
      <c r="AE108" t="s">
        <v>2476</v>
      </c>
      <c r="AF108" t="s">
        <v>74</v>
      </c>
      <c r="AG108">
        <v>53</v>
      </c>
      <c r="AH108">
        <v>14</v>
      </c>
      <c r="AI108">
        <v>15</v>
      </c>
      <c r="AJ108">
        <v>3</v>
      </c>
      <c r="AK108">
        <v>18</v>
      </c>
      <c r="AL108" t="s">
        <v>2477</v>
      </c>
      <c r="AM108" t="s">
        <v>2478</v>
      </c>
      <c r="AN108" t="s">
        <v>2479</v>
      </c>
      <c r="AO108" t="s">
        <v>2480</v>
      </c>
      <c r="AP108" t="s">
        <v>74</v>
      </c>
      <c r="AQ108" t="s">
        <v>74</v>
      </c>
      <c r="AR108" t="s">
        <v>2481</v>
      </c>
      <c r="AS108" t="s">
        <v>2482</v>
      </c>
      <c r="AT108" t="s">
        <v>1212</v>
      </c>
      <c r="AU108">
        <v>2020</v>
      </c>
      <c r="AV108">
        <v>48</v>
      </c>
      <c r="AW108" t="s">
        <v>74</v>
      </c>
      <c r="AX108" t="s">
        <v>74</v>
      </c>
      <c r="AY108" t="s">
        <v>74</v>
      </c>
      <c r="AZ108" t="s">
        <v>74</v>
      </c>
      <c r="BA108" t="s">
        <v>74</v>
      </c>
      <c r="BB108">
        <v>1</v>
      </c>
      <c r="BC108">
        <v>12</v>
      </c>
      <c r="BD108" t="s">
        <v>74</v>
      </c>
      <c r="BE108" t="s">
        <v>2483</v>
      </c>
      <c r="BF108" t="str">
        <f>HYPERLINK("http://dx.doi.org/10.1016/j.ejbt.2020.07.005","http://dx.doi.org/10.1016/j.ejbt.2020.07.005")</f>
        <v>http://dx.doi.org/10.1016/j.ejbt.2020.07.005</v>
      </c>
      <c r="BG108" t="s">
        <v>74</v>
      </c>
      <c r="BH108" t="s">
        <v>74</v>
      </c>
      <c r="BI108">
        <v>12</v>
      </c>
      <c r="BJ108" t="s">
        <v>2484</v>
      </c>
      <c r="BK108" t="s">
        <v>100</v>
      </c>
      <c r="BL108" t="s">
        <v>2484</v>
      </c>
      <c r="BM108" t="s">
        <v>2485</v>
      </c>
      <c r="BN108" t="s">
        <v>74</v>
      </c>
      <c r="BO108" t="s">
        <v>2486</v>
      </c>
      <c r="BP108" t="s">
        <v>74</v>
      </c>
      <c r="BQ108" t="s">
        <v>74</v>
      </c>
      <c r="BR108" t="s">
        <v>104</v>
      </c>
      <c r="BS108" t="s">
        <v>2487</v>
      </c>
      <c r="BT108" t="str">
        <f>HYPERLINK("https%3A%2F%2Fwww.webofscience.com%2Fwos%2Fwoscc%2Ffull-record%2FWOS:000590229400001","View Full Record in Web of Science")</f>
        <v>View Full Record in Web of Science</v>
      </c>
    </row>
    <row r="109" spans="1:72" x14ac:dyDescent="0.15">
      <c r="A109" t="s">
        <v>72</v>
      </c>
      <c r="B109" t="s">
        <v>2488</v>
      </c>
      <c r="C109" t="s">
        <v>74</v>
      </c>
      <c r="D109" t="s">
        <v>74</v>
      </c>
      <c r="E109" t="s">
        <v>74</v>
      </c>
      <c r="F109" t="s">
        <v>2489</v>
      </c>
      <c r="G109" t="s">
        <v>74</v>
      </c>
      <c r="H109" t="s">
        <v>74</v>
      </c>
      <c r="I109" t="s">
        <v>2490</v>
      </c>
      <c r="J109" t="s">
        <v>2491</v>
      </c>
      <c r="K109" t="s">
        <v>74</v>
      </c>
      <c r="L109" t="s">
        <v>74</v>
      </c>
      <c r="M109" t="s">
        <v>78</v>
      </c>
      <c r="N109" t="s">
        <v>79</v>
      </c>
      <c r="O109" t="s">
        <v>74</v>
      </c>
      <c r="P109" t="s">
        <v>74</v>
      </c>
      <c r="Q109" t="s">
        <v>74</v>
      </c>
      <c r="R109" t="s">
        <v>74</v>
      </c>
      <c r="S109" t="s">
        <v>74</v>
      </c>
      <c r="T109" t="s">
        <v>2492</v>
      </c>
      <c r="U109" t="s">
        <v>2493</v>
      </c>
      <c r="V109" t="s">
        <v>2494</v>
      </c>
      <c r="W109" t="s">
        <v>2495</v>
      </c>
      <c r="X109" t="s">
        <v>2496</v>
      </c>
      <c r="Y109" t="s">
        <v>2497</v>
      </c>
      <c r="Z109" t="s">
        <v>2498</v>
      </c>
      <c r="AA109" t="s">
        <v>2499</v>
      </c>
      <c r="AB109" t="s">
        <v>2500</v>
      </c>
      <c r="AC109" t="s">
        <v>74</v>
      </c>
      <c r="AD109" t="s">
        <v>74</v>
      </c>
      <c r="AE109" t="s">
        <v>74</v>
      </c>
      <c r="AF109" t="s">
        <v>74</v>
      </c>
      <c r="AG109">
        <v>54</v>
      </c>
      <c r="AH109">
        <v>27</v>
      </c>
      <c r="AI109">
        <v>29</v>
      </c>
      <c r="AJ109">
        <v>1</v>
      </c>
      <c r="AK109">
        <v>9</v>
      </c>
      <c r="AL109" t="s">
        <v>1522</v>
      </c>
      <c r="AM109" t="s">
        <v>1407</v>
      </c>
      <c r="AN109" t="s">
        <v>1523</v>
      </c>
      <c r="AO109" t="s">
        <v>2501</v>
      </c>
      <c r="AP109" t="s">
        <v>2502</v>
      </c>
      <c r="AQ109" t="s">
        <v>74</v>
      </c>
      <c r="AR109" t="s">
        <v>2503</v>
      </c>
      <c r="AS109" t="s">
        <v>2504</v>
      </c>
      <c r="AT109" t="s">
        <v>1212</v>
      </c>
      <c r="AU109">
        <v>2020</v>
      </c>
      <c r="AV109">
        <v>160</v>
      </c>
      <c r="AW109" t="s">
        <v>74</v>
      </c>
      <c r="AX109" t="s">
        <v>74</v>
      </c>
      <c r="AY109" t="s">
        <v>74</v>
      </c>
      <c r="AZ109" t="s">
        <v>74</v>
      </c>
      <c r="BA109" t="s">
        <v>74</v>
      </c>
      <c r="BB109" t="s">
        <v>74</v>
      </c>
      <c r="BC109" t="s">
        <v>74</v>
      </c>
      <c r="BD109">
        <v>111657</v>
      </c>
      <c r="BE109" t="s">
        <v>2505</v>
      </c>
      <c r="BF109" t="str">
        <f>HYPERLINK("http://dx.doi.org/10.1016/j.marpolbul.2020.111657","http://dx.doi.org/10.1016/j.marpolbul.2020.111657")</f>
        <v>http://dx.doi.org/10.1016/j.marpolbul.2020.111657</v>
      </c>
      <c r="BG109" t="s">
        <v>74</v>
      </c>
      <c r="BH109" t="s">
        <v>74</v>
      </c>
      <c r="BI109">
        <v>8</v>
      </c>
      <c r="BJ109" t="s">
        <v>918</v>
      </c>
      <c r="BK109" t="s">
        <v>100</v>
      </c>
      <c r="BL109" t="s">
        <v>919</v>
      </c>
      <c r="BM109" t="s">
        <v>2506</v>
      </c>
      <c r="BN109">
        <v>32920252</v>
      </c>
      <c r="BO109" t="s">
        <v>376</v>
      </c>
      <c r="BP109" t="s">
        <v>74</v>
      </c>
      <c r="BQ109" t="s">
        <v>74</v>
      </c>
      <c r="BR109" t="s">
        <v>104</v>
      </c>
      <c r="BS109" t="s">
        <v>2507</v>
      </c>
      <c r="BT109" t="str">
        <f>HYPERLINK("https%3A%2F%2Fwww.webofscience.com%2Fwos%2Fwoscc%2Ffull-record%2FWOS:000587629000012","View Full Record in Web of Science")</f>
        <v>View Full Record in Web of Science</v>
      </c>
    </row>
    <row r="110" spans="1:72" x14ac:dyDescent="0.15">
      <c r="A110" t="s">
        <v>72</v>
      </c>
      <c r="B110" t="s">
        <v>2508</v>
      </c>
      <c r="C110" t="s">
        <v>74</v>
      </c>
      <c r="D110" t="s">
        <v>74</v>
      </c>
      <c r="E110" t="s">
        <v>74</v>
      </c>
      <c r="F110" t="s">
        <v>2509</v>
      </c>
      <c r="G110" t="s">
        <v>74</v>
      </c>
      <c r="H110" t="s">
        <v>74</v>
      </c>
      <c r="I110" t="s">
        <v>2510</v>
      </c>
      <c r="J110" t="s">
        <v>2074</v>
      </c>
      <c r="K110" t="s">
        <v>74</v>
      </c>
      <c r="L110" t="s">
        <v>74</v>
      </c>
      <c r="M110" t="s">
        <v>78</v>
      </c>
      <c r="N110" t="s">
        <v>79</v>
      </c>
      <c r="O110" t="s">
        <v>74</v>
      </c>
      <c r="P110" t="s">
        <v>74</v>
      </c>
      <c r="Q110" t="s">
        <v>74</v>
      </c>
      <c r="R110" t="s">
        <v>74</v>
      </c>
      <c r="S110" t="s">
        <v>74</v>
      </c>
      <c r="T110" t="s">
        <v>2511</v>
      </c>
      <c r="U110" t="s">
        <v>2512</v>
      </c>
      <c r="V110" t="s">
        <v>2513</v>
      </c>
      <c r="W110" t="s">
        <v>2514</v>
      </c>
      <c r="X110" t="s">
        <v>2515</v>
      </c>
      <c r="Y110" t="s">
        <v>2516</v>
      </c>
      <c r="Z110" t="s">
        <v>2517</v>
      </c>
      <c r="AA110" t="s">
        <v>2518</v>
      </c>
      <c r="AB110" t="s">
        <v>2519</v>
      </c>
      <c r="AC110" t="s">
        <v>2520</v>
      </c>
      <c r="AD110" t="s">
        <v>2521</v>
      </c>
      <c r="AE110" t="s">
        <v>2522</v>
      </c>
      <c r="AF110" t="s">
        <v>74</v>
      </c>
      <c r="AG110">
        <v>45</v>
      </c>
      <c r="AH110">
        <v>9</v>
      </c>
      <c r="AI110">
        <v>10</v>
      </c>
      <c r="AJ110">
        <v>1</v>
      </c>
      <c r="AK110">
        <v>11</v>
      </c>
      <c r="AL110" t="s">
        <v>2085</v>
      </c>
      <c r="AM110" t="s">
        <v>2086</v>
      </c>
      <c r="AN110" t="s">
        <v>2087</v>
      </c>
      <c r="AO110" t="s">
        <v>74</v>
      </c>
      <c r="AP110" t="s">
        <v>2088</v>
      </c>
      <c r="AQ110" t="s">
        <v>74</v>
      </c>
      <c r="AR110" t="s">
        <v>2089</v>
      </c>
      <c r="AS110" t="s">
        <v>2090</v>
      </c>
      <c r="AT110" t="s">
        <v>1212</v>
      </c>
      <c r="AU110">
        <v>2020</v>
      </c>
      <c r="AV110">
        <v>12</v>
      </c>
      <c r="AW110">
        <v>21</v>
      </c>
      <c r="AX110" t="s">
        <v>74</v>
      </c>
      <c r="AY110" t="s">
        <v>74</v>
      </c>
      <c r="AZ110" t="s">
        <v>74</v>
      </c>
      <c r="BA110" t="s">
        <v>74</v>
      </c>
      <c r="BB110" t="s">
        <v>74</v>
      </c>
      <c r="BC110" t="s">
        <v>74</v>
      </c>
      <c r="BD110">
        <v>3574</v>
      </c>
      <c r="BE110" t="s">
        <v>2523</v>
      </c>
      <c r="BF110" t="str">
        <f>HYPERLINK("http://dx.doi.org/10.3390/rs12213574","http://dx.doi.org/10.3390/rs12213574")</f>
        <v>http://dx.doi.org/10.3390/rs12213574</v>
      </c>
      <c r="BG110" t="s">
        <v>74</v>
      </c>
      <c r="BH110" t="s">
        <v>74</v>
      </c>
      <c r="BI110">
        <v>22</v>
      </c>
      <c r="BJ110" t="s">
        <v>2092</v>
      </c>
      <c r="BK110" t="s">
        <v>100</v>
      </c>
      <c r="BL110" t="s">
        <v>2093</v>
      </c>
      <c r="BM110" t="s">
        <v>2524</v>
      </c>
      <c r="BN110" t="s">
        <v>74</v>
      </c>
      <c r="BO110" t="s">
        <v>350</v>
      </c>
      <c r="BP110" t="s">
        <v>74</v>
      </c>
      <c r="BQ110" t="s">
        <v>74</v>
      </c>
      <c r="BR110" t="s">
        <v>104</v>
      </c>
      <c r="BS110" t="s">
        <v>2525</v>
      </c>
      <c r="BT110" t="str">
        <f>HYPERLINK("https%3A%2F%2Fwww.webofscience.com%2Fwos%2Fwoscc%2Ffull-record%2FWOS:000589690700001","View Full Record in Web of Science")</f>
        <v>View Full Record in Web of Science</v>
      </c>
    </row>
    <row r="111" spans="1:72" x14ac:dyDescent="0.15">
      <c r="A111" t="s">
        <v>72</v>
      </c>
      <c r="B111" t="s">
        <v>2526</v>
      </c>
      <c r="C111" t="s">
        <v>74</v>
      </c>
      <c r="D111" t="s">
        <v>74</v>
      </c>
      <c r="E111" t="s">
        <v>74</v>
      </c>
      <c r="F111" t="s">
        <v>2527</v>
      </c>
      <c r="G111" t="s">
        <v>74</v>
      </c>
      <c r="H111" t="s">
        <v>74</v>
      </c>
      <c r="I111" t="s">
        <v>2528</v>
      </c>
      <c r="J111" t="s">
        <v>2491</v>
      </c>
      <c r="K111" t="s">
        <v>74</v>
      </c>
      <c r="L111" t="s">
        <v>74</v>
      </c>
      <c r="M111" t="s">
        <v>78</v>
      </c>
      <c r="N111" t="s">
        <v>79</v>
      </c>
      <c r="O111" t="s">
        <v>74</v>
      </c>
      <c r="P111" t="s">
        <v>74</v>
      </c>
      <c r="Q111" t="s">
        <v>74</v>
      </c>
      <c r="R111" t="s">
        <v>74</v>
      </c>
      <c r="S111" t="s">
        <v>74</v>
      </c>
      <c r="T111" t="s">
        <v>2529</v>
      </c>
      <c r="U111" t="s">
        <v>2530</v>
      </c>
      <c r="V111" t="s">
        <v>2531</v>
      </c>
      <c r="W111" t="s">
        <v>2532</v>
      </c>
      <c r="X111" t="s">
        <v>2533</v>
      </c>
      <c r="Y111" t="s">
        <v>2534</v>
      </c>
      <c r="Z111" t="s">
        <v>2535</v>
      </c>
      <c r="AA111" t="s">
        <v>2536</v>
      </c>
      <c r="AB111" t="s">
        <v>2537</v>
      </c>
      <c r="AC111" t="s">
        <v>2538</v>
      </c>
      <c r="AD111" t="s">
        <v>2538</v>
      </c>
      <c r="AE111" t="s">
        <v>2539</v>
      </c>
      <c r="AF111" t="s">
        <v>74</v>
      </c>
      <c r="AG111">
        <v>61</v>
      </c>
      <c r="AH111">
        <v>16</v>
      </c>
      <c r="AI111">
        <v>16</v>
      </c>
      <c r="AJ111">
        <v>2</v>
      </c>
      <c r="AK111">
        <v>15</v>
      </c>
      <c r="AL111" t="s">
        <v>1522</v>
      </c>
      <c r="AM111" t="s">
        <v>1407</v>
      </c>
      <c r="AN111" t="s">
        <v>1523</v>
      </c>
      <c r="AO111" t="s">
        <v>2501</v>
      </c>
      <c r="AP111" t="s">
        <v>2502</v>
      </c>
      <c r="AQ111" t="s">
        <v>74</v>
      </c>
      <c r="AR111" t="s">
        <v>2503</v>
      </c>
      <c r="AS111" t="s">
        <v>2504</v>
      </c>
      <c r="AT111" t="s">
        <v>1212</v>
      </c>
      <c r="AU111">
        <v>2020</v>
      </c>
      <c r="AV111">
        <v>160</v>
      </c>
      <c r="AW111" t="s">
        <v>74</v>
      </c>
      <c r="AX111" t="s">
        <v>74</v>
      </c>
      <c r="AY111" t="s">
        <v>74</v>
      </c>
      <c r="AZ111" t="s">
        <v>74</v>
      </c>
      <c r="BA111" t="s">
        <v>74</v>
      </c>
      <c r="BB111" t="s">
        <v>74</v>
      </c>
      <c r="BC111" t="s">
        <v>74</v>
      </c>
      <c r="BD111">
        <v>111549</v>
      </c>
      <c r="BE111" t="s">
        <v>2540</v>
      </c>
      <c r="BF111" t="str">
        <f>HYPERLINK("http://dx.doi.org/10.1016/j.marpolbul.2020.111549","http://dx.doi.org/10.1016/j.marpolbul.2020.111549")</f>
        <v>http://dx.doi.org/10.1016/j.marpolbul.2020.111549</v>
      </c>
      <c r="BG111" t="s">
        <v>74</v>
      </c>
      <c r="BH111" t="s">
        <v>74</v>
      </c>
      <c r="BI111">
        <v>7</v>
      </c>
      <c r="BJ111" t="s">
        <v>918</v>
      </c>
      <c r="BK111" t="s">
        <v>100</v>
      </c>
      <c r="BL111" t="s">
        <v>919</v>
      </c>
      <c r="BM111" t="s">
        <v>2541</v>
      </c>
      <c r="BN111">
        <v>32810669</v>
      </c>
      <c r="BO111" t="s">
        <v>376</v>
      </c>
      <c r="BP111" t="s">
        <v>74</v>
      </c>
      <c r="BQ111" t="s">
        <v>74</v>
      </c>
      <c r="BR111" t="s">
        <v>104</v>
      </c>
      <c r="BS111" t="s">
        <v>2542</v>
      </c>
      <c r="BT111" t="str">
        <f>HYPERLINK("https%3A%2F%2Fwww.webofscience.com%2Fwos%2Fwoscc%2Ffull-record%2FWOS:000587626000001","View Full Record in Web of Science")</f>
        <v>View Full Record in Web of Science</v>
      </c>
    </row>
    <row r="112" spans="1:72" x14ac:dyDescent="0.15">
      <c r="A112" t="s">
        <v>72</v>
      </c>
      <c r="B112" t="s">
        <v>2543</v>
      </c>
      <c r="C112" t="s">
        <v>74</v>
      </c>
      <c r="D112" t="s">
        <v>74</v>
      </c>
      <c r="E112" t="s">
        <v>74</v>
      </c>
      <c r="F112" t="s">
        <v>2544</v>
      </c>
      <c r="G112" t="s">
        <v>74</v>
      </c>
      <c r="H112" t="s">
        <v>74</v>
      </c>
      <c r="I112" t="s">
        <v>2545</v>
      </c>
      <c r="J112" t="s">
        <v>2546</v>
      </c>
      <c r="K112" t="s">
        <v>74</v>
      </c>
      <c r="L112" t="s">
        <v>74</v>
      </c>
      <c r="M112" t="s">
        <v>78</v>
      </c>
      <c r="N112" t="s">
        <v>79</v>
      </c>
      <c r="O112" t="s">
        <v>74</v>
      </c>
      <c r="P112" t="s">
        <v>74</v>
      </c>
      <c r="Q112" t="s">
        <v>74</v>
      </c>
      <c r="R112" t="s">
        <v>74</v>
      </c>
      <c r="S112" t="s">
        <v>74</v>
      </c>
      <c r="T112" t="s">
        <v>2547</v>
      </c>
      <c r="U112" t="s">
        <v>2548</v>
      </c>
      <c r="V112" t="s">
        <v>2549</v>
      </c>
      <c r="W112" t="s">
        <v>2550</v>
      </c>
      <c r="X112" t="s">
        <v>2551</v>
      </c>
      <c r="Y112" t="s">
        <v>2552</v>
      </c>
      <c r="Z112" t="s">
        <v>2553</v>
      </c>
      <c r="AA112" t="s">
        <v>2554</v>
      </c>
      <c r="AB112" t="s">
        <v>2555</v>
      </c>
      <c r="AC112" t="s">
        <v>1597</v>
      </c>
      <c r="AD112" t="s">
        <v>1597</v>
      </c>
      <c r="AE112" t="s">
        <v>2556</v>
      </c>
      <c r="AF112" t="s">
        <v>74</v>
      </c>
      <c r="AG112">
        <v>106</v>
      </c>
      <c r="AH112">
        <v>13</v>
      </c>
      <c r="AI112">
        <v>13</v>
      </c>
      <c r="AJ112">
        <v>7</v>
      </c>
      <c r="AK112">
        <v>83</v>
      </c>
      <c r="AL112" t="s">
        <v>1572</v>
      </c>
      <c r="AM112" t="s">
        <v>1407</v>
      </c>
      <c r="AN112" t="s">
        <v>1573</v>
      </c>
      <c r="AO112" t="s">
        <v>2557</v>
      </c>
      <c r="AP112" t="s">
        <v>2558</v>
      </c>
      <c r="AQ112" t="s">
        <v>74</v>
      </c>
      <c r="AR112" t="s">
        <v>2559</v>
      </c>
      <c r="AS112" t="s">
        <v>2560</v>
      </c>
      <c r="AT112" t="s">
        <v>1212</v>
      </c>
      <c r="AU112">
        <v>2020</v>
      </c>
      <c r="AV112">
        <v>251</v>
      </c>
      <c r="AW112" t="s">
        <v>74</v>
      </c>
      <c r="AX112" t="s">
        <v>74</v>
      </c>
      <c r="AY112" t="s">
        <v>74</v>
      </c>
      <c r="AZ112" t="s">
        <v>74</v>
      </c>
      <c r="BA112" t="s">
        <v>74</v>
      </c>
      <c r="BB112" t="s">
        <v>74</v>
      </c>
      <c r="BC112" t="s">
        <v>74</v>
      </c>
      <c r="BD112">
        <v>108766</v>
      </c>
      <c r="BE112" t="s">
        <v>2561</v>
      </c>
      <c r="BF112" t="str">
        <f>HYPERLINK("http://dx.doi.org/10.1016/j.biocon.2020.108766","http://dx.doi.org/10.1016/j.biocon.2020.108766")</f>
        <v>http://dx.doi.org/10.1016/j.biocon.2020.108766</v>
      </c>
      <c r="BG112" t="s">
        <v>74</v>
      </c>
      <c r="BH112" t="s">
        <v>74</v>
      </c>
      <c r="BI112">
        <v>24</v>
      </c>
      <c r="BJ112" t="s">
        <v>254</v>
      </c>
      <c r="BK112" t="s">
        <v>100</v>
      </c>
      <c r="BL112" t="s">
        <v>256</v>
      </c>
      <c r="BM112" t="s">
        <v>2562</v>
      </c>
      <c r="BN112" t="s">
        <v>74</v>
      </c>
      <c r="BO112" t="s">
        <v>74</v>
      </c>
      <c r="BP112" t="s">
        <v>74</v>
      </c>
      <c r="BQ112" t="s">
        <v>74</v>
      </c>
      <c r="BR112" t="s">
        <v>104</v>
      </c>
      <c r="BS112" t="s">
        <v>2563</v>
      </c>
      <c r="BT112" t="str">
        <f>HYPERLINK("https%3A%2F%2Fwww.webofscience.com%2Fwos%2Fwoscc%2Ffull-record%2FWOS:000587339000012","View Full Record in Web of Science")</f>
        <v>View Full Record in Web of Science</v>
      </c>
    </row>
    <row r="113" spans="1:72" x14ac:dyDescent="0.15">
      <c r="A113" t="s">
        <v>72</v>
      </c>
      <c r="B113" t="s">
        <v>2564</v>
      </c>
      <c r="C113" t="s">
        <v>74</v>
      </c>
      <c r="D113" t="s">
        <v>74</v>
      </c>
      <c r="E113" t="s">
        <v>74</v>
      </c>
      <c r="F113" t="s">
        <v>2565</v>
      </c>
      <c r="G113" t="s">
        <v>74</v>
      </c>
      <c r="H113" t="s">
        <v>74</v>
      </c>
      <c r="I113" t="s">
        <v>2566</v>
      </c>
      <c r="J113" t="s">
        <v>2546</v>
      </c>
      <c r="K113" t="s">
        <v>74</v>
      </c>
      <c r="L113" t="s">
        <v>74</v>
      </c>
      <c r="M113" t="s">
        <v>78</v>
      </c>
      <c r="N113" t="s">
        <v>79</v>
      </c>
      <c r="O113" t="s">
        <v>74</v>
      </c>
      <c r="P113" t="s">
        <v>74</v>
      </c>
      <c r="Q113" t="s">
        <v>74</v>
      </c>
      <c r="R113" t="s">
        <v>74</v>
      </c>
      <c r="S113" t="s">
        <v>74</v>
      </c>
      <c r="T113" t="s">
        <v>2567</v>
      </c>
      <c r="U113" t="s">
        <v>2568</v>
      </c>
      <c r="V113" t="s">
        <v>2569</v>
      </c>
      <c r="W113" t="s">
        <v>2570</v>
      </c>
      <c r="X113" t="s">
        <v>2571</v>
      </c>
      <c r="Y113" t="s">
        <v>2572</v>
      </c>
      <c r="Z113" t="s">
        <v>2573</v>
      </c>
      <c r="AA113" t="s">
        <v>2574</v>
      </c>
      <c r="AB113" t="s">
        <v>74</v>
      </c>
      <c r="AC113" t="s">
        <v>2575</v>
      </c>
      <c r="AD113" t="s">
        <v>2575</v>
      </c>
      <c r="AE113" t="s">
        <v>2576</v>
      </c>
      <c r="AF113" t="s">
        <v>74</v>
      </c>
      <c r="AG113">
        <v>39</v>
      </c>
      <c r="AH113">
        <v>3</v>
      </c>
      <c r="AI113">
        <v>4</v>
      </c>
      <c r="AJ113">
        <v>2</v>
      </c>
      <c r="AK113">
        <v>10</v>
      </c>
      <c r="AL113" t="s">
        <v>1572</v>
      </c>
      <c r="AM113" t="s">
        <v>1407</v>
      </c>
      <c r="AN113" t="s">
        <v>1573</v>
      </c>
      <c r="AO113" t="s">
        <v>2557</v>
      </c>
      <c r="AP113" t="s">
        <v>2558</v>
      </c>
      <c r="AQ113" t="s">
        <v>74</v>
      </c>
      <c r="AR113" t="s">
        <v>2559</v>
      </c>
      <c r="AS113" t="s">
        <v>2560</v>
      </c>
      <c r="AT113" t="s">
        <v>1212</v>
      </c>
      <c r="AU113">
        <v>2020</v>
      </c>
      <c r="AV113">
        <v>251</v>
      </c>
      <c r="AW113" t="s">
        <v>74</v>
      </c>
      <c r="AX113" t="s">
        <v>74</v>
      </c>
      <c r="AY113" t="s">
        <v>74</v>
      </c>
      <c r="AZ113" t="s">
        <v>74</v>
      </c>
      <c r="BA113" t="s">
        <v>74</v>
      </c>
      <c r="BB113" t="s">
        <v>74</v>
      </c>
      <c r="BC113" t="s">
        <v>74</v>
      </c>
      <c r="BD113">
        <v>108761</v>
      </c>
      <c r="BE113" t="s">
        <v>2577</v>
      </c>
      <c r="BF113" t="str">
        <f>HYPERLINK("http://dx.doi.org/10.1016/j.biocon.2020.108761","http://dx.doi.org/10.1016/j.biocon.2020.108761")</f>
        <v>http://dx.doi.org/10.1016/j.biocon.2020.108761</v>
      </c>
      <c r="BG113" t="s">
        <v>74</v>
      </c>
      <c r="BH113" t="s">
        <v>74</v>
      </c>
      <c r="BI113">
        <v>9</v>
      </c>
      <c r="BJ113" t="s">
        <v>254</v>
      </c>
      <c r="BK113" t="s">
        <v>100</v>
      </c>
      <c r="BL113" t="s">
        <v>256</v>
      </c>
      <c r="BM113" t="s">
        <v>2562</v>
      </c>
      <c r="BN113" t="s">
        <v>74</v>
      </c>
      <c r="BO113" t="s">
        <v>74</v>
      </c>
      <c r="BP113" t="s">
        <v>74</v>
      </c>
      <c r="BQ113" t="s">
        <v>74</v>
      </c>
      <c r="BR113" t="s">
        <v>104</v>
      </c>
      <c r="BS113" t="s">
        <v>2578</v>
      </c>
      <c r="BT113" t="str">
        <f>HYPERLINK("https%3A%2F%2Fwww.webofscience.com%2Fwos%2Fwoscc%2Ffull-record%2FWOS:000587339000008","View Full Record in Web of Science")</f>
        <v>View Full Record in Web of Science</v>
      </c>
    </row>
    <row r="114" spans="1:72" x14ac:dyDescent="0.15">
      <c r="A114" t="s">
        <v>72</v>
      </c>
      <c r="B114" t="s">
        <v>2579</v>
      </c>
      <c r="C114" t="s">
        <v>74</v>
      </c>
      <c r="D114" t="s">
        <v>74</v>
      </c>
      <c r="E114" t="s">
        <v>74</v>
      </c>
      <c r="F114" t="s">
        <v>2580</v>
      </c>
      <c r="G114" t="s">
        <v>74</v>
      </c>
      <c r="H114" t="s">
        <v>74</v>
      </c>
      <c r="I114" t="s">
        <v>2581</v>
      </c>
      <c r="J114" t="s">
        <v>2582</v>
      </c>
      <c r="K114" t="s">
        <v>74</v>
      </c>
      <c r="L114" t="s">
        <v>74</v>
      </c>
      <c r="M114" t="s">
        <v>78</v>
      </c>
      <c r="N114" t="s">
        <v>79</v>
      </c>
      <c r="O114" t="s">
        <v>74</v>
      </c>
      <c r="P114" t="s">
        <v>74</v>
      </c>
      <c r="Q114" t="s">
        <v>74</v>
      </c>
      <c r="R114" t="s">
        <v>74</v>
      </c>
      <c r="S114" t="s">
        <v>74</v>
      </c>
      <c r="T114" t="s">
        <v>2583</v>
      </c>
      <c r="U114" t="s">
        <v>2584</v>
      </c>
      <c r="V114" t="s">
        <v>2585</v>
      </c>
      <c r="W114" t="s">
        <v>2586</v>
      </c>
      <c r="X114" t="s">
        <v>2587</v>
      </c>
      <c r="Y114" t="s">
        <v>2588</v>
      </c>
      <c r="Z114" t="s">
        <v>2589</v>
      </c>
      <c r="AA114" t="s">
        <v>2590</v>
      </c>
      <c r="AB114" t="s">
        <v>2591</v>
      </c>
      <c r="AC114" t="s">
        <v>2592</v>
      </c>
      <c r="AD114" t="s">
        <v>2593</v>
      </c>
      <c r="AE114" t="s">
        <v>74</v>
      </c>
      <c r="AF114" t="s">
        <v>74</v>
      </c>
      <c r="AG114">
        <v>66</v>
      </c>
      <c r="AH114">
        <v>20</v>
      </c>
      <c r="AI114">
        <v>21</v>
      </c>
      <c r="AJ114">
        <v>0</v>
      </c>
      <c r="AK114">
        <v>18</v>
      </c>
      <c r="AL114" t="s">
        <v>219</v>
      </c>
      <c r="AM114" t="s">
        <v>220</v>
      </c>
      <c r="AN114" t="s">
        <v>221</v>
      </c>
      <c r="AO114" t="s">
        <v>2594</v>
      </c>
      <c r="AP114" t="s">
        <v>2595</v>
      </c>
      <c r="AQ114" t="s">
        <v>74</v>
      </c>
      <c r="AR114" t="s">
        <v>2596</v>
      </c>
      <c r="AS114" t="s">
        <v>2597</v>
      </c>
      <c r="AT114" t="s">
        <v>1212</v>
      </c>
      <c r="AU114">
        <v>2020</v>
      </c>
      <c r="AV114">
        <v>20</v>
      </c>
      <c r="AW114">
        <v>6</v>
      </c>
      <c r="AX114" t="s">
        <v>74</v>
      </c>
      <c r="AY114" t="s">
        <v>74</v>
      </c>
      <c r="AZ114" t="s">
        <v>74</v>
      </c>
      <c r="BA114" t="s">
        <v>74</v>
      </c>
      <c r="BB114">
        <v>1470</v>
      </c>
      <c r="BC114">
        <v>1485</v>
      </c>
      <c r="BD114" t="s">
        <v>74</v>
      </c>
      <c r="BE114" t="s">
        <v>2598</v>
      </c>
      <c r="BF114" t="str">
        <f>HYPERLINK("http://dx.doi.org/10.1111/1755-0998.13204","http://dx.doi.org/10.1111/1755-0998.13204")</f>
        <v>http://dx.doi.org/10.1111/1755-0998.13204</v>
      </c>
      <c r="BG114" t="s">
        <v>74</v>
      </c>
      <c r="BH114" t="s">
        <v>74</v>
      </c>
      <c r="BI114">
        <v>16</v>
      </c>
      <c r="BJ114" t="s">
        <v>2599</v>
      </c>
      <c r="BK114" t="s">
        <v>100</v>
      </c>
      <c r="BL114" t="s">
        <v>2600</v>
      </c>
      <c r="BM114" t="s">
        <v>2601</v>
      </c>
      <c r="BN114">
        <v>32492756</v>
      </c>
      <c r="BO114" t="s">
        <v>74</v>
      </c>
      <c r="BP114" t="s">
        <v>74</v>
      </c>
      <c r="BQ114" t="s">
        <v>74</v>
      </c>
      <c r="BR114" t="s">
        <v>104</v>
      </c>
      <c r="BS114" t="s">
        <v>2602</v>
      </c>
      <c r="BT114" t="str">
        <f>HYPERLINK("https%3A%2F%2Fwww.webofscience.com%2Fwos%2Fwoscc%2Ffull-record%2FWOS:000584152000004","View Full Record in Web of Science")</f>
        <v>View Full Record in Web of Science</v>
      </c>
    </row>
    <row r="115" spans="1:72" x14ac:dyDescent="0.15">
      <c r="A115" t="s">
        <v>72</v>
      </c>
      <c r="B115" t="s">
        <v>2603</v>
      </c>
      <c r="C115" t="s">
        <v>74</v>
      </c>
      <c r="D115" t="s">
        <v>74</v>
      </c>
      <c r="E115" t="s">
        <v>74</v>
      </c>
      <c r="F115" t="s">
        <v>2604</v>
      </c>
      <c r="G115" t="s">
        <v>74</v>
      </c>
      <c r="H115" t="s">
        <v>74</v>
      </c>
      <c r="I115" t="s">
        <v>2605</v>
      </c>
      <c r="J115" t="s">
        <v>2606</v>
      </c>
      <c r="K115" t="s">
        <v>74</v>
      </c>
      <c r="L115" t="s">
        <v>74</v>
      </c>
      <c r="M115" t="s">
        <v>78</v>
      </c>
      <c r="N115" t="s">
        <v>79</v>
      </c>
      <c r="O115" t="s">
        <v>74</v>
      </c>
      <c r="P115" t="s">
        <v>74</v>
      </c>
      <c r="Q115" t="s">
        <v>74</v>
      </c>
      <c r="R115" t="s">
        <v>74</v>
      </c>
      <c r="S115" t="s">
        <v>74</v>
      </c>
      <c r="T115" t="s">
        <v>2607</v>
      </c>
      <c r="U115" t="s">
        <v>2608</v>
      </c>
      <c r="V115" t="s">
        <v>2609</v>
      </c>
      <c r="W115" t="s">
        <v>2610</v>
      </c>
      <c r="X115" t="s">
        <v>2611</v>
      </c>
      <c r="Y115" t="s">
        <v>2612</v>
      </c>
      <c r="Z115" t="s">
        <v>2613</v>
      </c>
      <c r="AA115" t="s">
        <v>2614</v>
      </c>
      <c r="AB115" t="s">
        <v>2615</v>
      </c>
      <c r="AC115" t="s">
        <v>2616</v>
      </c>
      <c r="AD115" t="s">
        <v>2617</v>
      </c>
      <c r="AE115" t="s">
        <v>2618</v>
      </c>
      <c r="AF115" t="s">
        <v>74</v>
      </c>
      <c r="AG115">
        <v>86</v>
      </c>
      <c r="AH115">
        <v>6</v>
      </c>
      <c r="AI115">
        <v>8</v>
      </c>
      <c r="AJ115">
        <v>2</v>
      </c>
      <c r="AK115">
        <v>21</v>
      </c>
      <c r="AL115" t="s">
        <v>219</v>
      </c>
      <c r="AM115" t="s">
        <v>220</v>
      </c>
      <c r="AN115" t="s">
        <v>221</v>
      </c>
      <c r="AO115" t="s">
        <v>2619</v>
      </c>
      <c r="AP115" t="s">
        <v>2620</v>
      </c>
      <c r="AQ115" t="s">
        <v>74</v>
      </c>
      <c r="AR115" t="s">
        <v>2621</v>
      </c>
      <c r="AS115" t="s">
        <v>2622</v>
      </c>
      <c r="AT115" t="s">
        <v>2623</v>
      </c>
      <c r="AU115">
        <v>2021</v>
      </c>
      <c r="AV115">
        <v>90</v>
      </c>
      <c r="AW115">
        <v>2</v>
      </c>
      <c r="AX115" t="s">
        <v>74</v>
      </c>
      <c r="AY115" t="s">
        <v>74</v>
      </c>
      <c r="AZ115" t="s">
        <v>74</v>
      </c>
      <c r="BA115" t="s">
        <v>74</v>
      </c>
      <c r="BB115">
        <v>432</v>
      </c>
      <c r="BC115">
        <v>446</v>
      </c>
      <c r="BD115" t="s">
        <v>74</v>
      </c>
      <c r="BE115" t="s">
        <v>2624</v>
      </c>
      <c r="BF115" t="str">
        <f>HYPERLINK("http://dx.doi.org/10.1111/1365-2656.13376","http://dx.doi.org/10.1111/1365-2656.13376")</f>
        <v>http://dx.doi.org/10.1111/1365-2656.13376</v>
      </c>
      <c r="BG115" t="s">
        <v>74</v>
      </c>
      <c r="BH115" t="s">
        <v>228</v>
      </c>
      <c r="BI115">
        <v>15</v>
      </c>
      <c r="BJ115" t="s">
        <v>2625</v>
      </c>
      <c r="BK115" t="s">
        <v>100</v>
      </c>
      <c r="BL115" t="s">
        <v>2626</v>
      </c>
      <c r="BM115" t="s">
        <v>2627</v>
      </c>
      <c r="BN115">
        <v>33070317</v>
      </c>
      <c r="BO115" t="s">
        <v>2628</v>
      </c>
      <c r="BP115" t="s">
        <v>74</v>
      </c>
      <c r="BQ115" t="s">
        <v>74</v>
      </c>
      <c r="BR115" t="s">
        <v>104</v>
      </c>
      <c r="BS115" t="s">
        <v>2629</v>
      </c>
      <c r="BT115" t="str">
        <f>HYPERLINK("https%3A%2F%2Fwww.webofscience.com%2Fwos%2Fwoscc%2Ffull-record%2FWOS:000583215900001","View Full Record in Web of Science")</f>
        <v>View Full Record in Web of Science</v>
      </c>
    </row>
    <row r="116" spans="1:72" x14ac:dyDescent="0.15">
      <c r="A116" t="s">
        <v>72</v>
      </c>
      <c r="B116" t="s">
        <v>2630</v>
      </c>
      <c r="C116" t="s">
        <v>74</v>
      </c>
      <c r="D116" t="s">
        <v>74</v>
      </c>
      <c r="E116" t="s">
        <v>74</v>
      </c>
      <c r="F116" t="s">
        <v>2631</v>
      </c>
      <c r="G116" t="s">
        <v>74</v>
      </c>
      <c r="H116" t="s">
        <v>74</v>
      </c>
      <c r="I116" t="s">
        <v>2632</v>
      </c>
      <c r="J116" t="s">
        <v>2633</v>
      </c>
      <c r="K116" t="s">
        <v>74</v>
      </c>
      <c r="L116" t="s">
        <v>74</v>
      </c>
      <c r="M116" t="s">
        <v>78</v>
      </c>
      <c r="N116" t="s">
        <v>79</v>
      </c>
      <c r="O116" t="s">
        <v>74</v>
      </c>
      <c r="P116" t="s">
        <v>74</v>
      </c>
      <c r="Q116" t="s">
        <v>74</v>
      </c>
      <c r="R116" t="s">
        <v>74</v>
      </c>
      <c r="S116" t="s">
        <v>74</v>
      </c>
      <c r="T116" t="s">
        <v>2634</v>
      </c>
      <c r="U116" t="s">
        <v>2635</v>
      </c>
      <c r="V116" t="s">
        <v>2636</v>
      </c>
      <c r="W116" t="s">
        <v>2637</v>
      </c>
      <c r="X116" t="s">
        <v>2638</v>
      </c>
      <c r="Y116" t="s">
        <v>2639</v>
      </c>
      <c r="Z116" t="s">
        <v>2640</v>
      </c>
      <c r="AA116" t="s">
        <v>2641</v>
      </c>
      <c r="AB116" t="s">
        <v>2642</v>
      </c>
      <c r="AC116" t="s">
        <v>74</v>
      </c>
      <c r="AD116" t="s">
        <v>74</v>
      </c>
      <c r="AE116" t="s">
        <v>74</v>
      </c>
      <c r="AF116" t="s">
        <v>74</v>
      </c>
      <c r="AG116">
        <v>33</v>
      </c>
      <c r="AH116">
        <v>1</v>
      </c>
      <c r="AI116">
        <v>1</v>
      </c>
      <c r="AJ116">
        <v>0</v>
      </c>
      <c r="AK116">
        <v>7</v>
      </c>
      <c r="AL116" t="s">
        <v>1572</v>
      </c>
      <c r="AM116" t="s">
        <v>1407</v>
      </c>
      <c r="AN116" t="s">
        <v>1573</v>
      </c>
      <c r="AO116" t="s">
        <v>2643</v>
      </c>
      <c r="AP116" t="s">
        <v>2644</v>
      </c>
      <c r="AQ116" t="s">
        <v>74</v>
      </c>
      <c r="AR116" t="s">
        <v>2645</v>
      </c>
      <c r="AS116" t="s">
        <v>2646</v>
      </c>
      <c r="AT116" t="s">
        <v>1212</v>
      </c>
      <c r="AU116">
        <v>2020</v>
      </c>
      <c r="AV116">
        <v>497</v>
      </c>
      <c r="AW116" t="s">
        <v>74</v>
      </c>
      <c r="AX116" t="s">
        <v>74</v>
      </c>
      <c r="AY116" t="s">
        <v>74</v>
      </c>
      <c r="AZ116" t="s">
        <v>74</v>
      </c>
      <c r="BA116" t="s">
        <v>74</v>
      </c>
      <c r="BB116" t="s">
        <v>74</v>
      </c>
      <c r="BC116" t="s">
        <v>74</v>
      </c>
      <c r="BD116">
        <v>108125</v>
      </c>
      <c r="BE116" t="s">
        <v>2647</v>
      </c>
      <c r="BF116" t="str">
        <f>HYPERLINK("http://dx.doi.org/10.1016/j.carres.2020.108125","http://dx.doi.org/10.1016/j.carres.2020.108125")</f>
        <v>http://dx.doi.org/10.1016/j.carres.2020.108125</v>
      </c>
      <c r="BG116" t="s">
        <v>74</v>
      </c>
      <c r="BH116" t="s">
        <v>74</v>
      </c>
      <c r="BI116">
        <v>5</v>
      </c>
      <c r="BJ116" t="s">
        <v>2648</v>
      </c>
      <c r="BK116" t="s">
        <v>100</v>
      </c>
      <c r="BL116" t="s">
        <v>2649</v>
      </c>
      <c r="BM116" t="s">
        <v>2650</v>
      </c>
      <c r="BN116">
        <v>32905875</v>
      </c>
      <c r="BO116" t="s">
        <v>74</v>
      </c>
      <c r="BP116" t="s">
        <v>74</v>
      </c>
      <c r="BQ116" t="s">
        <v>74</v>
      </c>
      <c r="BR116" t="s">
        <v>104</v>
      </c>
      <c r="BS116" t="s">
        <v>2651</v>
      </c>
      <c r="BT116" t="str">
        <f>HYPERLINK("https%3A%2F%2Fwww.webofscience.com%2Fwos%2Fwoscc%2Ffull-record%2FWOS:000579415400010","View Full Record in Web of Science")</f>
        <v>View Full Record in Web of Science</v>
      </c>
    </row>
    <row r="117" spans="1:72" x14ac:dyDescent="0.15">
      <c r="A117" t="s">
        <v>72</v>
      </c>
      <c r="B117" t="s">
        <v>2652</v>
      </c>
      <c r="C117" t="s">
        <v>74</v>
      </c>
      <c r="D117" t="s">
        <v>74</v>
      </c>
      <c r="E117" t="s">
        <v>74</v>
      </c>
      <c r="F117" t="s">
        <v>2653</v>
      </c>
      <c r="G117" t="s">
        <v>74</v>
      </c>
      <c r="H117" t="s">
        <v>74</v>
      </c>
      <c r="I117" t="s">
        <v>2654</v>
      </c>
      <c r="J117" t="s">
        <v>2655</v>
      </c>
      <c r="K117" t="s">
        <v>74</v>
      </c>
      <c r="L117" t="s">
        <v>74</v>
      </c>
      <c r="M117" t="s">
        <v>78</v>
      </c>
      <c r="N117" t="s">
        <v>138</v>
      </c>
      <c r="O117" t="s">
        <v>74</v>
      </c>
      <c r="P117" t="s">
        <v>74</v>
      </c>
      <c r="Q117" t="s">
        <v>74</v>
      </c>
      <c r="R117" t="s">
        <v>74</v>
      </c>
      <c r="S117" t="s">
        <v>74</v>
      </c>
      <c r="T117" t="s">
        <v>2656</v>
      </c>
      <c r="U117" t="s">
        <v>2657</v>
      </c>
      <c r="V117" t="s">
        <v>2658</v>
      </c>
      <c r="W117" t="s">
        <v>2659</v>
      </c>
      <c r="X117" t="s">
        <v>2660</v>
      </c>
      <c r="Y117" t="s">
        <v>2661</v>
      </c>
      <c r="Z117" t="s">
        <v>2662</v>
      </c>
      <c r="AA117" t="s">
        <v>2663</v>
      </c>
      <c r="AB117" t="s">
        <v>2664</v>
      </c>
      <c r="AC117" t="s">
        <v>2665</v>
      </c>
      <c r="AD117" t="s">
        <v>2666</v>
      </c>
      <c r="AE117" t="s">
        <v>2667</v>
      </c>
      <c r="AF117" t="s">
        <v>74</v>
      </c>
      <c r="AG117">
        <v>89</v>
      </c>
      <c r="AH117">
        <v>14</v>
      </c>
      <c r="AI117">
        <v>15</v>
      </c>
      <c r="AJ117">
        <v>1</v>
      </c>
      <c r="AK117">
        <v>12</v>
      </c>
      <c r="AL117" t="s">
        <v>1522</v>
      </c>
      <c r="AM117" t="s">
        <v>1407</v>
      </c>
      <c r="AN117" t="s">
        <v>1523</v>
      </c>
      <c r="AO117" t="s">
        <v>2668</v>
      </c>
      <c r="AP117" t="s">
        <v>74</v>
      </c>
      <c r="AQ117" t="s">
        <v>74</v>
      </c>
      <c r="AR117" t="s">
        <v>2669</v>
      </c>
      <c r="AS117" t="s">
        <v>2670</v>
      </c>
      <c r="AT117" t="s">
        <v>2066</v>
      </c>
      <c r="AU117">
        <v>2020</v>
      </c>
      <c r="AV117">
        <v>247</v>
      </c>
      <c r="AW117" t="s">
        <v>74</v>
      </c>
      <c r="AX117" t="s">
        <v>74</v>
      </c>
      <c r="AY117" t="s">
        <v>74</v>
      </c>
      <c r="AZ117" t="s">
        <v>74</v>
      </c>
      <c r="BA117" t="s">
        <v>74</v>
      </c>
      <c r="BB117" t="s">
        <v>74</v>
      </c>
      <c r="BC117" t="s">
        <v>74</v>
      </c>
      <c r="BD117">
        <v>106540</v>
      </c>
      <c r="BE117" t="s">
        <v>2671</v>
      </c>
      <c r="BF117" t="str">
        <f>HYPERLINK("http://dx.doi.org/10.1016/j.quascirev.2020.106540","http://dx.doi.org/10.1016/j.quascirev.2020.106540")</f>
        <v>http://dx.doi.org/10.1016/j.quascirev.2020.106540</v>
      </c>
      <c r="BG117" t="s">
        <v>74</v>
      </c>
      <c r="BH117" t="s">
        <v>74</v>
      </c>
      <c r="BI117">
        <v>19</v>
      </c>
      <c r="BJ117" t="s">
        <v>99</v>
      </c>
      <c r="BK117" t="s">
        <v>100</v>
      </c>
      <c r="BL117" t="s">
        <v>101</v>
      </c>
      <c r="BM117" t="s">
        <v>2672</v>
      </c>
      <c r="BN117" t="s">
        <v>74</v>
      </c>
      <c r="BO117" t="s">
        <v>564</v>
      </c>
      <c r="BP117" t="s">
        <v>74</v>
      </c>
      <c r="BQ117" t="s">
        <v>74</v>
      </c>
      <c r="BR117" t="s">
        <v>104</v>
      </c>
      <c r="BS117" t="s">
        <v>2673</v>
      </c>
      <c r="BT117" t="str">
        <f>HYPERLINK("https%3A%2F%2Fwww.webofscience.com%2Fwos%2Fwoscc%2Ffull-record%2FWOS:000581521700005","View Full Record in Web of Science")</f>
        <v>View Full Record in Web of Science</v>
      </c>
    </row>
    <row r="118" spans="1:72" x14ac:dyDescent="0.15">
      <c r="A118" t="s">
        <v>72</v>
      </c>
      <c r="B118" t="s">
        <v>2674</v>
      </c>
      <c r="C118" t="s">
        <v>74</v>
      </c>
      <c r="D118" t="s">
        <v>74</v>
      </c>
      <c r="E118" t="s">
        <v>74</v>
      </c>
      <c r="F118" t="s">
        <v>2675</v>
      </c>
      <c r="G118" t="s">
        <v>74</v>
      </c>
      <c r="H118" t="s">
        <v>2676</v>
      </c>
      <c r="I118" t="s">
        <v>2677</v>
      </c>
      <c r="J118" t="s">
        <v>2655</v>
      </c>
      <c r="K118" t="s">
        <v>74</v>
      </c>
      <c r="L118" t="s">
        <v>74</v>
      </c>
      <c r="M118" t="s">
        <v>78</v>
      </c>
      <c r="N118" t="s">
        <v>138</v>
      </c>
      <c r="O118" t="s">
        <v>74</v>
      </c>
      <c r="P118" t="s">
        <v>74</v>
      </c>
      <c r="Q118" t="s">
        <v>74</v>
      </c>
      <c r="R118" t="s">
        <v>74</v>
      </c>
      <c r="S118" t="s">
        <v>74</v>
      </c>
      <c r="T118" t="s">
        <v>2678</v>
      </c>
      <c r="U118" t="s">
        <v>2679</v>
      </c>
      <c r="V118" t="s">
        <v>2680</v>
      </c>
      <c r="W118" t="s">
        <v>2681</v>
      </c>
      <c r="X118" t="s">
        <v>2682</v>
      </c>
      <c r="Y118" t="s">
        <v>2683</v>
      </c>
      <c r="Z118" t="s">
        <v>2684</v>
      </c>
      <c r="AA118" t="s">
        <v>2685</v>
      </c>
      <c r="AB118" t="s">
        <v>74</v>
      </c>
      <c r="AC118" t="s">
        <v>2686</v>
      </c>
      <c r="AD118" t="s">
        <v>2687</v>
      </c>
      <c r="AE118" t="s">
        <v>2688</v>
      </c>
      <c r="AF118" t="s">
        <v>74</v>
      </c>
      <c r="AG118">
        <v>123</v>
      </c>
      <c r="AH118">
        <v>16</v>
      </c>
      <c r="AI118">
        <v>16</v>
      </c>
      <c r="AJ118">
        <v>2</v>
      </c>
      <c r="AK118">
        <v>34</v>
      </c>
      <c r="AL118" t="s">
        <v>1522</v>
      </c>
      <c r="AM118" t="s">
        <v>1407</v>
      </c>
      <c r="AN118" t="s">
        <v>1523</v>
      </c>
      <c r="AO118" t="s">
        <v>2668</v>
      </c>
      <c r="AP118" t="s">
        <v>2689</v>
      </c>
      <c r="AQ118" t="s">
        <v>74</v>
      </c>
      <c r="AR118" t="s">
        <v>2669</v>
      </c>
      <c r="AS118" t="s">
        <v>2670</v>
      </c>
      <c r="AT118" t="s">
        <v>2066</v>
      </c>
      <c r="AU118">
        <v>2020</v>
      </c>
      <c r="AV118">
        <v>247</v>
      </c>
      <c r="AW118" t="s">
        <v>74</v>
      </c>
      <c r="AX118" t="s">
        <v>74</v>
      </c>
      <c r="AY118" t="s">
        <v>74</v>
      </c>
      <c r="AZ118" t="s">
        <v>74</v>
      </c>
      <c r="BA118" t="s">
        <v>74</v>
      </c>
      <c r="BB118" t="s">
        <v>74</v>
      </c>
      <c r="BC118" t="s">
        <v>74</v>
      </c>
      <c r="BD118">
        <v>106542</v>
      </c>
      <c r="BE118" t="s">
        <v>2690</v>
      </c>
      <c r="BF118" t="str">
        <f>HYPERLINK("http://dx.doi.org/10.1016/j.quascirev.2020.106542","http://dx.doi.org/10.1016/j.quascirev.2020.106542")</f>
        <v>http://dx.doi.org/10.1016/j.quascirev.2020.106542</v>
      </c>
      <c r="BG118" t="s">
        <v>74</v>
      </c>
      <c r="BH118" t="s">
        <v>74</v>
      </c>
      <c r="BI118">
        <v>28</v>
      </c>
      <c r="BJ118" t="s">
        <v>99</v>
      </c>
      <c r="BK118" t="s">
        <v>100</v>
      </c>
      <c r="BL118" t="s">
        <v>101</v>
      </c>
      <c r="BM118" t="s">
        <v>2672</v>
      </c>
      <c r="BN118" t="s">
        <v>74</v>
      </c>
      <c r="BO118" t="s">
        <v>1825</v>
      </c>
      <c r="BP118" t="s">
        <v>74</v>
      </c>
      <c r="BQ118" t="s">
        <v>74</v>
      </c>
      <c r="BR118" t="s">
        <v>104</v>
      </c>
      <c r="BS118" t="s">
        <v>2691</v>
      </c>
      <c r="BT118" t="str">
        <f>HYPERLINK("https%3A%2F%2Fwww.webofscience.com%2Fwos%2Fwoscc%2Ffull-record%2FWOS:000581521700006","View Full Record in Web of Science")</f>
        <v>View Full Record in Web of Science</v>
      </c>
    </row>
    <row r="119" spans="1:72" x14ac:dyDescent="0.15">
      <c r="A119" t="s">
        <v>72</v>
      </c>
      <c r="B119" t="s">
        <v>2692</v>
      </c>
      <c r="C119" t="s">
        <v>74</v>
      </c>
      <c r="D119" t="s">
        <v>74</v>
      </c>
      <c r="E119" t="s">
        <v>74</v>
      </c>
      <c r="F119" t="s">
        <v>2693</v>
      </c>
      <c r="G119" t="s">
        <v>74</v>
      </c>
      <c r="H119" t="s">
        <v>74</v>
      </c>
      <c r="I119" t="s">
        <v>2694</v>
      </c>
      <c r="J119" t="s">
        <v>2655</v>
      </c>
      <c r="K119" t="s">
        <v>74</v>
      </c>
      <c r="L119" t="s">
        <v>74</v>
      </c>
      <c r="M119" t="s">
        <v>78</v>
      </c>
      <c r="N119" t="s">
        <v>138</v>
      </c>
      <c r="O119" t="s">
        <v>74</v>
      </c>
      <c r="P119" t="s">
        <v>74</v>
      </c>
      <c r="Q119" t="s">
        <v>74</v>
      </c>
      <c r="R119" t="s">
        <v>74</v>
      </c>
      <c r="S119" t="s">
        <v>74</v>
      </c>
      <c r="T119" t="s">
        <v>2695</v>
      </c>
      <c r="U119" t="s">
        <v>2696</v>
      </c>
      <c r="V119" t="s">
        <v>2697</v>
      </c>
      <c r="W119" t="s">
        <v>2698</v>
      </c>
      <c r="X119" t="s">
        <v>2699</v>
      </c>
      <c r="Y119" t="s">
        <v>2700</v>
      </c>
      <c r="Z119" t="s">
        <v>2701</v>
      </c>
      <c r="AA119" t="s">
        <v>2702</v>
      </c>
      <c r="AB119" t="s">
        <v>2703</v>
      </c>
      <c r="AC119" t="s">
        <v>2704</v>
      </c>
      <c r="AD119" t="s">
        <v>2705</v>
      </c>
      <c r="AE119" t="s">
        <v>2706</v>
      </c>
      <c r="AF119" t="s">
        <v>74</v>
      </c>
      <c r="AG119">
        <v>43</v>
      </c>
      <c r="AH119">
        <v>5</v>
      </c>
      <c r="AI119">
        <v>5</v>
      </c>
      <c r="AJ119">
        <v>0</v>
      </c>
      <c r="AK119">
        <v>8</v>
      </c>
      <c r="AL119" t="s">
        <v>1522</v>
      </c>
      <c r="AM119" t="s">
        <v>1407</v>
      </c>
      <c r="AN119" t="s">
        <v>1523</v>
      </c>
      <c r="AO119" t="s">
        <v>2668</v>
      </c>
      <c r="AP119" t="s">
        <v>74</v>
      </c>
      <c r="AQ119" t="s">
        <v>74</v>
      </c>
      <c r="AR119" t="s">
        <v>2669</v>
      </c>
      <c r="AS119" t="s">
        <v>2670</v>
      </c>
      <c r="AT119" t="s">
        <v>2066</v>
      </c>
      <c r="AU119">
        <v>2020</v>
      </c>
      <c r="AV119">
        <v>247</v>
      </c>
      <c r="AW119" t="s">
        <v>74</v>
      </c>
      <c r="AX119" t="s">
        <v>74</v>
      </c>
      <c r="AY119" t="s">
        <v>74</v>
      </c>
      <c r="AZ119" t="s">
        <v>74</v>
      </c>
      <c r="BA119" t="s">
        <v>74</v>
      </c>
      <c r="BB119" t="s">
        <v>74</v>
      </c>
      <c r="BC119" t="s">
        <v>74</v>
      </c>
      <c r="BD119">
        <v>106595</v>
      </c>
      <c r="BE119" t="s">
        <v>2707</v>
      </c>
      <c r="BF119" t="str">
        <f>HYPERLINK("http://dx.doi.org/10.1016/j.quascirev.2020.106595","http://dx.doi.org/10.1016/j.quascirev.2020.106595")</f>
        <v>http://dx.doi.org/10.1016/j.quascirev.2020.106595</v>
      </c>
      <c r="BG119" t="s">
        <v>74</v>
      </c>
      <c r="BH119" t="s">
        <v>74</v>
      </c>
      <c r="BI119">
        <v>15</v>
      </c>
      <c r="BJ119" t="s">
        <v>99</v>
      </c>
      <c r="BK119" t="s">
        <v>100</v>
      </c>
      <c r="BL119" t="s">
        <v>101</v>
      </c>
      <c r="BM119" t="s">
        <v>2672</v>
      </c>
      <c r="BN119" t="s">
        <v>74</v>
      </c>
      <c r="BO119" t="s">
        <v>74</v>
      </c>
      <c r="BP119" t="s">
        <v>74</v>
      </c>
      <c r="BQ119" t="s">
        <v>74</v>
      </c>
      <c r="BR119" t="s">
        <v>104</v>
      </c>
      <c r="BS119" t="s">
        <v>2708</v>
      </c>
      <c r="BT119" t="str">
        <f>HYPERLINK("https%3A%2F%2Fwww.webofscience.com%2Fwos%2Fwoscc%2Ffull-record%2FWOS:000581521700019","View Full Record in Web of Science")</f>
        <v>View Full Record in Web of Science</v>
      </c>
    </row>
    <row r="120" spans="1:72" x14ac:dyDescent="0.15">
      <c r="A120" t="s">
        <v>72</v>
      </c>
      <c r="B120" t="s">
        <v>2709</v>
      </c>
      <c r="C120" t="s">
        <v>74</v>
      </c>
      <c r="D120" t="s">
        <v>74</v>
      </c>
      <c r="E120" t="s">
        <v>74</v>
      </c>
      <c r="F120" t="s">
        <v>2710</v>
      </c>
      <c r="G120" t="s">
        <v>74</v>
      </c>
      <c r="H120" t="s">
        <v>74</v>
      </c>
      <c r="I120" t="s">
        <v>2711</v>
      </c>
      <c r="J120" t="s">
        <v>2712</v>
      </c>
      <c r="K120" t="s">
        <v>74</v>
      </c>
      <c r="L120" t="s">
        <v>74</v>
      </c>
      <c r="M120" t="s">
        <v>78</v>
      </c>
      <c r="N120" t="s">
        <v>79</v>
      </c>
      <c r="O120" t="s">
        <v>74</v>
      </c>
      <c r="P120" t="s">
        <v>74</v>
      </c>
      <c r="Q120" t="s">
        <v>74</v>
      </c>
      <c r="R120" t="s">
        <v>74</v>
      </c>
      <c r="S120" t="s">
        <v>74</v>
      </c>
      <c r="T120" t="s">
        <v>2713</v>
      </c>
      <c r="U120" t="s">
        <v>2714</v>
      </c>
      <c r="V120" t="s">
        <v>2715</v>
      </c>
      <c r="W120" t="s">
        <v>2716</v>
      </c>
      <c r="X120" t="s">
        <v>2717</v>
      </c>
      <c r="Y120" t="s">
        <v>2718</v>
      </c>
      <c r="Z120" t="s">
        <v>2719</v>
      </c>
      <c r="AA120" t="s">
        <v>74</v>
      </c>
      <c r="AB120" t="s">
        <v>2720</v>
      </c>
      <c r="AC120" t="s">
        <v>2721</v>
      </c>
      <c r="AD120" t="s">
        <v>2722</v>
      </c>
      <c r="AE120" t="s">
        <v>2723</v>
      </c>
      <c r="AF120" t="s">
        <v>74</v>
      </c>
      <c r="AG120">
        <v>43</v>
      </c>
      <c r="AH120">
        <v>5</v>
      </c>
      <c r="AI120">
        <v>5</v>
      </c>
      <c r="AJ120">
        <v>1</v>
      </c>
      <c r="AK120">
        <v>11</v>
      </c>
      <c r="AL120" t="s">
        <v>2724</v>
      </c>
      <c r="AM120" t="s">
        <v>2725</v>
      </c>
      <c r="AN120" t="s">
        <v>2726</v>
      </c>
      <c r="AO120" t="s">
        <v>2727</v>
      </c>
      <c r="AP120" t="s">
        <v>74</v>
      </c>
      <c r="AQ120" t="s">
        <v>74</v>
      </c>
      <c r="AR120" t="s">
        <v>2728</v>
      </c>
      <c r="AS120" t="s">
        <v>2729</v>
      </c>
      <c r="AT120" t="s">
        <v>1212</v>
      </c>
      <c r="AU120">
        <v>2020</v>
      </c>
      <c r="AV120">
        <v>15</v>
      </c>
      <c r="AW120">
        <v>11</v>
      </c>
      <c r="AX120" t="s">
        <v>74</v>
      </c>
      <c r="AY120" t="s">
        <v>74</v>
      </c>
      <c r="AZ120" t="s">
        <v>74</v>
      </c>
      <c r="BA120" t="s">
        <v>74</v>
      </c>
      <c r="BB120" t="s">
        <v>74</v>
      </c>
      <c r="BC120" t="s">
        <v>74</v>
      </c>
      <c r="BD120">
        <v>114012</v>
      </c>
      <c r="BE120" t="s">
        <v>2730</v>
      </c>
      <c r="BF120" t="str">
        <f>HYPERLINK("http://dx.doi.org/10.1088/1748-9326/abbc3e","http://dx.doi.org/10.1088/1748-9326/abbc3e")</f>
        <v>http://dx.doi.org/10.1088/1748-9326/abbc3e</v>
      </c>
      <c r="BG120" t="s">
        <v>74</v>
      </c>
      <c r="BH120" t="s">
        <v>74</v>
      </c>
      <c r="BI120">
        <v>9</v>
      </c>
      <c r="BJ120" t="s">
        <v>1027</v>
      </c>
      <c r="BK120" t="s">
        <v>100</v>
      </c>
      <c r="BL120" t="s">
        <v>1028</v>
      </c>
      <c r="BM120" t="s">
        <v>2731</v>
      </c>
      <c r="BN120" t="s">
        <v>74</v>
      </c>
      <c r="BO120" t="s">
        <v>202</v>
      </c>
      <c r="BP120" t="s">
        <v>74</v>
      </c>
      <c r="BQ120" t="s">
        <v>74</v>
      </c>
      <c r="BR120" t="s">
        <v>104</v>
      </c>
      <c r="BS120" t="s">
        <v>2732</v>
      </c>
      <c r="BT120" t="str">
        <f>HYPERLINK("https%3A%2F%2Fwww.webofscience.com%2Fwos%2Fwoscc%2Ffull-record%2FWOS:000581260000001","View Full Record in Web of Science")</f>
        <v>View Full Record in Web of Science</v>
      </c>
    </row>
    <row r="121" spans="1:72" x14ac:dyDescent="0.15">
      <c r="A121" t="s">
        <v>72</v>
      </c>
      <c r="B121" t="s">
        <v>2733</v>
      </c>
      <c r="C121" t="s">
        <v>74</v>
      </c>
      <c r="D121" t="s">
        <v>74</v>
      </c>
      <c r="E121" t="s">
        <v>74</v>
      </c>
      <c r="F121" t="s">
        <v>2734</v>
      </c>
      <c r="G121" t="s">
        <v>74</v>
      </c>
      <c r="H121" t="s">
        <v>74</v>
      </c>
      <c r="I121" t="s">
        <v>2735</v>
      </c>
      <c r="J121" t="s">
        <v>2736</v>
      </c>
      <c r="K121" t="s">
        <v>74</v>
      </c>
      <c r="L121" t="s">
        <v>74</v>
      </c>
      <c r="M121" t="s">
        <v>78</v>
      </c>
      <c r="N121" t="s">
        <v>79</v>
      </c>
      <c r="O121" t="s">
        <v>74</v>
      </c>
      <c r="P121" t="s">
        <v>74</v>
      </c>
      <c r="Q121" t="s">
        <v>74</v>
      </c>
      <c r="R121" t="s">
        <v>74</v>
      </c>
      <c r="S121" t="s">
        <v>74</v>
      </c>
      <c r="T121" t="s">
        <v>2737</v>
      </c>
      <c r="U121" t="s">
        <v>2738</v>
      </c>
      <c r="V121" t="s">
        <v>2739</v>
      </c>
      <c r="W121" t="s">
        <v>2740</v>
      </c>
      <c r="X121" t="s">
        <v>2741</v>
      </c>
      <c r="Y121" t="s">
        <v>2742</v>
      </c>
      <c r="Z121" t="s">
        <v>2743</v>
      </c>
      <c r="AA121" t="s">
        <v>2744</v>
      </c>
      <c r="AB121" t="s">
        <v>2745</v>
      </c>
      <c r="AC121" t="s">
        <v>2746</v>
      </c>
      <c r="AD121" t="s">
        <v>2747</v>
      </c>
      <c r="AE121" t="s">
        <v>2748</v>
      </c>
      <c r="AF121" t="s">
        <v>74</v>
      </c>
      <c r="AG121">
        <v>86</v>
      </c>
      <c r="AH121">
        <v>3</v>
      </c>
      <c r="AI121">
        <v>4</v>
      </c>
      <c r="AJ121">
        <v>3</v>
      </c>
      <c r="AK121">
        <v>41</v>
      </c>
      <c r="AL121" t="s">
        <v>275</v>
      </c>
      <c r="AM121" t="s">
        <v>276</v>
      </c>
      <c r="AN121" t="s">
        <v>277</v>
      </c>
      <c r="AO121" t="s">
        <v>2749</v>
      </c>
      <c r="AP121" t="s">
        <v>2750</v>
      </c>
      <c r="AQ121" t="s">
        <v>74</v>
      </c>
      <c r="AR121" t="s">
        <v>2751</v>
      </c>
      <c r="AS121" t="s">
        <v>2752</v>
      </c>
      <c r="AT121" t="s">
        <v>1212</v>
      </c>
      <c r="AU121">
        <v>2020</v>
      </c>
      <c r="AV121">
        <v>289</v>
      </c>
      <c r="AW121" t="s">
        <v>74</v>
      </c>
      <c r="AX121" t="s">
        <v>74</v>
      </c>
      <c r="AY121" t="s">
        <v>74</v>
      </c>
      <c r="AZ121" t="s">
        <v>74</v>
      </c>
      <c r="BA121" t="s">
        <v>74</v>
      </c>
      <c r="BB121" t="s">
        <v>74</v>
      </c>
      <c r="BC121" t="s">
        <v>74</v>
      </c>
      <c r="BD121">
        <v>198155</v>
      </c>
      <c r="BE121" t="s">
        <v>2753</v>
      </c>
      <c r="BF121" t="str">
        <f>HYPERLINK("http://dx.doi.org/10.1016/j.virusres.2020.198155","http://dx.doi.org/10.1016/j.virusres.2020.198155")</f>
        <v>http://dx.doi.org/10.1016/j.virusres.2020.198155</v>
      </c>
      <c r="BG121" t="s">
        <v>74</v>
      </c>
      <c r="BH121" t="s">
        <v>74</v>
      </c>
      <c r="BI121">
        <v>10</v>
      </c>
      <c r="BJ121" t="s">
        <v>2754</v>
      </c>
      <c r="BK121" t="s">
        <v>100</v>
      </c>
      <c r="BL121" t="s">
        <v>2754</v>
      </c>
      <c r="BM121" t="s">
        <v>2755</v>
      </c>
      <c r="BN121">
        <v>32941942</v>
      </c>
      <c r="BO121" t="s">
        <v>74</v>
      </c>
      <c r="BP121" t="s">
        <v>74</v>
      </c>
      <c r="BQ121" t="s">
        <v>74</v>
      </c>
      <c r="BR121" t="s">
        <v>104</v>
      </c>
      <c r="BS121" t="s">
        <v>2756</v>
      </c>
      <c r="BT121" t="str">
        <f>HYPERLINK("https%3A%2F%2Fwww.webofscience.com%2Fwos%2Fwoscc%2Ffull-record%2FWOS:000580625200014","View Full Record in Web of Science")</f>
        <v>View Full Record in Web of Science</v>
      </c>
    </row>
    <row r="122" spans="1:72" x14ac:dyDescent="0.15">
      <c r="A122" t="s">
        <v>72</v>
      </c>
      <c r="B122" t="s">
        <v>2757</v>
      </c>
      <c r="C122" t="s">
        <v>74</v>
      </c>
      <c r="D122" t="s">
        <v>74</v>
      </c>
      <c r="E122" t="s">
        <v>74</v>
      </c>
      <c r="F122" t="s">
        <v>2758</v>
      </c>
      <c r="G122" t="s">
        <v>74</v>
      </c>
      <c r="H122" t="s">
        <v>74</v>
      </c>
      <c r="I122" t="s">
        <v>2759</v>
      </c>
      <c r="J122" t="s">
        <v>2760</v>
      </c>
      <c r="K122" t="s">
        <v>74</v>
      </c>
      <c r="L122" t="s">
        <v>74</v>
      </c>
      <c r="M122" t="s">
        <v>78</v>
      </c>
      <c r="N122" t="s">
        <v>2761</v>
      </c>
      <c r="O122" t="s">
        <v>74</v>
      </c>
      <c r="P122" t="s">
        <v>74</v>
      </c>
      <c r="Q122" t="s">
        <v>74</v>
      </c>
      <c r="R122" t="s">
        <v>74</v>
      </c>
      <c r="S122" t="s">
        <v>74</v>
      </c>
      <c r="T122" t="s">
        <v>74</v>
      </c>
      <c r="U122" t="s">
        <v>74</v>
      </c>
      <c r="V122" t="s">
        <v>74</v>
      </c>
      <c r="W122" t="s">
        <v>2762</v>
      </c>
      <c r="X122" t="s">
        <v>2763</v>
      </c>
      <c r="Y122" t="s">
        <v>2764</v>
      </c>
      <c r="Z122" t="s">
        <v>213</v>
      </c>
      <c r="AA122" t="s">
        <v>2765</v>
      </c>
      <c r="AB122" t="s">
        <v>2766</v>
      </c>
      <c r="AC122" t="s">
        <v>74</v>
      </c>
      <c r="AD122" t="s">
        <v>74</v>
      </c>
      <c r="AE122" t="s">
        <v>74</v>
      </c>
      <c r="AF122" t="s">
        <v>74</v>
      </c>
      <c r="AG122">
        <v>1</v>
      </c>
      <c r="AH122">
        <v>0</v>
      </c>
      <c r="AI122">
        <v>0</v>
      </c>
      <c r="AJ122">
        <v>0</v>
      </c>
      <c r="AK122">
        <v>28</v>
      </c>
      <c r="AL122" t="s">
        <v>1572</v>
      </c>
      <c r="AM122" t="s">
        <v>1407</v>
      </c>
      <c r="AN122" t="s">
        <v>1573</v>
      </c>
      <c r="AO122" t="s">
        <v>2767</v>
      </c>
      <c r="AP122" t="s">
        <v>2768</v>
      </c>
      <c r="AQ122" t="s">
        <v>74</v>
      </c>
      <c r="AR122" t="s">
        <v>2769</v>
      </c>
      <c r="AS122" t="s">
        <v>2770</v>
      </c>
      <c r="AT122" t="s">
        <v>1212</v>
      </c>
      <c r="AU122">
        <v>2020</v>
      </c>
      <c r="AV122">
        <v>124</v>
      </c>
      <c r="AW122">
        <v>11</v>
      </c>
      <c r="AX122" t="s">
        <v>74</v>
      </c>
      <c r="AY122" t="s">
        <v>74</v>
      </c>
      <c r="AZ122" t="s">
        <v>74</v>
      </c>
      <c r="BA122" t="s">
        <v>74</v>
      </c>
      <c r="BB122">
        <v>981</v>
      </c>
      <c r="BC122">
        <v>981</v>
      </c>
      <c r="BD122" t="s">
        <v>74</v>
      </c>
      <c r="BE122" t="s">
        <v>2771</v>
      </c>
      <c r="BF122" t="str">
        <f>HYPERLINK("http://dx.doi.org/10.1016/j.funbio.2020.09.006","http://dx.doi.org/10.1016/j.funbio.2020.09.006")</f>
        <v>http://dx.doi.org/10.1016/j.funbio.2020.09.006</v>
      </c>
      <c r="BG122" t="s">
        <v>74</v>
      </c>
      <c r="BH122" t="s">
        <v>74</v>
      </c>
      <c r="BI122">
        <v>1</v>
      </c>
      <c r="BJ122" t="s">
        <v>2772</v>
      </c>
      <c r="BK122" t="s">
        <v>100</v>
      </c>
      <c r="BL122" t="s">
        <v>2772</v>
      </c>
      <c r="BM122" t="s">
        <v>2773</v>
      </c>
      <c r="BN122">
        <v>33059849</v>
      </c>
      <c r="BO122" t="s">
        <v>74</v>
      </c>
      <c r="BP122" t="s">
        <v>74</v>
      </c>
      <c r="BQ122" t="s">
        <v>74</v>
      </c>
      <c r="BR122" t="s">
        <v>104</v>
      </c>
      <c r="BS122" t="s">
        <v>2774</v>
      </c>
      <c r="BT122" t="str">
        <f>HYPERLINK("https%3A%2F%2Fwww.webofscience.com%2Fwos%2Fwoscc%2Ffull-record%2FWOS:000579501100007","View Full Record in Web of Science")</f>
        <v>View Full Record in Web of Science</v>
      </c>
    </row>
    <row r="123" spans="1:72" x14ac:dyDescent="0.15">
      <c r="A123" t="s">
        <v>72</v>
      </c>
      <c r="B123" t="s">
        <v>2775</v>
      </c>
      <c r="C123" t="s">
        <v>74</v>
      </c>
      <c r="D123" t="s">
        <v>74</v>
      </c>
      <c r="E123" t="s">
        <v>74</v>
      </c>
      <c r="F123" t="s">
        <v>2776</v>
      </c>
      <c r="G123" t="s">
        <v>74</v>
      </c>
      <c r="H123" t="s">
        <v>74</v>
      </c>
      <c r="I123" t="s">
        <v>2777</v>
      </c>
      <c r="J123" t="s">
        <v>2778</v>
      </c>
      <c r="K123" t="s">
        <v>74</v>
      </c>
      <c r="L123" t="s">
        <v>74</v>
      </c>
      <c r="M123" t="s">
        <v>78</v>
      </c>
      <c r="N123" t="s">
        <v>79</v>
      </c>
      <c r="O123" t="s">
        <v>74</v>
      </c>
      <c r="P123" t="s">
        <v>74</v>
      </c>
      <c r="Q123" t="s">
        <v>74</v>
      </c>
      <c r="R123" t="s">
        <v>74</v>
      </c>
      <c r="S123" t="s">
        <v>74</v>
      </c>
      <c r="T123" t="s">
        <v>2779</v>
      </c>
      <c r="U123" t="s">
        <v>2780</v>
      </c>
      <c r="V123" t="s">
        <v>2781</v>
      </c>
      <c r="W123" t="s">
        <v>2782</v>
      </c>
      <c r="X123" t="s">
        <v>2783</v>
      </c>
      <c r="Y123" t="s">
        <v>2784</v>
      </c>
      <c r="Z123" t="s">
        <v>2785</v>
      </c>
      <c r="AA123" t="s">
        <v>2786</v>
      </c>
      <c r="AB123" t="s">
        <v>2787</v>
      </c>
      <c r="AC123" t="s">
        <v>2788</v>
      </c>
      <c r="AD123" t="s">
        <v>2789</v>
      </c>
      <c r="AE123" t="s">
        <v>2790</v>
      </c>
      <c r="AF123" t="s">
        <v>74</v>
      </c>
      <c r="AG123">
        <v>129</v>
      </c>
      <c r="AH123">
        <v>6</v>
      </c>
      <c r="AI123">
        <v>7</v>
      </c>
      <c r="AJ123">
        <v>9</v>
      </c>
      <c r="AK123">
        <v>48</v>
      </c>
      <c r="AL123" t="s">
        <v>275</v>
      </c>
      <c r="AM123" t="s">
        <v>276</v>
      </c>
      <c r="AN123" t="s">
        <v>277</v>
      </c>
      <c r="AO123" t="s">
        <v>2791</v>
      </c>
      <c r="AP123" t="s">
        <v>2792</v>
      </c>
      <c r="AQ123" t="s">
        <v>74</v>
      </c>
      <c r="AR123" t="s">
        <v>2793</v>
      </c>
      <c r="AS123" t="s">
        <v>2794</v>
      </c>
      <c r="AT123" t="s">
        <v>1212</v>
      </c>
      <c r="AU123">
        <v>2020</v>
      </c>
      <c r="AV123">
        <v>194</v>
      </c>
      <c r="AW123" t="s">
        <v>74</v>
      </c>
      <c r="AX123" t="s">
        <v>74</v>
      </c>
      <c r="AY123" t="s">
        <v>74</v>
      </c>
      <c r="AZ123" t="s">
        <v>74</v>
      </c>
      <c r="BA123" t="s">
        <v>74</v>
      </c>
      <c r="BB123" t="s">
        <v>74</v>
      </c>
      <c r="BC123" t="s">
        <v>74</v>
      </c>
      <c r="BD123">
        <v>103314</v>
      </c>
      <c r="BE123" t="s">
        <v>2795</v>
      </c>
      <c r="BF123" t="str">
        <f>HYPERLINK("http://dx.doi.org/10.1016/j.gloplacha.2020.103314","http://dx.doi.org/10.1016/j.gloplacha.2020.103314")</f>
        <v>http://dx.doi.org/10.1016/j.gloplacha.2020.103314</v>
      </c>
      <c r="BG123" t="s">
        <v>74</v>
      </c>
      <c r="BH123" t="s">
        <v>74</v>
      </c>
      <c r="BI123">
        <v>15</v>
      </c>
      <c r="BJ123" t="s">
        <v>99</v>
      </c>
      <c r="BK123" t="s">
        <v>100</v>
      </c>
      <c r="BL123" t="s">
        <v>101</v>
      </c>
      <c r="BM123" t="s">
        <v>2796</v>
      </c>
      <c r="BN123" t="s">
        <v>74</v>
      </c>
      <c r="BO123" t="s">
        <v>74</v>
      </c>
      <c r="BP123" t="s">
        <v>74</v>
      </c>
      <c r="BQ123" t="s">
        <v>74</v>
      </c>
      <c r="BR123" t="s">
        <v>104</v>
      </c>
      <c r="BS123" t="s">
        <v>2797</v>
      </c>
      <c r="BT123" t="str">
        <f>HYPERLINK("https%3A%2F%2Fwww.webofscience.com%2Fwos%2Fwoscc%2Ffull-record%2FWOS:000579858500017","View Full Record in Web of Science")</f>
        <v>View Full Record in Web of Science</v>
      </c>
    </row>
    <row r="124" spans="1:72" x14ac:dyDescent="0.15">
      <c r="A124" t="s">
        <v>72</v>
      </c>
      <c r="B124" t="s">
        <v>2798</v>
      </c>
      <c r="C124" t="s">
        <v>74</v>
      </c>
      <c r="D124" t="s">
        <v>74</v>
      </c>
      <c r="E124" t="s">
        <v>74</v>
      </c>
      <c r="F124" t="s">
        <v>2799</v>
      </c>
      <c r="G124" t="s">
        <v>74</v>
      </c>
      <c r="H124" t="s">
        <v>74</v>
      </c>
      <c r="I124" t="s">
        <v>2800</v>
      </c>
      <c r="J124" t="s">
        <v>2801</v>
      </c>
      <c r="K124" t="s">
        <v>74</v>
      </c>
      <c r="L124" t="s">
        <v>74</v>
      </c>
      <c r="M124" t="s">
        <v>78</v>
      </c>
      <c r="N124" t="s">
        <v>79</v>
      </c>
      <c r="O124" t="s">
        <v>74</v>
      </c>
      <c r="P124" t="s">
        <v>74</v>
      </c>
      <c r="Q124" t="s">
        <v>74</v>
      </c>
      <c r="R124" t="s">
        <v>74</v>
      </c>
      <c r="S124" t="s">
        <v>74</v>
      </c>
      <c r="T124" t="s">
        <v>2802</v>
      </c>
      <c r="U124" t="s">
        <v>2803</v>
      </c>
      <c r="V124" t="s">
        <v>2804</v>
      </c>
      <c r="W124" t="s">
        <v>2805</v>
      </c>
      <c r="X124" t="s">
        <v>2806</v>
      </c>
      <c r="Y124" t="s">
        <v>2807</v>
      </c>
      <c r="Z124" t="s">
        <v>2808</v>
      </c>
      <c r="AA124" t="s">
        <v>2809</v>
      </c>
      <c r="AB124" t="s">
        <v>2810</v>
      </c>
      <c r="AC124" t="s">
        <v>2811</v>
      </c>
      <c r="AD124" t="s">
        <v>2812</v>
      </c>
      <c r="AE124" t="s">
        <v>2813</v>
      </c>
      <c r="AF124" t="s">
        <v>74</v>
      </c>
      <c r="AG124">
        <v>82</v>
      </c>
      <c r="AH124">
        <v>7</v>
      </c>
      <c r="AI124">
        <v>8</v>
      </c>
      <c r="AJ124">
        <v>0</v>
      </c>
      <c r="AK124">
        <v>13</v>
      </c>
      <c r="AL124" t="s">
        <v>275</v>
      </c>
      <c r="AM124" t="s">
        <v>276</v>
      </c>
      <c r="AN124" t="s">
        <v>277</v>
      </c>
      <c r="AO124" t="s">
        <v>2814</v>
      </c>
      <c r="AP124" t="s">
        <v>2815</v>
      </c>
      <c r="AQ124" t="s">
        <v>74</v>
      </c>
      <c r="AR124" t="s">
        <v>2816</v>
      </c>
      <c r="AS124" t="s">
        <v>2817</v>
      </c>
      <c r="AT124" t="s">
        <v>1212</v>
      </c>
      <c r="AU124">
        <v>2020</v>
      </c>
      <c r="AV124">
        <v>118</v>
      </c>
      <c r="AW124" t="s">
        <v>74</v>
      </c>
      <c r="AX124" t="s">
        <v>74</v>
      </c>
      <c r="AY124" t="s">
        <v>74</v>
      </c>
      <c r="AZ124" t="s">
        <v>74</v>
      </c>
      <c r="BA124" t="s">
        <v>74</v>
      </c>
      <c r="BB124" t="s">
        <v>74</v>
      </c>
      <c r="BC124" t="s">
        <v>74</v>
      </c>
      <c r="BD124">
        <v>106694</v>
      </c>
      <c r="BE124" t="s">
        <v>2818</v>
      </c>
      <c r="BF124" t="str">
        <f>HYPERLINK("http://dx.doi.org/10.1016/j.ecolind.2020.106694","http://dx.doi.org/10.1016/j.ecolind.2020.106694")</f>
        <v>http://dx.doi.org/10.1016/j.ecolind.2020.106694</v>
      </c>
      <c r="BG124" t="s">
        <v>74</v>
      </c>
      <c r="BH124" t="s">
        <v>74</v>
      </c>
      <c r="BI124">
        <v>10</v>
      </c>
      <c r="BJ124" t="s">
        <v>2819</v>
      </c>
      <c r="BK124" t="s">
        <v>100</v>
      </c>
      <c r="BL124" t="s">
        <v>256</v>
      </c>
      <c r="BM124" t="s">
        <v>2820</v>
      </c>
      <c r="BN124" t="s">
        <v>74</v>
      </c>
      <c r="BO124" t="s">
        <v>1188</v>
      </c>
      <c r="BP124" t="s">
        <v>74</v>
      </c>
      <c r="BQ124" t="s">
        <v>74</v>
      </c>
      <c r="BR124" t="s">
        <v>104</v>
      </c>
      <c r="BS124" t="s">
        <v>2821</v>
      </c>
      <c r="BT124" t="str">
        <f>HYPERLINK("https%3A%2F%2Fwww.webofscience.com%2Fwos%2Fwoscc%2Ffull-record%2FWOS:000578967500005","View Full Record in Web of Science")</f>
        <v>View Full Record in Web of Science</v>
      </c>
    </row>
    <row r="125" spans="1:72" x14ac:dyDescent="0.15">
      <c r="A125" t="s">
        <v>72</v>
      </c>
      <c r="B125" t="s">
        <v>2822</v>
      </c>
      <c r="C125" t="s">
        <v>74</v>
      </c>
      <c r="D125" t="s">
        <v>74</v>
      </c>
      <c r="E125" t="s">
        <v>74</v>
      </c>
      <c r="F125" t="s">
        <v>2823</v>
      </c>
      <c r="G125" t="s">
        <v>74</v>
      </c>
      <c r="H125" t="s">
        <v>74</v>
      </c>
      <c r="I125" t="s">
        <v>2824</v>
      </c>
      <c r="J125" t="s">
        <v>2825</v>
      </c>
      <c r="K125" t="s">
        <v>74</v>
      </c>
      <c r="L125" t="s">
        <v>74</v>
      </c>
      <c r="M125" t="s">
        <v>78</v>
      </c>
      <c r="N125" t="s">
        <v>79</v>
      </c>
      <c r="O125" t="s">
        <v>74</v>
      </c>
      <c r="P125" t="s">
        <v>74</v>
      </c>
      <c r="Q125" t="s">
        <v>74</v>
      </c>
      <c r="R125" t="s">
        <v>74</v>
      </c>
      <c r="S125" t="s">
        <v>74</v>
      </c>
      <c r="T125" t="s">
        <v>2826</v>
      </c>
      <c r="U125" t="s">
        <v>2827</v>
      </c>
      <c r="V125" t="s">
        <v>2828</v>
      </c>
      <c r="W125" t="s">
        <v>2829</v>
      </c>
      <c r="X125" t="s">
        <v>2830</v>
      </c>
      <c r="Y125" t="s">
        <v>2831</v>
      </c>
      <c r="Z125" t="s">
        <v>2832</v>
      </c>
      <c r="AA125" t="s">
        <v>2833</v>
      </c>
      <c r="AB125" t="s">
        <v>2834</v>
      </c>
      <c r="AC125" t="s">
        <v>2835</v>
      </c>
      <c r="AD125" t="s">
        <v>2836</v>
      </c>
      <c r="AE125" t="s">
        <v>2837</v>
      </c>
      <c r="AF125" t="s">
        <v>74</v>
      </c>
      <c r="AG125">
        <v>127</v>
      </c>
      <c r="AH125">
        <v>39</v>
      </c>
      <c r="AI125">
        <v>42</v>
      </c>
      <c r="AJ125">
        <v>8</v>
      </c>
      <c r="AK125">
        <v>64</v>
      </c>
      <c r="AL125" t="s">
        <v>275</v>
      </c>
      <c r="AM125" t="s">
        <v>276</v>
      </c>
      <c r="AN125" t="s">
        <v>277</v>
      </c>
      <c r="AO125" t="s">
        <v>2838</v>
      </c>
      <c r="AP125" t="s">
        <v>2839</v>
      </c>
      <c r="AQ125" t="s">
        <v>74</v>
      </c>
      <c r="AR125" t="s">
        <v>2840</v>
      </c>
      <c r="AS125" t="s">
        <v>2841</v>
      </c>
      <c r="AT125" t="s">
        <v>2066</v>
      </c>
      <c r="AU125">
        <v>2020</v>
      </c>
      <c r="AV125">
        <v>435</v>
      </c>
      <c r="AW125" t="s">
        <v>74</v>
      </c>
      <c r="AX125" t="s">
        <v>74</v>
      </c>
      <c r="AY125" t="s">
        <v>74</v>
      </c>
      <c r="AZ125" t="s">
        <v>74</v>
      </c>
      <c r="BA125" t="s">
        <v>74</v>
      </c>
      <c r="BB125" t="s">
        <v>74</v>
      </c>
      <c r="BC125" t="s">
        <v>74</v>
      </c>
      <c r="BD125">
        <v>109265</v>
      </c>
      <c r="BE125" t="s">
        <v>2842</v>
      </c>
      <c r="BF125" t="str">
        <f>HYPERLINK("http://dx.doi.org/10.1016/j.ecolmodel.2020.109265","http://dx.doi.org/10.1016/j.ecolmodel.2020.109265")</f>
        <v>http://dx.doi.org/10.1016/j.ecolmodel.2020.109265</v>
      </c>
      <c r="BG125" t="s">
        <v>74</v>
      </c>
      <c r="BH125" t="s">
        <v>74</v>
      </c>
      <c r="BI125">
        <v>18</v>
      </c>
      <c r="BJ125" t="s">
        <v>823</v>
      </c>
      <c r="BK125" t="s">
        <v>100</v>
      </c>
      <c r="BL125" t="s">
        <v>284</v>
      </c>
      <c r="BM125" t="s">
        <v>2843</v>
      </c>
      <c r="BN125" t="s">
        <v>74</v>
      </c>
      <c r="BO125" t="s">
        <v>701</v>
      </c>
      <c r="BP125" t="s">
        <v>74</v>
      </c>
      <c r="BQ125" t="s">
        <v>74</v>
      </c>
      <c r="BR125" t="s">
        <v>104</v>
      </c>
      <c r="BS125" t="s">
        <v>2844</v>
      </c>
      <c r="BT125" t="str">
        <f>HYPERLINK("https%3A%2F%2Fwww.webofscience.com%2Fwos%2Fwoscc%2Ffull-record%2FWOS:000575085700007","View Full Record in Web of Science")</f>
        <v>View Full Record in Web of Science</v>
      </c>
    </row>
    <row r="126" spans="1:72" x14ac:dyDescent="0.15">
      <c r="A126" t="s">
        <v>72</v>
      </c>
      <c r="B126" t="s">
        <v>2845</v>
      </c>
      <c r="C126" t="s">
        <v>74</v>
      </c>
      <c r="D126" t="s">
        <v>74</v>
      </c>
      <c r="E126" t="s">
        <v>74</v>
      </c>
      <c r="F126" t="s">
        <v>2846</v>
      </c>
      <c r="G126" t="s">
        <v>74</v>
      </c>
      <c r="H126" t="s">
        <v>74</v>
      </c>
      <c r="I126" t="s">
        <v>2847</v>
      </c>
      <c r="J126" t="s">
        <v>2848</v>
      </c>
      <c r="K126" t="s">
        <v>74</v>
      </c>
      <c r="L126" t="s">
        <v>74</v>
      </c>
      <c r="M126" t="s">
        <v>78</v>
      </c>
      <c r="N126" t="s">
        <v>79</v>
      </c>
      <c r="O126" t="s">
        <v>74</v>
      </c>
      <c r="P126" t="s">
        <v>74</v>
      </c>
      <c r="Q126" t="s">
        <v>74</v>
      </c>
      <c r="R126" t="s">
        <v>74</v>
      </c>
      <c r="S126" t="s">
        <v>74</v>
      </c>
      <c r="T126" t="s">
        <v>2849</v>
      </c>
      <c r="U126" t="s">
        <v>2850</v>
      </c>
      <c r="V126" t="s">
        <v>2851</v>
      </c>
      <c r="W126" t="s">
        <v>2852</v>
      </c>
      <c r="X126" t="s">
        <v>2853</v>
      </c>
      <c r="Y126" t="s">
        <v>2854</v>
      </c>
      <c r="Z126" t="s">
        <v>2855</v>
      </c>
      <c r="AA126" t="s">
        <v>2856</v>
      </c>
      <c r="AB126" t="s">
        <v>2857</v>
      </c>
      <c r="AC126" t="s">
        <v>2858</v>
      </c>
      <c r="AD126" t="s">
        <v>2859</v>
      </c>
      <c r="AE126" t="s">
        <v>2860</v>
      </c>
      <c r="AF126" t="s">
        <v>74</v>
      </c>
      <c r="AG126">
        <v>68</v>
      </c>
      <c r="AH126">
        <v>1</v>
      </c>
      <c r="AI126">
        <v>1</v>
      </c>
      <c r="AJ126">
        <v>3</v>
      </c>
      <c r="AK126">
        <v>5</v>
      </c>
      <c r="AL126" t="s">
        <v>275</v>
      </c>
      <c r="AM126" t="s">
        <v>276</v>
      </c>
      <c r="AN126" t="s">
        <v>277</v>
      </c>
      <c r="AO126" t="s">
        <v>2861</v>
      </c>
      <c r="AP126" t="s">
        <v>2862</v>
      </c>
      <c r="AQ126" t="s">
        <v>74</v>
      </c>
      <c r="AR126" t="s">
        <v>2863</v>
      </c>
      <c r="AS126" t="s">
        <v>2864</v>
      </c>
      <c r="AT126" t="s">
        <v>2066</v>
      </c>
      <c r="AU126">
        <v>2020</v>
      </c>
      <c r="AV126">
        <v>475</v>
      </c>
      <c r="AW126" t="s">
        <v>74</v>
      </c>
      <c r="AX126" t="s">
        <v>74</v>
      </c>
      <c r="AY126" t="s">
        <v>74</v>
      </c>
      <c r="AZ126" t="s">
        <v>74</v>
      </c>
      <c r="BA126" t="s">
        <v>74</v>
      </c>
      <c r="BB126" t="s">
        <v>74</v>
      </c>
      <c r="BC126" t="s">
        <v>74</v>
      </c>
      <c r="BD126" t="s">
        <v>74</v>
      </c>
      <c r="BE126" t="s">
        <v>74</v>
      </c>
      <c r="BF126" t="s">
        <v>74</v>
      </c>
      <c r="BG126" t="s">
        <v>74</v>
      </c>
      <c r="BH126" t="s">
        <v>74</v>
      </c>
      <c r="BI126">
        <v>10</v>
      </c>
      <c r="BJ126" t="s">
        <v>2865</v>
      </c>
      <c r="BK126" t="s">
        <v>100</v>
      </c>
      <c r="BL126" t="s">
        <v>2865</v>
      </c>
      <c r="BM126" t="s">
        <v>2866</v>
      </c>
      <c r="BN126" t="s">
        <v>74</v>
      </c>
      <c r="BO126" t="s">
        <v>74</v>
      </c>
      <c r="BP126" t="s">
        <v>74</v>
      </c>
      <c r="BQ126" t="s">
        <v>74</v>
      </c>
      <c r="BR126" t="s">
        <v>104</v>
      </c>
      <c r="BS126" t="s">
        <v>2867</v>
      </c>
      <c r="BT126" t="str">
        <f>HYPERLINK("https%3A%2F%2Fwww.webofscience.com%2Fwos%2Fwoscc%2Ffull-record%2FWOS:000581970500030","View Full Record in Web of Science")</f>
        <v>View Full Record in Web of Science</v>
      </c>
    </row>
    <row r="127" spans="1:72" x14ac:dyDescent="0.15">
      <c r="A127" t="s">
        <v>72</v>
      </c>
      <c r="B127" t="s">
        <v>2868</v>
      </c>
      <c r="C127" t="s">
        <v>74</v>
      </c>
      <c r="D127" t="s">
        <v>74</v>
      </c>
      <c r="E127" t="s">
        <v>74</v>
      </c>
      <c r="F127" t="s">
        <v>2869</v>
      </c>
      <c r="G127" t="s">
        <v>74</v>
      </c>
      <c r="H127" t="s">
        <v>74</v>
      </c>
      <c r="I127" t="s">
        <v>2870</v>
      </c>
      <c r="J127" t="s">
        <v>1393</v>
      </c>
      <c r="K127" t="s">
        <v>74</v>
      </c>
      <c r="L127" t="s">
        <v>74</v>
      </c>
      <c r="M127" t="s">
        <v>78</v>
      </c>
      <c r="N127" t="s">
        <v>79</v>
      </c>
      <c r="O127" t="s">
        <v>74</v>
      </c>
      <c r="P127" t="s">
        <v>74</v>
      </c>
      <c r="Q127" t="s">
        <v>74</v>
      </c>
      <c r="R127" t="s">
        <v>74</v>
      </c>
      <c r="S127" t="s">
        <v>74</v>
      </c>
      <c r="T127" t="s">
        <v>2871</v>
      </c>
      <c r="U127" t="s">
        <v>2872</v>
      </c>
      <c r="V127" t="s">
        <v>2873</v>
      </c>
      <c r="W127" t="s">
        <v>2874</v>
      </c>
      <c r="X127" t="s">
        <v>2875</v>
      </c>
      <c r="Y127" t="s">
        <v>2876</v>
      </c>
      <c r="Z127" t="s">
        <v>2877</v>
      </c>
      <c r="AA127" t="s">
        <v>2878</v>
      </c>
      <c r="AB127" t="s">
        <v>2879</v>
      </c>
      <c r="AC127" t="s">
        <v>2880</v>
      </c>
      <c r="AD127" t="s">
        <v>2881</v>
      </c>
      <c r="AE127" t="s">
        <v>2882</v>
      </c>
      <c r="AF127" t="s">
        <v>74</v>
      </c>
      <c r="AG127">
        <v>65</v>
      </c>
      <c r="AH127">
        <v>14</v>
      </c>
      <c r="AI127">
        <v>14</v>
      </c>
      <c r="AJ127">
        <v>1</v>
      </c>
      <c r="AK127">
        <v>6</v>
      </c>
      <c r="AL127" t="s">
        <v>1406</v>
      </c>
      <c r="AM127" t="s">
        <v>1407</v>
      </c>
      <c r="AN127" t="s">
        <v>1408</v>
      </c>
      <c r="AO127" t="s">
        <v>1409</v>
      </c>
      <c r="AP127" t="s">
        <v>1410</v>
      </c>
      <c r="AQ127" t="s">
        <v>74</v>
      </c>
      <c r="AR127" t="s">
        <v>1411</v>
      </c>
      <c r="AS127" t="s">
        <v>1412</v>
      </c>
      <c r="AT127" t="s">
        <v>1255</v>
      </c>
      <c r="AU127">
        <v>2020</v>
      </c>
      <c r="AV127">
        <v>77</v>
      </c>
      <c r="AW127">
        <v>6</v>
      </c>
      <c r="AX127" t="s">
        <v>74</v>
      </c>
      <c r="AY127" t="s">
        <v>74</v>
      </c>
      <c r="AZ127" t="s">
        <v>74</v>
      </c>
      <c r="BA127" t="s">
        <v>74</v>
      </c>
      <c r="BB127">
        <v>2192</v>
      </c>
      <c r="BC127">
        <v>2205</v>
      </c>
      <c r="BD127" t="s">
        <v>74</v>
      </c>
      <c r="BE127" t="s">
        <v>2883</v>
      </c>
      <c r="BF127" t="str">
        <f>HYPERLINK("http://dx.doi.org/10.1093/icesjms/fsz108","http://dx.doi.org/10.1093/icesjms/fsz108")</f>
        <v>http://dx.doi.org/10.1093/icesjms/fsz108</v>
      </c>
      <c r="BG127" t="s">
        <v>74</v>
      </c>
      <c r="BH127" t="s">
        <v>74</v>
      </c>
      <c r="BI127">
        <v>14</v>
      </c>
      <c r="BJ127" t="s">
        <v>1414</v>
      </c>
      <c r="BK127" t="s">
        <v>100</v>
      </c>
      <c r="BL127" t="s">
        <v>1414</v>
      </c>
      <c r="BM127" t="s">
        <v>1415</v>
      </c>
      <c r="BN127" t="s">
        <v>74</v>
      </c>
      <c r="BO127" t="s">
        <v>258</v>
      </c>
      <c r="BP127" t="s">
        <v>74</v>
      </c>
      <c r="BQ127" t="s">
        <v>74</v>
      </c>
      <c r="BR127" t="s">
        <v>104</v>
      </c>
      <c r="BS127" t="s">
        <v>2884</v>
      </c>
      <c r="BT127" t="str">
        <f>HYPERLINK("https%3A%2F%2Fwww.webofscience.com%2Fwos%2Fwoscc%2Ffull-record%2FWOS:000612212800016","View Full Record in Web of Science")</f>
        <v>View Full Record in Web of Science</v>
      </c>
    </row>
    <row r="128" spans="1:72" x14ac:dyDescent="0.15">
      <c r="A128" t="s">
        <v>72</v>
      </c>
      <c r="B128" t="s">
        <v>2885</v>
      </c>
      <c r="C128" t="s">
        <v>74</v>
      </c>
      <c r="D128" t="s">
        <v>74</v>
      </c>
      <c r="E128" t="s">
        <v>74</v>
      </c>
      <c r="F128" t="s">
        <v>2886</v>
      </c>
      <c r="G128" t="s">
        <v>74</v>
      </c>
      <c r="H128" t="s">
        <v>74</v>
      </c>
      <c r="I128" t="s">
        <v>2887</v>
      </c>
      <c r="J128" t="s">
        <v>2888</v>
      </c>
      <c r="K128" t="s">
        <v>74</v>
      </c>
      <c r="L128" t="s">
        <v>74</v>
      </c>
      <c r="M128" t="s">
        <v>78</v>
      </c>
      <c r="N128" t="s">
        <v>79</v>
      </c>
      <c r="O128" t="s">
        <v>74</v>
      </c>
      <c r="P128" t="s">
        <v>74</v>
      </c>
      <c r="Q128" t="s">
        <v>74</v>
      </c>
      <c r="R128" t="s">
        <v>74</v>
      </c>
      <c r="S128" t="s">
        <v>74</v>
      </c>
      <c r="T128" t="s">
        <v>2889</v>
      </c>
      <c r="U128" t="s">
        <v>2890</v>
      </c>
      <c r="V128" t="s">
        <v>2891</v>
      </c>
      <c r="W128" t="s">
        <v>2892</v>
      </c>
      <c r="X128" t="s">
        <v>2893</v>
      </c>
      <c r="Y128" t="s">
        <v>2894</v>
      </c>
      <c r="Z128" t="s">
        <v>2895</v>
      </c>
      <c r="AA128" t="s">
        <v>2896</v>
      </c>
      <c r="AB128" t="s">
        <v>2897</v>
      </c>
      <c r="AC128" t="s">
        <v>2898</v>
      </c>
      <c r="AD128" t="s">
        <v>2899</v>
      </c>
      <c r="AE128" t="s">
        <v>2900</v>
      </c>
      <c r="AF128" t="s">
        <v>74</v>
      </c>
      <c r="AG128">
        <v>124</v>
      </c>
      <c r="AH128">
        <v>16</v>
      </c>
      <c r="AI128">
        <v>16</v>
      </c>
      <c r="AJ128">
        <v>2</v>
      </c>
      <c r="AK128">
        <v>54</v>
      </c>
      <c r="AL128" t="s">
        <v>275</v>
      </c>
      <c r="AM128" t="s">
        <v>276</v>
      </c>
      <c r="AN128" t="s">
        <v>277</v>
      </c>
      <c r="AO128" t="s">
        <v>2901</v>
      </c>
      <c r="AP128" t="s">
        <v>2902</v>
      </c>
      <c r="AQ128" t="s">
        <v>74</v>
      </c>
      <c r="AR128" t="s">
        <v>2903</v>
      </c>
      <c r="AS128" t="s">
        <v>2904</v>
      </c>
      <c r="AT128" t="s">
        <v>1212</v>
      </c>
      <c r="AU128">
        <v>2020</v>
      </c>
      <c r="AV128">
        <v>532</v>
      </c>
      <c r="AW128" t="s">
        <v>74</v>
      </c>
      <c r="AX128" t="s">
        <v>74</v>
      </c>
      <c r="AY128" t="s">
        <v>74</v>
      </c>
      <c r="AZ128" t="s">
        <v>74</v>
      </c>
      <c r="BA128" t="s">
        <v>74</v>
      </c>
      <c r="BB128" t="s">
        <v>74</v>
      </c>
      <c r="BC128" t="s">
        <v>74</v>
      </c>
      <c r="BD128">
        <v>151444</v>
      </c>
      <c r="BE128" t="s">
        <v>2905</v>
      </c>
      <c r="BF128" t="str">
        <f>HYPERLINK("http://dx.doi.org/10.1016/j.jembe.2020.151444","http://dx.doi.org/10.1016/j.jembe.2020.151444")</f>
        <v>http://dx.doi.org/10.1016/j.jembe.2020.151444</v>
      </c>
      <c r="BG128" t="s">
        <v>74</v>
      </c>
      <c r="BH128" t="s">
        <v>74</v>
      </c>
      <c r="BI128">
        <v>13</v>
      </c>
      <c r="BJ128" t="s">
        <v>1477</v>
      </c>
      <c r="BK128" t="s">
        <v>100</v>
      </c>
      <c r="BL128" t="s">
        <v>919</v>
      </c>
      <c r="BM128" t="s">
        <v>2906</v>
      </c>
      <c r="BN128" t="s">
        <v>74</v>
      </c>
      <c r="BO128" t="s">
        <v>1259</v>
      </c>
      <c r="BP128" t="s">
        <v>74</v>
      </c>
      <c r="BQ128" t="s">
        <v>74</v>
      </c>
      <c r="BR128" t="s">
        <v>104</v>
      </c>
      <c r="BS128" t="s">
        <v>2907</v>
      </c>
      <c r="BT128" t="str">
        <f>HYPERLINK("https%3A%2F%2Fwww.webofscience.com%2Fwos%2Fwoscc%2Ffull-record%2FWOS:000588286400004","View Full Record in Web of Science")</f>
        <v>View Full Record in Web of Science</v>
      </c>
    </row>
    <row r="129" spans="1:72" x14ac:dyDescent="0.15">
      <c r="A129" t="s">
        <v>72</v>
      </c>
      <c r="B129" t="s">
        <v>2908</v>
      </c>
      <c r="C129" t="s">
        <v>74</v>
      </c>
      <c r="D129" t="s">
        <v>74</v>
      </c>
      <c r="E129" t="s">
        <v>74</v>
      </c>
      <c r="F129" t="s">
        <v>2909</v>
      </c>
      <c r="G129" t="s">
        <v>74</v>
      </c>
      <c r="H129" t="s">
        <v>74</v>
      </c>
      <c r="I129" t="s">
        <v>2910</v>
      </c>
      <c r="J129" t="s">
        <v>2026</v>
      </c>
      <c r="K129" t="s">
        <v>74</v>
      </c>
      <c r="L129" t="s">
        <v>74</v>
      </c>
      <c r="M129" t="s">
        <v>78</v>
      </c>
      <c r="N129" t="s">
        <v>79</v>
      </c>
      <c r="O129" t="s">
        <v>74</v>
      </c>
      <c r="P129" t="s">
        <v>74</v>
      </c>
      <c r="Q129" t="s">
        <v>74</v>
      </c>
      <c r="R129" t="s">
        <v>74</v>
      </c>
      <c r="S129" t="s">
        <v>74</v>
      </c>
      <c r="T129" t="s">
        <v>2911</v>
      </c>
      <c r="U129" t="s">
        <v>2912</v>
      </c>
      <c r="V129" t="s">
        <v>2913</v>
      </c>
      <c r="W129" t="s">
        <v>2914</v>
      </c>
      <c r="X129" t="s">
        <v>2915</v>
      </c>
      <c r="Y129" t="s">
        <v>2916</v>
      </c>
      <c r="Z129" t="s">
        <v>2917</v>
      </c>
      <c r="AA129" t="s">
        <v>2918</v>
      </c>
      <c r="AB129" t="s">
        <v>2919</v>
      </c>
      <c r="AC129" t="s">
        <v>2920</v>
      </c>
      <c r="AD129" t="s">
        <v>2921</v>
      </c>
      <c r="AE129" t="s">
        <v>2922</v>
      </c>
      <c r="AF129" t="s">
        <v>74</v>
      </c>
      <c r="AG129">
        <v>78</v>
      </c>
      <c r="AH129">
        <v>19</v>
      </c>
      <c r="AI129">
        <v>20</v>
      </c>
      <c r="AJ129">
        <v>1</v>
      </c>
      <c r="AK129">
        <v>12</v>
      </c>
      <c r="AL129" t="s">
        <v>1710</v>
      </c>
      <c r="AM129" t="s">
        <v>609</v>
      </c>
      <c r="AN129" t="s">
        <v>1711</v>
      </c>
      <c r="AO129" t="s">
        <v>2038</v>
      </c>
      <c r="AP129" t="s">
        <v>2039</v>
      </c>
      <c r="AQ129" t="s">
        <v>74</v>
      </c>
      <c r="AR129" t="s">
        <v>2040</v>
      </c>
      <c r="AS129" t="s">
        <v>2041</v>
      </c>
      <c r="AT129" t="s">
        <v>1212</v>
      </c>
      <c r="AU129">
        <v>2020</v>
      </c>
      <c r="AV129">
        <v>125</v>
      </c>
      <c r="AW129">
        <v>11</v>
      </c>
      <c r="AX129" t="s">
        <v>74</v>
      </c>
      <c r="AY129" t="s">
        <v>74</v>
      </c>
      <c r="AZ129" t="s">
        <v>74</v>
      </c>
      <c r="BA129" t="s">
        <v>74</v>
      </c>
      <c r="BB129" t="s">
        <v>74</v>
      </c>
      <c r="BC129" t="s">
        <v>74</v>
      </c>
      <c r="BD129" t="s">
        <v>2923</v>
      </c>
      <c r="BE129" t="s">
        <v>2924</v>
      </c>
      <c r="BF129" t="str">
        <f>HYPERLINK("http://dx.doi.org/10.1029/2020JF005627","http://dx.doi.org/10.1029/2020JF005627")</f>
        <v>http://dx.doi.org/10.1029/2020JF005627</v>
      </c>
      <c r="BG129" t="s">
        <v>74</v>
      </c>
      <c r="BH129" t="s">
        <v>74</v>
      </c>
      <c r="BI129">
        <v>21</v>
      </c>
      <c r="BJ129" t="s">
        <v>534</v>
      </c>
      <c r="BK129" t="s">
        <v>100</v>
      </c>
      <c r="BL129" t="s">
        <v>535</v>
      </c>
      <c r="BM129" t="s">
        <v>2044</v>
      </c>
      <c r="BN129" t="s">
        <v>74</v>
      </c>
      <c r="BO129" t="s">
        <v>2925</v>
      </c>
      <c r="BP129" t="s">
        <v>74</v>
      </c>
      <c r="BQ129" t="s">
        <v>74</v>
      </c>
      <c r="BR129" t="s">
        <v>104</v>
      </c>
      <c r="BS129" t="s">
        <v>2926</v>
      </c>
      <c r="BT129" t="str">
        <f>HYPERLINK("https%3A%2F%2Fwww.webofscience.com%2Fwos%2Fwoscc%2Ffull-record%2FWOS:000595847000011","View Full Record in Web of Science")</f>
        <v>View Full Record in Web of Science</v>
      </c>
    </row>
    <row r="130" spans="1:72" x14ac:dyDescent="0.15">
      <c r="A130" t="s">
        <v>72</v>
      </c>
      <c r="B130" t="s">
        <v>2927</v>
      </c>
      <c r="C130" t="s">
        <v>74</v>
      </c>
      <c r="D130" t="s">
        <v>74</v>
      </c>
      <c r="E130" t="s">
        <v>74</v>
      </c>
      <c r="F130" t="s">
        <v>2928</v>
      </c>
      <c r="G130" t="s">
        <v>74</v>
      </c>
      <c r="H130" t="s">
        <v>74</v>
      </c>
      <c r="I130" t="s">
        <v>2929</v>
      </c>
      <c r="J130" t="s">
        <v>2491</v>
      </c>
      <c r="K130" t="s">
        <v>74</v>
      </c>
      <c r="L130" t="s">
        <v>74</v>
      </c>
      <c r="M130" t="s">
        <v>78</v>
      </c>
      <c r="N130" t="s">
        <v>79</v>
      </c>
      <c r="O130" t="s">
        <v>74</v>
      </c>
      <c r="P130" t="s">
        <v>74</v>
      </c>
      <c r="Q130" t="s">
        <v>74</v>
      </c>
      <c r="R130" t="s">
        <v>74</v>
      </c>
      <c r="S130" t="s">
        <v>74</v>
      </c>
      <c r="T130" t="s">
        <v>2930</v>
      </c>
      <c r="U130" t="s">
        <v>2931</v>
      </c>
      <c r="V130" t="s">
        <v>2932</v>
      </c>
      <c r="W130" t="s">
        <v>2933</v>
      </c>
      <c r="X130" t="s">
        <v>2934</v>
      </c>
      <c r="Y130" t="s">
        <v>2935</v>
      </c>
      <c r="Z130" t="s">
        <v>2936</v>
      </c>
      <c r="AA130" t="s">
        <v>2937</v>
      </c>
      <c r="AB130" t="s">
        <v>2938</v>
      </c>
      <c r="AC130" t="s">
        <v>2939</v>
      </c>
      <c r="AD130" t="s">
        <v>2940</v>
      </c>
      <c r="AE130" t="s">
        <v>2941</v>
      </c>
      <c r="AF130" t="s">
        <v>74</v>
      </c>
      <c r="AG130">
        <v>54</v>
      </c>
      <c r="AH130">
        <v>12</v>
      </c>
      <c r="AI130">
        <v>13</v>
      </c>
      <c r="AJ130">
        <v>9</v>
      </c>
      <c r="AK130">
        <v>45</v>
      </c>
      <c r="AL130" t="s">
        <v>1522</v>
      </c>
      <c r="AM130" t="s">
        <v>1407</v>
      </c>
      <c r="AN130" t="s">
        <v>1523</v>
      </c>
      <c r="AO130" t="s">
        <v>2501</v>
      </c>
      <c r="AP130" t="s">
        <v>2502</v>
      </c>
      <c r="AQ130" t="s">
        <v>74</v>
      </c>
      <c r="AR130" t="s">
        <v>2503</v>
      </c>
      <c r="AS130" t="s">
        <v>2504</v>
      </c>
      <c r="AT130" t="s">
        <v>1212</v>
      </c>
      <c r="AU130">
        <v>2020</v>
      </c>
      <c r="AV130">
        <v>160</v>
      </c>
      <c r="AW130" t="s">
        <v>74</v>
      </c>
      <c r="AX130" t="s">
        <v>74</v>
      </c>
      <c r="AY130" t="s">
        <v>74</v>
      </c>
      <c r="AZ130" t="s">
        <v>74</v>
      </c>
      <c r="BA130" t="s">
        <v>74</v>
      </c>
      <c r="BB130" t="s">
        <v>74</v>
      </c>
      <c r="BC130" t="s">
        <v>74</v>
      </c>
      <c r="BD130">
        <v>111578</v>
      </c>
      <c r="BE130" t="s">
        <v>2942</v>
      </c>
      <c r="BF130" t="str">
        <f>HYPERLINK("http://dx.doi.org/10.1016/j.marpolbul.2020.111578","http://dx.doi.org/10.1016/j.marpolbul.2020.111578")</f>
        <v>http://dx.doi.org/10.1016/j.marpolbul.2020.111578</v>
      </c>
      <c r="BG130" t="s">
        <v>74</v>
      </c>
      <c r="BH130" t="s">
        <v>74</v>
      </c>
      <c r="BI130">
        <v>9</v>
      </c>
      <c r="BJ130" t="s">
        <v>918</v>
      </c>
      <c r="BK130" t="s">
        <v>100</v>
      </c>
      <c r="BL130" t="s">
        <v>919</v>
      </c>
      <c r="BM130" t="s">
        <v>2943</v>
      </c>
      <c r="BN130">
        <v>32911113</v>
      </c>
      <c r="BO130" t="s">
        <v>74</v>
      </c>
      <c r="BP130" t="s">
        <v>74</v>
      </c>
      <c r="BQ130" t="s">
        <v>74</v>
      </c>
      <c r="BR130" t="s">
        <v>104</v>
      </c>
      <c r="BS130" t="s">
        <v>2944</v>
      </c>
      <c r="BT130" t="str">
        <f>HYPERLINK("https%3A%2F%2Fwww.webofscience.com%2Fwos%2Fwoscc%2Ffull-record%2FWOS:000587624400003","View Full Record in Web of Science")</f>
        <v>View Full Record in Web of Science</v>
      </c>
    </row>
    <row r="131" spans="1:72" x14ac:dyDescent="0.15">
      <c r="A131" t="s">
        <v>72</v>
      </c>
      <c r="B131" t="s">
        <v>2945</v>
      </c>
      <c r="C131" t="s">
        <v>74</v>
      </c>
      <c r="D131" t="s">
        <v>74</v>
      </c>
      <c r="E131" t="s">
        <v>74</v>
      </c>
      <c r="F131" t="s">
        <v>2946</v>
      </c>
      <c r="G131" t="s">
        <v>74</v>
      </c>
      <c r="H131" t="s">
        <v>74</v>
      </c>
      <c r="I131" t="s">
        <v>2947</v>
      </c>
      <c r="J131" t="s">
        <v>2491</v>
      </c>
      <c r="K131" t="s">
        <v>74</v>
      </c>
      <c r="L131" t="s">
        <v>74</v>
      </c>
      <c r="M131" t="s">
        <v>78</v>
      </c>
      <c r="N131" t="s">
        <v>138</v>
      </c>
      <c r="O131" t="s">
        <v>74</v>
      </c>
      <c r="P131" t="s">
        <v>74</v>
      </c>
      <c r="Q131" t="s">
        <v>74</v>
      </c>
      <c r="R131" t="s">
        <v>74</v>
      </c>
      <c r="S131" t="s">
        <v>74</v>
      </c>
      <c r="T131" t="s">
        <v>2948</v>
      </c>
      <c r="U131" t="s">
        <v>2949</v>
      </c>
      <c r="V131" t="s">
        <v>2950</v>
      </c>
      <c r="W131" t="s">
        <v>2951</v>
      </c>
      <c r="X131" t="s">
        <v>2952</v>
      </c>
      <c r="Y131" t="s">
        <v>2953</v>
      </c>
      <c r="Z131" t="s">
        <v>2954</v>
      </c>
      <c r="AA131" t="s">
        <v>2955</v>
      </c>
      <c r="AB131" t="s">
        <v>74</v>
      </c>
      <c r="AC131" t="s">
        <v>2956</v>
      </c>
      <c r="AD131" t="s">
        <v>2956</v>
      </c>
      <c r="AE131" t="s">
        <v>2957</v>
      </c>
      <c r="AF131" t="s">
        <v>74</v>
      </c>
      <c r="AG131">
        <v>165</v>
      </c>
      <c r="AH131">
        <v>29</v>
      </c>
      <c r="AI131">
        <v>30</v>
      </c>
      <c r="AJ131">
        <v>30</v>
      </c>
      <c r="AK131">
        <v>256</v>
      </c>
      <c r="AL131" t="s">
        <v>1522</v>
      </c>
      <c r="AM131" t="s">
        <v>1407</v>
      </c>
      <c r="AN131" t="s">
        <v>1523</v>
      </c>
      <c r="AO131" t="s">
        <v>2501</v>
      </c>
      <c r="AP131" t="s">
        <v>2502</v>
      </c>
      <c r="AQ131" t="s">
        <v>74</v>
      </c>
      <c r="AR131" t="s">
        <v>2503</v>
      </c>
      <c r="AS131" t="s">
        <v>2504</v>
      </c>
      <c r="AT131" t="s">
        <v>1212</v>
      </c>
      <c r="AU131">
        <v>2020</v>
      </c>
      <c r="AV131">
        <v>160</v>
      </c>
      <c r="AW131" t="s">
        <v>74</v>
      </c>
      <c r="AX131" t="s">
        <v>74</v>
      </c>
      <c r="AY131" t="s">
        <v>74</v>
      </c>
      <c r="AZ131" t="s">
        <v>74</v>
      </c>
      <c r="BA131" t="s">
        <v>74</v>
      </c>
      <c r="BB131" t="s">
        <v>74</v>
      </c>
      <c r="BC131" t="s">
        <v>74</v>
      </c>
      <c r="BD131">
        <v>111168</v>
      </c>
      <c r="BE131" t="s">
        <v>2958</v>
      </c>
      <c r="BF131" t="str">
        <f>HYPERLINK("http://dx.doi.org/10.1016/j.marpolbul.2020.111168","http://dx.doi.org/10.1016/j.marpolbul.2020.111168")</f>
        <v>http://dx.doi.org/10.1016/j.marpolbul.2020.111168</v>
      </c>
      <c r="BG131" t="s">
        <v>74</v>
      </c>
      <c r="BH131" t="s">
        <v>74</v>
      </c>
      <c r="BI131">
        <v>17</v>
      </c>
      <c r="BJ131" t="s">
        <v>918</v>
      </c>
      <c r="BK131" t="s">
        <v>100</v>
      </c>
      <c r="BL131" t="s">
        <v>919</v>
      </c>
      <c r="BM131" t="s">
        <v>2506</v>
      </c>
      <c r="BN131">
        <v>33181914</v>
      </c>
      <c r="BO131" t="s">
        <v>74</v>
      </c>
      <c r="BP131" t="s">
        <v>74</v>
      </c>
      <c r="BQ131" t="s">
        <v>74</v>
      </c>
      <c r="BR131" t="s">
        <v>104</v>
      </c>
      <c r="BS131" t="s">
        <v>2959</v>
      </c>
      <c r="BT131" t="str">
        <f>HYPERLINK("https%3A%2F%2Fwww.webofscience.com%2Fwos%2Fwoscc%2Ffull-record%2FWOS:000587629000007","View Full Record in Web of Science")</f>
        <v>View Full Record in Web of Science</v>
      </c>
    </row>
    <row r="132" spans="1:72" x14ac:dyDescent="0.15">
      <c r="A132" t="s">
        <v>72</v>
      </c>
      <c r="B132" t="s">
        <v>2960</v>
      </c>
      <c r="C132" t="s">
        <v>74</v>
      </c>
      <c r="D132" t="s">
        <v>74</v>
      </c>
      <c r="E132" t="s">
        <v>74</v>
      </c>
      <c r="F132" t="s">
        <v>2961</v>
      </c>
      <c r="G132" t="s">
        <v>74</v>
      </c>
      <c r="H132" t="s">
        <v>74</v>
      </c>
      <c r="I132" t="s">
        <v>2962</v>
      </c>
      <c r="J132" t="s">
        <v>2491</v>
      </c>
      <c r="K132" t="s">
        <v>74</v>
      </c>
      <c r="L132" t="s">
        <v>74</v>
      </c>
      <c r="M132" t="s">
        <v>78</v>
      </c>
      <c r="N132" t="s">
        <v>138</v>
      </c>
      <c r="O132" t="s">
        <v>74</v>
      </c>
      <c r="P132" t="s">
        <v>74</v>
      </c>
      <c r="Q132" t="s">
        <v>74</v>
      </c>
      <c r="R132" t="s">
        <v>74</v>
      </c>
      <c r="S132" t="s">
        <v>74</v>
      </c>
      <c r="T132" t="s">
        <v>2963</v>
      </c>
      <c r="U132" t="s">
        <v>2964</v>
      </c>
      <c r="V132" t="s">
        <v>2965</v>
      </c>
      <c r="W132" t="s">
        <v>2966</v>
      </c>
      <c r="X132" t="s">
        <v>2967</v>
      </c>
      <c r="Y132" t="s">
        <v>2968</v>
      </c>
      <c r="Z132" t="s">
        <v>2969</v>
      </c>
      <c r="AA132" t="s">
        <v>2970</v>
      </c>
      <c r="AB132" t="s">
        <v>2971</v>
      </c>
      <c r="AC132" t="s">
        <v>2972</v>
      </c>
      <c r="AD132" t="s">
        <v>2972</v>
      </c>
      <c r="AE132" t="s">
        <v>2973</v>
      </c>
      <c r="AF132" t="s">
        <v>74</v>
      </c>
      <c r="AG132">
        <v>146</v>
      </c>
      <c r="AH132">
        <v>5</v>
      </c>
      <c r="AI132">
        <v>5</v>
      </c>
      <c r="AJ132">
        <v>9</v>
      </c>
      <c r="AK132">
        <v>44</v>
      </c>
      <c r="AL132" t="s">
        <v>1522</v>
      </c>
      <c r="AM132" t="s">
        <v>1407</v>
      </c>
      <c r="AN132" t="s">
        <v>1523</v>
      </c>
      <c r="AO132" t="s">
        <v>2501</v>
      </c>
      <c r="AP132" t="s">
        <v>2502</v>
      </c>
      <c r="AQ132" t="s">
        <v>74</v>
      </c>
      <c r="AR132" t="s">
        <v>2503</v>
      </c>
      <c r="AS132" t="s">
        <v>2504</v>
      </c>
      <c r="AT132" t="s">
        <v>1212</v>
      </c>
      <c r="AU132">
        <v>2020</v>
      </c>
      <c r="AV132">
        <v>160</v>
      </c>
      <c r="AW132" t="s">
        <v>74</v>
      </c>
      <c r="AX132" t="s">
        <v>74</v>
      </c>
      <c r="AY132" t="s">
        <v>74</v>
      </c>
      <c r="AZ132" t="s">
        <v>74</v>
      </c>
      <c r="BA132" t="s">
        <v>74</v>
      </c>
      <c r="BB132" t="s">
        <v>74</v>
      </c>
      <c r="BC132" t="s">
        <v>74</v>
      </c>
      <c r="BD132">
        <v>111544</v>
      </c>
      <c r="BE132" t="s">
        <v>2974</v>
      </c>
      <c r="BF132" t="str">
        <f>HYPERLINK("http://dx.doi.org/10.1016/j.marpolbul.2020.111544","http://dx.doi.org/10.1016/j.marpolbul.2020.111544")</f>
        <v>http://dx.doi.org/10.1016/j.marpolbul.2020.111544</v>
      </c>
      <c r="BG132" t="s">
        <v>74</v>
      </c>
      <c r="BH132" t="s">
        <v>74</v>
      </c>
      <c r="BI132">
        <v>24</v>
      </c>
      <c r="BJ132" t="s">
        <v>918</v>
      </c>
      <c r="BK132" t="s">
        <v>100</v>
      </c>
      <c r="BL132" t="s">
        <v>919</v>
      </c>
      <c r="BM132" t="s">
        <v>2541</v>
      </c>
      <c r="BN132">
        <v>33181916</v>
      </c>
      <c r="BO132" t="s">
        <v>74</v>
      </c>
      <c r="BP132" t="s">
        <v>74</v>
      </c>
      <c r="BQ132" t="s">
        <v>74</v>
      </c>
      <c r="BR132" t="s">
        <v>104</v>
      </c>
      <c r="BS132" t="s">
        <v>2975</v>
      </c>
      <c r="BT132" t="str">
        <f>HYPERLINK("https%3A%2F%2Fwww.webofscience.com%2Fwos%2Fwoscc%2Ffull-record%2FWOS:000587626000009","View Full Record in Web of Science")</f>
        <v>View Full Record in Web of Science</v>
      </c>
    </row>
    <row r="133" spans="1:72" x14ac:dyDescent="0.15">
      <c r="A133" t="s">
        <v>72</v>
      </c>
      <c r="B133" t="s">
        <v>2976</v>
      </c>
      <c r="C133" t="s">
        <v>74</v>
      </c>
      <c r="D133" t="s">
        <v>74</v>
      </c>
      <c r="E133" t="s">
        <v>74</v>
      </c>
      <c r="F133" t="s">
        <v>2977</v>
      </c>
      <c r="G133" t="s">
        <v>74</v>
      </c>
      <c r="H133" t="s">
        <v>74</v>
      </c>
      <c r="I133" t="s">
        <v>2978</v>
      </c>
      <c r="J133" t="s">
        <v>2491</v>
      </c>
      <c r="K133" t="s">
        <v>74</v>
      </c>
      <c r="L133" t="s">
        <v>74</v>
      </c>
      <c r="M133" t="s">
        <v>78</v>
      </c>
      <c r="N133" t="s">
        <v>79</v>
      </c>
      <c r="O133" t="s">
        <v>74</v>
      </c>
      <c r="P133" t="s">
        <v>74</v>
      </c>
      <c r="Q133" t="s">
        <v>74</v>
      </c>
      <c r="R133" t="s">
        <v>74</v>
      </c>
      <c r="S133" t="s">
        <v>74</v>
      </c>
      <c r="T133" t="s">
        <v>2979</v>
      </c>
      <c r="U133" t="s">
        <v>2980</v>
      </c>
      <c r="V133" t="s">
        <v>2981</v>
      </c>
      <c r="W133" t="s">
        <v>2982</v>
      </c>
      <c r="X133" t="s">
        <v>2983</v>
      </c>
      <c r="Y133" t="s">
        <v>2984</v>
      </c>
      <c r="Z133" t="s">
        <v>2985</v>
      </c>
      <c r="AA133" t="s">
        <v>2986</v>
      </c>
      <c r="AB133" t="s">
        <v>2987</v>
      </c>
      <c r="AC133" t="s">
        <v>2988</v>
      </c>
      <c r="AD133" t="s">
        <v>2988</v>
      </c>
      <c r="AE133" t="s">
        <v>2989</v>
      </c>
      <c r="AF133" t="s">
        <v>74</v>
      </c>
      <c r="AG133">
        <v>75</v>
      </c>
      <c r="AH133">
        <v>14</v>
      </c>
      <c r="AI133">
        <v>14</v>
      </c>
      <c r="AJ133">
        <v>1</v>
      </c>
      <c r="AK133">
        <v>39</v>
      </c>
      <c r="AL133" t="s">
        <v>1522</v>
      </c>
      <c r="AM133" t="s">
        <v>1407</v>
      </c>
      <c r="AN133" t="s">
        <v>1523</v>
      </c>
      <c r="AO133" t="s">
        <v>2501</v>
      </c>
      <c r="AP133" t="s">
        <v>2502</v>
      </c>
      <c r="AQ133" t="s">
        <v>74</v>
      </c>
      <c r="AR133" t="s">
        <v>2503</v>
      </c>
      <c r="AS133" t="s">
        <v>2504</v>
      </c>
      <c r="AT133" t="s">
        <v>1212</v>
      </c>
      <c r="AU133">
        <v>2020</v>
      </c>
      <c r="AV133">
        <v>160</v>
      </c>
      <c r="AW133" t="s">
        <v>74</v>
      </c>
      <c r="AX133" t="s">
        <v>74</v>
      </c>
      <c r="AY133" t="s">
        <v>74</v>
      </c>
      <c r="AZ133" t="s">
        <v>74</v>
      </c>
      <c r="BA133" t="s">
        <v>74</v>
      </c>
      <c r="BB133" t="s">
        <v>74</v>
      </c>
      <c r="BC133" t="s">
        <v>74</v>
      </c>
      <c r="BD133">
        <v>111703</v>
      </c>
      <c r="BE133" t="s">
        <v>2990</v>
      </c>
      <c r="BF133" t="str">
        <f>HYPERLINK("http://dx.doi.org/10.1016/j.marpolbul.2020.111703","http://dx.doi.org/10.1016/j.marpolbul.2020.111703")</f>
        <v>http://dx.doi.org/10.1016/j.marpolbul.2020.111703</v>
      </c>
      <c r="BG133" t="s">
        <v>74</v>
      </c>
      <c r="BH133" t="s">
        <v>74</v>
      </c>
      <c r="BI133">
        <v>9</v>
      </c>
      <c r="BJ133" t="s">
        <v>918</v>
      </c>
      <c r="BK133" t="s">
        <v>100</v>
      </c>
      <c r="BL133" t="s">
        <v>919</v>
      </c>
      <c r="BM133" t="s">
        <v>2991</v>
      </c>
      <c r="BN133">
        <v>33181966</v>
      </c>
      <c r="BO133" t="s">
        <v>74</v>
      </c>
      <c r="BP133" t="s">
        <v>74</v>
      </c>
      <c r="BQ133" t="s">
        <v>74</v>
      </c>
      <c r="BR133" t="s">
        <v>104</v>
      </c>
      <c r="BS133" t="s">
        <v>2992</v>
      </c>
      <c r="BT133" t="str">
        <f>HYPERLINK("https%3A%2F%2Fwww.webofscience.com%2Fwos%2Fwoscc%2Ffull-record%2FWOS:000626134600020","View Full Record in Web of Science")</f>
        <v>View Full Record in Web of Science</v>
      </c>
    </row>
    <row r="134" spans="1:72" x14ac:dyDescent="0.15">
      <c r="A134" t="s">
        <v>72</v>
      </c>
      <c r="B134" t="s">
        <v>2993</v>
      </c>
      <c r="C134" t="s">
        <v>74</v>
      </c>
      <c r="D134" t="s">
        <v>74</v>
      </c>
      <c r="E134" t="s">
        <v>74</v>
      </c>
      <c r="F134" t="s">
        <v>2994</v>
      </c>
      <c r="G134" t="s">
        <v>74</v>
      </c>
      <c r="H134" t="s">
        <v>74</v>
      </c>
      <c r="I134" t="s">
        <v>2995</v>
      </c>
      <c r="J134" t="s">
        <v>2996</v>
      </c>
      <c r="K134" t="s">
        <v>74</v>
      </c>
      <c r="L134" t="s">
        <v>74</v>
      </c>
      <c r="M134" t="s">
        <v>78</v>
      </c>
      <c r="N134" t="s">
        <v>79</v>
      </c>
      <c r="O134" t="s">
        <v>74</v>
      </c>
      <c r="P134" t="s">
        <v>74</v>
      </c>
      <c r="Q134" t="s">
        <v>74</v>
      </c>
      <c r="R134" t="s">
        <v>74</v>
      </c>
      <c r="S134" t="s">
        <v>74</v>
      </c>
      <c r="T134" t="s">
        <v>2997</v>
      </c>
      <c r="U134" t="s">
        <v>2998</v>
      </c>
      <c r="V134" t="s">
        <v>2999</v>
      </c>
      <c r="W134" t="s">
        <v>3000</v>
      </c>
      <c r="X134" t="s">
        <v>3001</v>
      </c>
      <c r="Y134" t="s">
        <v>3002</v>
      </c>
      <c r="Z134" t="s">
        <v>3003</v>
      </c>
      <c r="AA134" t="s">
        <v>3004</v>
      </c>
      <c r="AB134" t="s">
        <v>3005</v>
      </c>
      <c r="AC134" t="s">
        <v>3006</v>
      </c>
      <c r="AD134" t="s">
        <v>3007</v>
      </c>
      <c r="AE134" t="s">
        <v>3008</v>
      </c>
      <c r="AF134" t="s">
        <v>74</v>
      </c>
      <c r="AG134">
        <v>52</v>
      </c>
      <c r="AH134">
        <v>6</v>
      </c>
      <c r="AI134">
        <v>6</v>
      </c>
      <c r="AJ134">
        <v>0</v>
      </c>
      <c r="AK134">
        <v>5</v>
      </c>
      <c r="AL134" t="s">
        <v>1406</v>
      </c>
      <c r="AM134" t="s">
        <v>1407</v>
      </c>
      <c r="AN134" t="s">
        <v>1408</v>
      </c>
      <c r="AO134" t="s">
        <v>3009</v>
      </c>
      <c r="AP134" t="s">
        <v>3010</v>
      </c>
      <c r="AQ134" t="s">
        <v>74</v>
      </c>
      <c r="AR134" t="s">
        <v>3011</v>
      </c>
      <c r="AS134" t="s">
        <v>3012</v>
      </c>
      <c r="AT134" t="s">
        <v>1212</v>
      </c>
      <c r="AU134">
        <v>2020</v>
      </c>
      <c r="AV134">
        <v>498</v>
      </c>
      <c r="AW134">
        <v>4</v>
      </c>
      <c r="AX134" t="s">
        <v>74</v>
      </c>
      <c r="AY134" t="s">
        <v>74</v>
      </c>
      <c r="AZ134" t="s">
        <v>74</v>
      </c>
      <c r="BA134" t="s">
        <v>74</v>
      </c>
      <c r="BB134">
        <v>5532</v>
      </c>
      <c r="BC134">
        <v>5540</v>
      </c>
      <c r="BD134" t="s">
        <v>74</v>
      </c>
      <c r="BE134" t="s">
        <v>3013</v>
      </c>
      <c r="BF134" t="str">
        <f>HYPERLINK("http://dx.doi.org/10.1093/mnras/staa2778","http://dx.doi.org/10.1093/mnras/staa2778")</f>
        <v>http://dx.doi.org/10.1093/mnras/staa2778</v>
      </c>
      <c r="BG134" t="s">
        <v>74</v>
      </c>
      <c r="BH134" t="s">
        <v>74</v>
      </c>
      <c r="BI134">
        <v>9</v>
      </c>
      <c r="BJ134" t="s">
        <v>1849</v>
      </c>
      <c r="BK134" t="s">
        <v>100</v>
      </c>
      <c r="BL134" t="s">
        <v>1849</v>
      </c>
      <c r="BM134" t="s">
        <v>3014</v>
      </c>
      <c r="BN134" t="s">
        <v>74</v>
      </c>
      <c r="BO134" t="s">
        <v>701</v>
      </c>
      <c r="BP134" t="s">
        <v>74</v>
      </c>
      <c r="BQ134" t="s">
        <v>74</v>
      </c>
      <c r="BR134" t="s">
        <v>104</v>
      </c>
      <c r="BS134" t="s">
        <v>3015</v>
      </c>
      <c r="BT134" t="str">
        <f>HYPERLINK("https%3A%2F%2Fwww.webofscience.com%2Fwos%2Fwoscc%2Ffull-record%2FWOS:000587755500069","View Full Record in Web of Science")</f>
        <v>View Full Record in Web of Science</v>
      </c>
    </row>
    <row r="135" spans="1:72" x14ac:dyDescent="0.15">
      <c r="A135" t="s">
        <v>72</v>
      </c>
      <c r="B135" t="s">
        <v>3016</v>
      </c>
      <c r="C135" t="s">
        <v>74</v>
      </c>
      <c r="D135" t="s">
        <v>74</v>
      </c>
      <c r="E135" t="s">
        <v>74</v>
      </c>
      <c r="F135" t="s">
        <v>3017</v>
      </c>
      <c r="G135" t="s">
        <v>74</v>
      </c>
      <c r="H135" t="s">
        <v>74</v>
      </c>
      <c r="I135" t="s">
        <v>3018</v>
      </c>
      <c r="J135" t="s">
        <v>3019</v>
      </c>
      <c r="K135" t="s">
        <v>74</v>
      </c>
      <c r="L135" t="s">
        <v>74</v>
      </c>
      <c r="M135" t="s">
        <v>78</v>
      </c>
      <c r="N135" t="s">
        <v>79</v>
      </c>
      <c r="O135" t="s">
        <v>74</v>
      </c>
      <c r="P135" t="s">
        <v>74</v>
      </c>
      <c r="Q135" t="s">
        <v>74</v>
      </c>
      <c r="R135" t="s">
        <v>74</v>
      </c>
      <c r="S135" t="s">
        <v>74</v>
      </c>
      <c r="T135" t="s">
        <v>3020</v>
      </c>
      <c r="U135" t="s">
        <v>3021</v>
      </c>
      <c r="V135" t="s">
        <v>3022</v>
      </c>
      <c r="W135" t="s">
        <v>3023</v>
      </c>
      <c r="X135" t="s">
        <v>3024</v>
      </c>
      <c r="Y135" t="s">
        <v>3025</v>
      </c>
      <c r="Z135" t="s">
        <v>3026</v>
      </c>
      <c r="AA135" t="s">
        <v>3027</v>
      </c>
      <c r="AB135" t="s">
        <v>3028</v>
      </c>
      <c r="AC135" t="s">
        <v>3029</v>
      </c>
      <c r="AD135" t="s">
        <v>3030</v>
      </c>
      <c r="AE135" t="s">
        <v>3031</v>
      </c>
      <c r="AF135" t="s">
        <v>74</v>
      </c>
      <c r="AG135">
        <v>45</v>
      </c>
      <c r="AH135">
        <v>17</v>
      </c>
      <c r="AI135">
        <v>19</v>
      </c>
      <c r="AJ135">
        <v>0</v>
      </c>
      <c r="AK135">
        <v>1</v>
      </c>
      <c r="AL135" t="s">
        <v>3032</v>
      </c>
      <c r="AM135" t="s">
        <v>483</v>
      </c>
      <c r="AN135" t="s">
        <v>3033</v>
      </c>
      <c r="AO135" t="s">
        <v>3034</v>
      </c>
      <c r="AP135" t="s">
        <v>3035</v>
      </c>
      <c r="AQ135" t="s">
        <v>74</v>
      </c>
      <c r="AR135" t="s">
        <v>3036</v>
      </c>
      <c r="AS135" t="s">
        <v>3037</v>
      </c>
      <c r="AT135" t="s">
        <v>1212</v>
      </c>
      <c r="AU135">
        <v>2020</v>
      </c>
      <c r="AV135">
        <v>249</v>
      </c>
      <c r="AW135" t="s">
        <v>74</v>
      </c>
      <c r="AX135" t="s">
        <v>74</v>
      </c>
      <c r="AY135" t="s">
        <v>74</v>
      </c>
      <c r="AZ135" t="s">
        <v>74</v>
      </c>
      <c r="BA135" t="s">
        <v>74</v>
      </c>
      <c r="BB135" t="s">
        <v>74</v>
      </c>
      <c r="BC135" t="s">
        <v>74</v>
      </c>
      <c r="BD135">
        <v>112027</v>
      </c>
      <c r="BE135" t="s">
        <v>3038</v>
      </c>
      <c r="BF135" t="str">
        <f>HYPERLINK("http://dx.doi.org/10.1016/j.rse.2020.112027","http://dx.doi.org/10.1016/j.rse.2020.112027")</f>
        <v>http://dx.doi.org/10.1016/j.rse.2020.112027</v>
      </c>
      <c r="BG135" t="s">
        <v>74</v>
      </c>
      <c r="BH135" t="s">
        <v>74</v>
      </c>
      <c r="BI135">
        <v>24</v>
      </c>
      <c r="BJ135" t="s">
        <v>3039</v>
      </c>
      <c r="BK135" t="s">
        <v>100</v>
      </c>
      <c r="BL135" t="s">
        <v>3040</v>
      </c>
      <c r="BM135" t="s">
        <v>3041</v>
      </c>
      <c r="BN135" t="s">
        <v>74</v>
      </c>
      <c r="BO135" t="s">
        <v>1825</v>
      </c>
      <c r="BP135" t="s">
        <v>74</v>
      </c>
      <c r="BQ135" t="s">
        <v>74</v>
      </c>
      <c r="BR135" t="s">
        <v>104</v>
      </c>
      <c r="BS135" t="s">
        <v>3042</v>
      </c>
      <c r="BT135" t="str">
        <f>HYPERLINK("https%3A%2F%2Fwww.webofscience.com%2Fwos%2Fwoscc%2Ffull-record%2FWOS:000571215100003","View Full Record in Web of Science")</f>
        <v>View Full Record in Web of Science</v>
      </c>
    </row>
    <row r="136" spans="1:72" x14ac:dyDescent="0.15">
      <c r="A136" t="s">
        <v>72</v>
      </c>
      <c r="B136" t="s">
        <v>3043</v>
      </c>
      <c r="C136" t="s">
        <v>74</v>
      </c>
      <c r="D136" t="s">
        <v>74</v>
      </c>
      <c r="E136" t="s">
        <v>74</v>
      </c>
      <c r="F136" t="s">
        <v>3044</v>
      </c>
      <c r="G136" t="s">
        <v>74</v>
      </c>
      <c r="H136" t="s">
        <v>74</v>
      </c>
      <c r="I136" t="s">
        <v>3045</v>
      </c>
      <c r="J136" t="s">
        <v>3046</v>
      </c>
      <c r="K136" t="s">
        <v>74</v>
      </c>
      <c r="L136" t="s">
        <v>74</v>
      </c>
      <c r="M136" t="s">
        <v>78</v>
      </c>
      <c r="N136" t="s">
        <v>79</v>
      </c>
      <c r="O136" t="s">
        <v>74</v>
      </c>
      <c r="P136" t="s">
        <v>74</v>
      </c>
      <c r="Q136" t="s">
        <v>74</v>
      </c>
      <c r="R136" t="s">
        <v>74</v>
      </c>
      <c r="S136" t="s">
        <v>74</v>
      </c>
      <c r="T136" t="s">
        <v>74</v>
      </c>
      <c r="U136" t="s">
        <v>3047</v>
      </c>
      <c r="V136" t="s">
        <v>3048</v>
      </c>
      <c r="W136" t="s">
        <v>3049</v>
      </c>
      <c r="X136" t="s">
        <v>3050</v>
      </c>
      <c r="Y136" t="s">
        <v>3051</v>
      </c>
      <c r="Z136" t="s">
        <v>3052</v>
      </c>
      <c r="AA136" t="s">
        <v>3053</v>
      </c>
      <c r="AB136" t="s">
        <v>3054</v>
      </c>
      <c r="AC136" t="s">
        <v>3055</v>
      </c>
      <c r="AD136" t="s">
        <v>3056</v>
      </c>
      <c r="AE136" t="s">
        <v>3057</v>
      </c>
      <c r="AF136" t="s">
        <v>74</v>
      </c>
      <c r="AG136">
        <v>55</v>
      </c>
      <c r="AH136">
        <v>40</v>
      </c>
      <c r="AI136">
        <v>41</v>
      </c>
      <c r="AJ136">
        <v>0</v>
      </c>
      <c r="AK136">
        <v>5</v>
      </c>
      <c r="AL136" t="s">
        <v>608</v>
      </c>
      <c r="AM136" t="s">
        <v>609</v>
      </c>
      <c r="AN136" t="s">
        <v>610</v>
      </c>
      <c r="AO136" t="s">
        <v>3058</v>
      </c>
      <c r="AP136" t="s">
        <v>74</v>
      </c>
      <c r="AQ136" t="s">
        <v>74</v>
      </c>
      <c r="AR136" t="s">
        <v>3059</v>
      </c>
      <c r="AS136" t="s">
        <v>3060</v>
      </c>
      <c r="AT136" t="s">
        <v>1212</v>
      </c>
      <c r="AU136">
        <v>2020</v>
      </c>
      <c r="AV136">
        <v>6</v>
      </c>
      <c r="AW136">
        <v>46</v>
      </c>
      <c r="AX136" t="s">
        <v>74</v>
      </c>
      <c r="AY136" t="s">
        <v>74</v>
      </c>
      <c r="AZ136" t="s">
        <v>74</v>
      </c>
      <c r="BA136" t="s">
        <v>74</v>
      </c>
      <c r="BB136" t="s">
        <v>74</v>
      </c>
      <c r="BC136" t="s">
        <v>74</v>
      </c>
      <c r="BD136" t="s">
        <v>3061</v>
      </c>
      <c r="BE136" t="s">
        <v>3062</v>
      </c>
      <c r="BF136" t="str">
        <f>HYPERLINK("http://dx.doi.org/10.1126/sciadv.abc2695","http://dx.doi.org/10.1126/sciadv.abc2695")</f>
        <v>http://dx.doi.org/10.1126/sciadv.abc2695</v>
      </c>
      <c r="BG136" t="s">
        <v>74</v>
      </c>
      <c r="BH136" t="s">
        <v>74</v>
      </c>
      <c r="BI136">
        <v>13</v>
      </c>
      <c r="BJ136" t="s">
        <v>329</v>
      </c>
      <c r="BK136" t="s">
        <v>100</v>
      </c>
      <c r="BL136" t="s">
        <v>330</v>
      </c>
      <c r="BM136" t="s">
        <v>3063</v>
      </c>
      <c r="BN136">
        <v>33177087</v>
      </c>
      <c r="BO136" t="s">
        <v>3064</v>
      </c>
      <c r="BP136" t="s">
        <v>74</v>
      </c>
      <c r="BQ136" t="s">
        <v>74</v>
      </c>
      <c r="BR136" t="s">
        <v>104</v>
      </c>
      <c r="BS136" t="s">
        <v>3065</v>
      </c>
      <c r="BT136" t="str">
        <f>HYPERLINK("https%3A%2F%2Fwww.webofscience.com%2Fwos%2Fwoscc%2Ffull-record%2FWOS:000592174000024","View Full Record in Web of Science")</f>
        <v>View Full Record in Web of Science</v>
      </c>
    </row>
    <row r="137" spans="1:72" x14ac:dyDescent="0.15">
      <c r="A137" t="s">
        <v>72</v>
      </c>
      <c r="B137" t="s">
        <v>3066</v>
      </c>
      <c r="C137" t="s">
        <v>74</v>
      </c>
      <c r="D137" t="s">
        <v>74</v>
      </c>
      <c r="E137" t="s">
        <v>74</v>
      </c>
      <c r="F137" t="s">
        <v>3067</v>
      </c>
      <c r="G137" t="s">
        <v>74</v>
      </c>
      <c r="H137" t="s">
        <v>74</v>
      </c>
      <c r="I137" t="s">
        <v>3068</v>
      </c>
      <c r="J137" t="s">
        <v>3069</v>
      </c>
      <c r="K137" t="s">
        <v>74</v>
      </c>
      <c r="L137" t="s">
        <v>74</v>
      </c>
      <c r="M137" t="s">
        <v>78</v>
      </c>
      <c r="N137" t="s">
        <v>79</v>
      </c>
      <c r="O137" t="s">
        <v>74</v>
      </c>
      <c r="P137" t="s">
        <v>74</v>
      </c>
      <c r="Q137" t="s">
        <v>74</v>
      </c>
      <c r="R137" t="s">
        <v>74</v>
      </c>
      <c r="S137" t="s">
        <v>74</v>
      </c>
      <c r="T137" t="s">
        <v>3070</v>
      </c>
      <c r="U137" t="s">
        <v>3071</v>
      </c>
      <c r="V137" t="s">
        <v>3072</v>
      </c>
      <c r="W137" t="s">
        <v>3073</v>
      </c>
      <c r="X137" t="s">
        <v>3074</v>
      </c>
      <c r="Y137" t="s">
        <v>3075</v>
      </c>
      <c r="Z137" t="s">
        <v>3076</v>
      </c>
      <c r="AA137" t="s">
        <v>74</v>
      </c>
      <c r="AB137" t="s">
        <v>3077</v>
      </c>
      <c r="AC137" t="s">
        <v>3078</v>
      </c>
      <c r="AD137" t="s">
        <v>3079</v>
      </c>
      <c r="AE137" t="s">
        <v>3080</v>
      </c>
      <c r="AF137" t="s">
        <v>74</v>
      </c>
      <c r="AG137">
        <v>43</v>
      </c>
      <c r="AH137">
        <v>32</v>
      </c>
      <c r="AI137">
        <v>33</v>
      </c>
      <c r="AJ137">
        <v>6</v>
      </c>
      <c r="AK137">
        <v>73</v>
      </c>
      <c r="AL137" t="s">
        <v>275</v>
      </c>
      <c r="AM137" t="s">
        <v>276</v>
      </c>
      <c r="AN137" t="s">
        <v>277</v>
      </c>
      <c r="AO137" t="s">
        <v>3081</v>
      </c>
      <c r="AP137" t="s">
        <v>3082</v>
      </c>
      <c r="AQ137" t="s">
        <v>74</v>
      </c>
      <c r="AR137" t="s">
        <v>3083</v>
      </c>
      <c r="AS137" t="s">
        <v>3084</v>
      </c>
      <c r="AT137" t="s">
        <v>1212</v>
      </c>
      <c r="AU137">
        <v>2020</v>
      </c>
      <c r="AV137">
        <v>119</v>
      </c>
      <c r="AW137" t="s">
        <v>74</v>
      </c>
      <c r="AX137" t="s">
        <v>74</v>
      </c>
      <c r="AY137" t="s">
        <v>74</v>
      </c>
      <c r="AZ137" t="s">
        <v>74</v>
      </c>
      <c r="BA137" t="s">
        <v>74</v>
      </c>
      <c r="BB137" t="s">
        <v>74</v>
      </c>
      <c r="BC137" t="s">
        <v>74</v>
      </c>
      <c r="BD137">
        <v>103333</v>
      </c>
      <c r="BE137" t="s">
        <v>3085</v>
      </c>
      <c r="BF137" t="str">
        <f>HYPERLINK("http://dx.doi.org/10.1016/j.autcon.2020.103333","http://dx.doi.org/10.1016/j.autcon.2020.103333")</f>
        <v>http://dx.doi.org/10.1016/j.autcon.2020.103333</v>
      </c>
      <c r="BG137" t="s">
        <v>74</v>
      </c>
      <c r="BH137" t="s">
        <v>74</v>
      </c>
      <c r="BI137">
        <v>10</v>
      </c>
      <c r="BJ137" t="s">
        <v>3086</v>
      </c>
      <c r="BK137" t="s">
        <v>100</v>
      </c>
      <c r="BL137" t="s">
        <v>3087</v>
      </c>
      <c r="BM137" t="s">
        <v>3088</v>
      </c>
      <c r="BN137" t="s">
        <v>74</v>
      </c>
      <c r="BO137" t="s">
        <v>376</v>
      </c>
      <c r="BP137" t="s">
        <v>74</v>
      </c>
      <c r="BQ137" t="s">
        <v>74</v>
      </c>
      <c r="BR137" t="s">
        <v>104</v>
      </c>
      <c r="BS137" t="s">
        <v>3089</v>
      </c>
      <c r="BT137" t="str">
        <f>HYPERLINK("https%3A%2F%2Fwww.webofscience.com%2Fwos%2Fwoscc%2Ffull-record%2FWOS:000579046500010","View Full Record in Web of Science")</f>
        <v>View Full Record in Web of Science</v>
      </c>
    </row>
    <row r="138" spans="1:72" x14ac:dyDescent="0.15">
      <c r="A138" t="s">
        <v>72</v>
      </c>
      <c r="B138" t="s">
        <v>3090</v>
      </c>
      <c r="C138" t="s">
        <v>74</v>
      </c>
      <c r="D138" t="s">
        <v>74</v>
      </c>
      <c r="E138" t="s">
        <v>74</v>
      </c>
      <c r="F138" t="s">
        <v>3091</v>
      </c>
      <c r="G138" t="s">
        <v>74</v>
      </c>
      <c r="H138" t="s">
        <v>74</v>
      </c>
      <c r="I138" t="s">
        <v>3092</v>
      </c>
      <c r="J138" t="s">
        <v>3093</v>
      </c>
      <c r="K138" t="s">
        <v>74</v>
      </c>
      <c r="L138" t="s">
        <v>74</v>
      </c>
      <c r="M138" t="s">
        <v>78</v>
      </c>
      <c r="N138" t="s">
        <v>79</v>
      </c>
      <c r="O138" t="s">
        <v>74</v>
      </c>
      <c r="P138" t="s">
        <v>74</v>
      </c>
      <c r="Q138" t="s">
        <v>74</v>
      </c>
      <c r="R138" t="s">
        <v>74</v>
      </c>
      <c r="S138" t="s">
        <v>74</v>
      </c>
      <c r="T138" t="s">
        <v>3094</v>
      </c>
      <c r="U138" t="s">
        <v>3095</v>
      </c>
      <c r="V138" t="s">
        <v>3096</v>
      </c>
      <c r="W138" t="s">
        <v>3097</v>
      </c>
      <c r="X138" t="s">
        <v>3098</v>
      </c>
      <c r="Y138" t="s">
        <v>3099</v>
      </c>
      <c r="Z138" t="s">
        <v>3100</v>
      </c>
      <c r="AA138" t="s">
        <v>74</v>
      </c>
      <c r="AB138" t="s">
        <v>3101</v>
      </c>
      <c r="AC138" t="s">
        <v>74</v>
      </c>
      <c r="AD138" t="s">
        <v>74</v>
      </c>
      <c r="AE138" t="s">
        <v>74</v>
      </c>
      <c r="AF138" t="s">
        <v>74</v>
      </c>
      <c r="AG138">
        <v>44</v>
      </c>
      <c r="AH138">
        <v>6</v>
      </c>
      <c r="AI138">
        <v>6</v>
      </c>
      <c r="AJ138">
        <v>5</v>
      </c>
      <c r="AK138">
        <v>35</v>
      </c>
      <c r="AL138" t="s">
        <v>219</v>
      </c>
      <c r="AM138" t="s">
        <v>220</v>
      </c>
      <c r="AN138" t="s">
        <v>221</v>
      </c>
      <c r="AO138" t="s">
        <v>3102</v>
      </c>
      <c r="AP138" t="s">
        <v>3103</v>
      </c>
      <c r="AQ138" t="s">
        <v>74</v>
      </c>
      <c r="AR138" t="s">
        <v>3104</v>
      </c>
      <c r="AS138" t="s">
        <v>3105</v>
      </c>
      <c r="AT138" t="s">
        <v>1212</v>
      </c>
      <c r="AU138">
        <v>2020</v>
      </c>
      <c r="AV138">
        <v>55</v>
      </c>
      <c r="AW138">
        <v>11</v>
      </c>
      <c r="AX138" t="s">
        <v>74</v>
      </c>
      <c r="AY138" t="s">
        <v>74</v>
      </c>
      <c r="AZ138" t="s">
        <v>74</v>
      </c>
      <c r="BA138" t="s">
        <v>74</v>
      </c>
      <c r="BB138">
        <v>3493</v>
      </c>
      <c r="BC138">
        <v>3502</v>
      </c>
      <c r="BD138" t="s">
        <v>74</v>
      </c>
      <c r="BE138" t="s">
        <v>3106</v>
      </c>
      <c r="BF138" t="str">
        <f>HYPERLINK("http://dx.doi.org/10.1111/ijfs.14683","http://dx.doi.org/10.1111/ijfs.14683")</f>
        <v>http://dx.doi.org/10.1111/ijfs.14683</v>
      </c>
      <c r="BG138" t="s">
        <v>74</v>
      </c>
      <c r="BH138" t="s">
        <v>74</v>
      </c>
      <c r="BI138">
        <v>10</v>
      </c>
      <c r="BJ138" t="s">
        <v>3107</v>
      </c>
      <c r="BK138" t="s">
        <v>100</v>
      </c>
      <c r="BL138" t="s">
        <v>3107</v>
      </c>
      <c r="BM138" t="s">
        <v>3108</v>
      </c>
      <c r="BN138" t="s">
        <v>74</v>
      </c>
      <c r="BO138" t="s">
        <v>74</v>
      </c>
      <c r="BP138" t="s">
        <v>74</v>
      </c>
      <c r="BQ138" t="s">
        <v>74</v>
      </c>
      <c r="BR138" t="s">
        <v>104</v>
      </c>
      <c r="BS138" t="s">
        <v>3109</v>
      </c>
      <c r="BT138" t="str">
        <f>HYPERLINK("https%3A%2F%2Fwww.webofscience.com%2Fwos%2Fwoscc%2Ffull-record%2FWOS:000579071800014","View Full Record in Web of Science")</f>
        <v>View Full Record in Web of Science</v>
      </c>
    </row>
    <row r="139" spans="1:72" x14ac:dyDescent="0.15">
      <c r="A139" t="s">
        <v>72</v>
      </c>
      <c r="B139" t="s">
        <v>3110</v>
      </c>
      <c r="C139" t="s">
        <v>74</v>
      </c>
      <c r="D139" t="s">
        <v>74</v>
      </c>
      <c r="E139" t="s">
        <v>74</v>
      </c>
      <c r="F139" t="s">
        <v>3111</v>
      </c>
      <c r="G139" t="s">
        <v>74</v>
      </c>
      <c r="H139" t="s">
        <v>74</v>
      </c>
      <c r="I139" t="s">
        <v>3112</v>
      </c>
      <c r="J139" t="s">
        <v>3113</v>
      </c>
      <c r="K139" t="s">
        <v>74</v>
      </c>
      <c r="L139" t="s">
        <v>74</v>
      </c>
      <c r="M139" t="s">
        <v>78</v>
      </c>
      <c r="N139" t="s">
        <v>79</v>
      </c>
      <c r="O139" t="s">
        <v>74</v>
      </c>
      <c r="P139" t="s">
        <v>74</v>
      </c>
      <c r="Q139" t="s">
        <v>74</v>
      </c>
      <c r="R139" t="s">
        <v>74</v>
      </c>
      <c r="S139" t="s">
        <v>74</v>
      </c>
      <c r="T139" t="s">
        <v>3114</v>
      </c>
      <c r="U139" t="s">
        <v>3115</v>
      </c>
      <c r="V139" t="s">
        <v>3116</v>
      </c>
      <c r="W139" t="s">
        <v>3117</v>
      </c>
      <c r="X139" t="s">
        <v>3118</v>
      </c>
      <c r="Y139" t="s">
        <v>3119</v>
      </c>
      <c r="Z139" t="s">
        <v>3120</v>
      </c>
      <c r="AA139" t="s">
        <v>74</v>
      </c>
      <c r="AB139" t="s">
        <v>74</v>
      </c>
      <c r="AC139" t="s">
        <v>3121</v>
      </c>
      <c r="AD139" t="s">
        <v>3122</v>
      </c>
      <c r="AE139" t="s">
        <v>3123</v>
      </c>
      <c r="AF139" t="s">
        <v>74</v>
      </c>
      <c r="AG139">
        <v>51</v>
      </c>
      <c r="AH139">
        <v>0</v>
      </c>
      <c r="AI139">
        <v>0</v>
      </c>
      <c r="AJ139">
        <v>1</v>
      </c>
      <c r="AK139">
        <v>10</v>
      </c>
      <c r="AL139" t="s">
        <v>275</v>
      </c>
      <c r="AM139" t="s">
        <v>276</v>
      </c>
      <c r="AN139" t="s">
        <v>277</v>
      </c>
      <c r="AO139" t="s">
        <v>3124</v>
      </c>
      <c r="AP139" t="s">
        <v>3125</v>
      </c>
      <c r="AQ139" t="s">
        <v>74</v>
      </c>
      <c r="AR139" t="s">
        <v>3126</v>
      </c>
      <c r="AS139" t="s">
        <v>3127</v>
      </c>
      <c r="AT139" t="s">
        <v>1212</v>
      </c>
      <c r="AU139">
        <v>2020</v>
      </c>
      <c r="AV139">
        <v>429</v>
      </c>
      <c r="AW139" t="s">
        <v>74</v>
      </c>
      <c r="AX139" t="s">
        <v>74</v>
      </c>
      <c r="AY139" t="s">
        <v>74</v>
      </c>
      <c r="AZ139" t="s">
        <v>74</v>
      </c>
      <c r="BA139" t="s">
        <v>74</v>
      </c>
      <c r="BB139" t="s">
        <v>74</v>
      </c>
      <c r="BC139" t="s">
        <v>74</v>
      </c>
      <c r="BD139">
        <v>106315</v>
      </c>
      <c r="BE139" t="s">
        <v>3128</v>
      </c>
      <c r="BF139" t="str">
        <f>HYPERLINK("http://dx.doi.org/10.1016/j.margeo.2020.106315","http://dx.doi.org/10.1016/j.margeo.2020.106315")</f>
        <v>http://dx.doi.org/10.1016/j.margeo.2020.106315</v>
      </c>
      <c r="BG139" t="s">
        <v>74</v>
      </c>
      <c r="BH139" t="s">
        <v>74</v>
      </c>
      <c r="BI139">
        <v>10</v>
      </c>
      <c r="BJ139" t="s">
        <v>3129</v>
      </c>
      <c r="BK139" t="s">
        <v>100</v>
      </c>
      <c r="BL139" t="s">
        <v>3130</v>
      </c>
      <c r="BM139" t="s">
        <v>3131</v>
      </c>
      <c r="BN139" t="s">
        <v>74</v>
      </c>
      <c r="BO139" t="s">
        <v>1188</v>
      </c>
      <c r="BP139" t="s">
        <v>74</v>
      </c>
      <c r="BQ139" t="s">
        <v>74</v>
      </c>
      <c r="BR139" t="s">
        <v>104</v>
      </c>
      <c r="BS139" t="s">
        <v>3132</v>
      </c>
      <c r="BT139" t="str">
        <f>HYPERLINK("https%3A%2F%2Fwww.webofscience.com%2Fwos%2Fwoscc%2Ffull-record%2FWOS:000576360700017","View Full Record in Web of Science")</f>
        <v>View Full Record in Web of Science</v>
      </c>
    </row>
    <row r="140" spans="1:72" x14ac:dyDescent="0.15">
      <c r="A140" t="s">
        <v>72</v>
      </c>
      <c r="B140" t="s">
        <v>3133</v>
      </c>
      <c r="C140" t="s">
        <v>74</v>
      </c>
      <c r="D140" t="s">
        <v>74</v>
      </c>
      <c r="E140" t="s">
        <v>74</v>
      </c>
      <c r="F140" t="s">
        <v>3134</v>
      </c>
      <c r="G140" t="s">
        <v>74</v>
      </c>
      <c r="H140" t="s">
        <v>74</v>
      </c>
      <c r="I140" t="s">
        <v>3135</v>
      </c>
      <c r="J140" t="s">
        <v>3136</v>
      </c>
      <c r="K140" t="s">
        <v>74</v>
      </c>
      <c r="L140" t="s">
        <v>74</v>
      </c>
      <c r="M140" t="s">
        <v>78</v>
      </c>
      <c r="N140" t="s">
        <v>79</v>
      </c>
      <c r="O140" t="s">
        <v>74</v>
      </c>
      <c r="P140" t="s">
        <v>74</v>
      </c>
      <c r="Q140" t="s">
        <v>74</v>
      </c>
      <c r="R140" t="s">
        <v>74</v>
      </c>
      <c r="S140" t="s">
        <v>74</v>
      </c>
      <c r="T140" t="s">
        <v>74</v>
      </c>
      <c r="U140" t="s">
        <v>74</v>
      </c>
      <c r="V140" t="s">
        <v>3137</v>
      </c>
      <c r="W140" t="s">
        <v>3138</v>
      </c>
      <c r="X140" t="s">
        <v>3139</v>
      </c>
      <c r="Y140" t="s">
        <v>3140</v>
      </c>
      <c r="Z140" t="s">
        <v>3141</v>
      </c>
      <c r="AA140" t="s">
        <v>74</v>
      </c>
      <c r="AB140" t="s">
        <v>3142</v>
      </c>
      <c r="AC140" t="s">
        <v>3143</v>
      </c>
      <c r="AD140" t="s">
        <v>3143</v>
      </c>
      <c r="AE140" t="s">
        <v>3144</v>
      </c>
      <c r="AF140" t="s">
        <v>74</v>
      </c>
      <c r="AG140">
        <v>17</v>
      </c>
      <c r="AH140">
        <v>1</v>
      </c>
      <c r="AI140">
        <v>1</v>
      </c>
      <c r="AJ140">
        <v>0</v>
      </c>
      <c r="AK140">
        <v>2</v>
      </c>
      <c r="AL140" t="s">
        <v>3145</v>
      </c>
      <c r="AM140" t="s">
        <v>483</v>
      </c>
      <c r="AN140" t="s">
        <v>3146</v>
      </c>
      <c r="AO140" t="s">
        <v>3147</v>
      </c>
      <c r="AP140" t="s">
        <v>3148</v>
      </c>
      <c r="AQ140" t="s">
        <v>74</v>
      </c>
      <c r="AR140" t="s">
        <v>3149</v>
      </c>
      <c r="AS140" t="s">
        <v>3150</v>
      </c>
      <c r="AT140" t="s">
        <v>1212</v>
      </c>
      <c r="AU140">
        <v>2020</v>
      </c>
      <c r="AV140">
        <v>94</v>
      </c>
      <c r="AW140">
        <v>6</v>
      </c>
      <c r="AX140" t="s">
        <v>74</v>
      </c>
      <c r="AY140" t="s">
        <v>74</v>
      </c>
      <c r="AZ140" t="s">
        <v>74</v>
      </c>
      <c r="BA140" t="s">
        <v>74</v>
      </c>
      <c r="BB140">
        <v>1076</v>
      </c>
      <c r="BC140">
        <v>1081</v>
      </c>
      <c r="BD140" t="s">
        <v>3151</v>
      </c>
      <c r="BE140" t="s">
        <v>3152</v>
      </c>
      <c r="BF140" t="str">
        <f>HYPERLINK("http://dx.doi.org/10.1017/jpa.2020.33","http://dx.doi.org/10.1017/jpa.2020.33")</f>
        <v>http://dx.doi.org/10.1017/jpa.2020.33</v>
      </c>
      <c r="BG140" t="s">
        <v>74</v>
      </c>
      <c r="BH140" t="s">
        <v>74</v>
      </c>
      <c r="BI140">
        <v>6</v>
      </c>
      <c r="BJ140" t="s">
        <v>1057</v>
      </c>
      <c r="BK140" t="s">
        <v>100</v>
      </c>
      <c r="BL140" t="s">
        <v>1057</v>
      </c>
      <c r="BM140" t="s">
        <v>3153</v>
      </c>
      <c r="BN140" t="s">
        <v>74</v>
      </c>
      <c r="BO140" t="s">
        <v>74</v>
      </c>
      <c r="BP140" t="s">
        <v>74</v>
      </c>
      <c r="BQ140" t="s">
        <v>74</v>
      </c>
      <c r="BR140" t="s">
        <v>104</v>
      </c>
      <c r="BS140" t="s">
        <v>3154</v>
      </c>
      <c r="BT140" t="str">
        <f>HYPERLINK("https%3A%2F%2Fwww.webofscience.com%2Fwos%2Fwoscc%2Ffull-record%2FWOS:000574601900005","View Full Record in Web of Science")</f>
        <v>View Full Record in Web of Science</v>
      </c>
    </row>
    <row r="141" spans="1:72" x14ac:dyDescent="0.15">
      <c r="A141" t="s">
        <v>72</v>
      </c>
      <c r="B141" t="s">
        <v>3155</v>
      </c>
      <c r="C141" t="s">
        <v>74</v>
      </c>
      <c r="D141" t="s">
        <v>74</v>
      </c>
      <c r="E141" t="s">
        <v>74</v>
      </c>
      <c r="F141" t="s">
        <v>3156</v>
      </c>
      <c r="G141" t="s">
        <v>74</v>
      </c>
      <c r="H141" t="s">
        <v>74</v>
      </c>
      <c r="I141" t="s">
        <v>3157</v>
      </c>
      <c r="J141" t="s">
        <v>3158</v>
      </c>
      <c r="K141" t="s">
        <v>74</v>
      </c>
      <c r="L141" t="s">
        <v>74</v>
      </c>
      <c r="M141" t="s">
        <v>78</v>
      </c>
      <c r="N141" t="s">
        <v>79</v>
      </c>
      <c r="O141" t="s">
        <v>74</v>
      </c>
      <c r="P141" t="s">
        <v>74</v>
      </c>
      <c r="Q141" t="s">
        <v>74</v>
      </c>
      <c r="R141" t="s">
        <v>74</v>
      </c>
      <c r="S141" t="s">
        <v>74</v>
      </c>
      <c r="T141" t="s">
        <v>3159</v>
      </c>
      <c r="U141" t="s">
        <v>3160</v>
      </c>
      <c r="V141" t="s">
        <v>3161</v>
      </c>
      <c r="W141" t="s">
        <v>3162</v>
      </c>
      <c r="X141" t="s">
        <v>3163</v>
      </c>
      <c r="Y141" t="s">
        <v>3164</v>
      </c>
      <c r="Z141" t="s">
        <v>3165</v>
      </c>
      <c r="AA141" t="s">
        <v>3166</v>
      </c>
      <c r="AB141" t="s">
        <v>3167</v>
      </c>
      <c r="AC141" t="s">
        <v>3168</v>
      </c>
      <c r="AD141" t="s">
        <v>3169</v>
      </c>
      <c r="AE141" t="s">
        <v>3170</v>
      </c>
      <c r="AF141" t="s">
        <v>74</v>
      </c>
      <c r="AG141">
        <v>63</v>
      </c>
      <c r="AH141">
        <v>12</v>
      </c>
      <c r="AI141">
        <v>12</v>
      </c>
      <c r="AJ141">
        <v>6</v>
      </c>
      <c r="AK141">
        <v>69</v>
      </c>
      <c r="AL141" t="s">
        <v>1572</v>
      </c>
      <c r="AM141" t="s">
        <v>1407</v>
      </c>
      <c r="AN141" t="s">
        <v>1573</v>
      </c>
      <c r="AO141" t="s">
        <v>3171</v>
      </c>
      <c r="AP141" t="s">
        <v>3172</v>
      </c>
      <c r="AQ141" t="s">
        <v>74</v>
      </c>
      <c r="AR141" t="s">
        <v>3173</v>
      </c>
      <c r="AS141" t="s">
        <v>3174</v>
      </c>
      <c r="AT141" t="s">
        <v>1212</v>
      </c>
      <c r="AU141">
        <v>2020</v>
      </c>
      <c r="AV141">
        <v>266</v>
      </c>
      <c r="AW141" t="s">
        <v>74</v>
      </c>
      <c r="AX141">
        <v>1</v>
      </c>
      <c r="AY141" t="s">
        <v>74</v>
      </c>
      <c r="AZ141" t="s">
        <v>74</v>
      </c>
      <c r="BA141" t="s">
        <v>74</v>
      </c>
      <c r="BB141" t="s">
        <v>74</v>
      </c>
      <c r="BC141" t="s">
        <v>74</v>
      </c>
      <c r="BD141">
        <v>115205</v>
      </c>
      <c r="BE141" t="s">
        <v>3175</v>
      </c>
      <c r="BF141" t="str">
        <f>HYPERLINK("http://dx.doi.org/10.1016/i.envpol.2020.115205","http://dx.doi.org/10.1016/i.envpol.2020.115205")</f>
        <v>http://dx.doi.org/10.1016/i.envpol.2020.115205</v>
      </c>
      <c r="BG141" t="s">
        <v>74</v>
      </c>
      <c r="BH141" t="s">
        <v>74</v>
      </c>
      <c r="BI141">
        <v>9</v>
      </c>
      <c r="BJ141" t="s">
        <v>283</v>
      </c>
      <c r="BK141" t="s">
        <v>100</v>
      </c>
      <c r="BL141" t="s">
        <v>284</v>
      </c>
      <c r="BM141" t="s">
        <v>3176</v>
      </c>
      <c r="BN141">
        <v>32707354</v>
      </c>
      <c r="BO141" t="s">
        <v>74</v>
      </c>
      <c r="BP141" t="s">
        <v>74</v>
      </c>
      <c r="BQ141" t="s">
        <v>74</v>
      </c>
      <c r="BR141" t="s">
        <v>104</v>
      </c>
      <c r="BS141" t="s">
        <v>3177</v>
      </c>
      <c r="BT141" t="str">
        <f>HYPERLINK("https%3A%2F%2Fwww.webofscience.com%2Fwos%2Fwoscc%2Ffull-record%2FWOS:000572960600025","View Full Record in Web of Science")</f>
        <v>View Full Record in Web of Science</v>
      </c>
    </row>
    <row r="142" spans="1:72" x14ac:dyDescent="0.15">
      <c r="A142" t="s">
        <v>72</v>
      </c>
      <c r="B142" t="s">
        <v>3178</v>
      </c>
      <c r="C142" t="s">
        <v>74</v>
      </c>
      <c r="D142" t="s">
        <v>74</v>
      </c>
      <c r="E142" t="s">
        <v>74</v>
      </c>
      <c r="F142" t="s">
        <v>3179</v>
      </c>
      <c r="G142" t="s">
        <v>74</v>
      </c>
      <c r="H142" t="s">
        <v>74</v>
      </c>
      <c r="I142" t="s">
        <v>3180</v>
      </c>
      <c r="J142" t="s">
        <v>3181</v>
      </c>
      <c r="K142" t="s">
        <v>74</v>
      </c>
      <c r="L142" t="s">
        <v>74</v>
      </c>
      <c r="M142" t="s">
        <v>78</v>
      </c>
      <c r="N142" t="s">
        <v>79</v>
      </c>
      <c r="O142" t="s">
        <v>74</v>
      </c>
      <c r="P142" t="s">
        <v>74</v>
      </c>
      <c r="Q142" t="s">
        <v>74</v>
      </c>
      <c r="R142" t="s">
        <v>74</v>
      </c>
      <c r="S142" t="s">
        <v>74</v>
      </c>
      <c r="T142" t="s">
        <v>3182</v>
      </c>
      <c r="U142" t="s">
        <v>3183</v>
      </c>
      <c r="V142" t="s">
        <v>3184</v>
      </c>
      <c r="W142" t="s">
        <v>3185</v>
      </c>
      <c r="X142" t="s">
        <v>3186</v>
      </c>
      <c r="Y142" t="s">
        <v>3187</v>
      </c>
      <c r="Z142" t="s">
        <v>3188</v>
      </c>
      <c r="AA142" t="s">
        <v>3189</v>
      </c>
      <c r="AB142" t="s">
        <v>3190</v>
      </c>
      <c r="AC142" t="s">
        <v>3191</v>
      </c>
      <c r="AD142" t="s">
        <v>3192</v>
      </c>
      <c r="AE142" t="s">
        <v>3193</v>
      </c>
      <c r="AF142" t="s">
        <v>74</v>
      </c>
      <c r="AG142">
        <v>55</v>
      </c>
      <c r="AH142">
        <v>11</v>
      </c>
      <c r="AI142">
        <v>12</v>
      </c>
      <c r="AJ142">
        <v>19</v>
      </c>
      <c r="AK142">
        <v>119</v>
      </c>
      <c r="AL142" t="s">
        <v>1637</v>
      </c>
      <c r="AM142" t="s">
        <v>1638</v>
      </c>
      <c r="AN142" t="s">
        <v>1639</v>
      </c>
      <c r="AO142" t="s">
        <v>3194</v>
      </c>
      <c r="AP142" t="s">
        <v>3195</v>
      </c>
      <c r="AQ142" t="s">
        <v>74</v>
      </c>
      <c r="AR142" t="s">
        <v>3196</v>
      </c>
      <c r="AS142" t="s">
        <v>3197</v>
      </c>
      <c r="AT142" t="s">
        <v>1212</v>
      </c>
      <c r="AU142">
        <v>2020</v>
      </c>
      <c r="AV142">
        <v>97</v>
      </c>
      <c r="AW142" t="s">
        <v>74</v>
      </c>
      <c r="AX142" t="s">
        <v>74</v>
      </c>
      <c r="AY142" t="s">
        <v>74</v>
      </c>
      <c r="AZ142" t="s">
        <v>74</v>
      </c>
      <c r="BA142" t="s">
        <v>74</v>
      </c>
      <c r="BB142">
        <v>180</v>
      </c>
      <c r="BC142">
        <v>185</v>
      </c>
      <c r="BD142" t="s">
        <v>74</v>
      </c>
      <c r="BE142" t="s">
        <v>3198</v>
      </c>
      <c r="BF142" t="str">
        <f>HYPERLINK("http://dx.doi.org/10.1016/j.jes.2020.04.031","http://dx.doi.org/10.1016/j.jes.2020.04.031")</f>
        <v>http://dx.doi.org/10.1016/j.jes.2020.04.031</v>
      </c>
      <c r="BG142" t="s">
        <v>74</v>
      </c>
      <c r="BH142" t="s">
        <v>74</v>
      </c>
      <c r="BI142">
        <v>6</v>
      </c>
      <c r="BJ142" t="s">
        <v>283</v>
      </c>
      <c r="BK142" t="s">
        <v>100</v>
      </c>
      <c r="BL142" t="s">
        <v>284</v>
      </c>
      <c r="BM142" t="s">
        <v>3199</v>
      </c>
      <c r="BN142">
        <v>32933733</v>
      </c>
      <c r="BO142" t="s">
        <v>74</v>
      </c>
      <c r="BP142" t="s">
        <v>74</v>
      </c>
      <c r="BQ142" t="s">
        <v>74</v>
      </c>
      <c r="BR142" t="s">
        <v>104</v>
      </c>
      <c r="BS142" t="s">
        <v>3200</v>
      </c>
      <c r="BT142" t="str">
        <f>HYPERLINK("https%3A%2F%2Fwww.webofscience.com%2Fwos%2Fwoscc%2Ffull-record%2FWOS:000569218700020","View Full Record in Web of Science")</f>
        <v>View Full Record in Web of Science</v>
      </c>
    </row>
    <row r="143" spans="1:72" x14ac:dyDescent="0.15">
      <c r="A143" t="s">
        <v>72</v>
      </c>
      <c r="B143" t="s">
        <v>3201</v>
      </c>
      <c r="C143" t="s">
        <v>74</v>
      </c>
      <c r="D143" t="s">
        <v>74</v>
      </c>
      <c r="E143" t="s">
        <v>74</v>
      </c>
      <c r="F143" t="s">
        <v>3202</v>
      </c>
      <c r="G143" t="s">
        <v>74</v>
      </c>
      <c r="H143" t="s">
        <v>74</v>
      </c>
      <c r="I143" t="s">
        <v>3203</v>
      </c>
      <c r="J143" t="s">
        <v>3204</v>
      </c>
      <c r="K143" t="s">
        <v>74</v>
      </c>
      <c r="L143" t="s">
        <v>74</v>
      </c>
      <c r="M143" t="s">
        <v>78</v>
      </c>
      <c r="N143" t="s">
        <v>79</v>
      </c>
      <c r="O143" t="s">
        <v>74</v>
      </c>
      <c r="P143" t="s">
        <v>74</v>
      </c>
      <c r="Q143" t="s">
        <v>74</v>
      </c>
      <c r="R143" t="s">
        <v>74</v>
      </c>
      <c r="S143" t="s">
        <v>74</v>
      </c>
      <c r="T143" t="s">
        <v>3205</v>
      </c>
      <c r="U143" t="s">
        <v>3206</v>
      </c>
      <c r="V143" t="s">
        <v>3207</v>
      </c>
      <c r="W143" t="s">
        <v>3208</v>
      </c>
      <c r="X143" t="s">
        <v>3209</v>
      </c>
      <c r="Y143" t="s">
        <v>3210</v>
      </c>
      <c r="Z143" t="s">
        <v>3211</v>
      </c>
      <c r="AA143" t="s">
        <v>3212</v>
      </c>
      <c r="AB143" t="s">
        <v>3213</v>
      </c>
      <c r="AC143" t="s">
        <v>3214</v>
      </c>
      <c r="AD143" t="s">
        <v>3215</v>
      </c>
      <c r="AE143" t="s">
        <v>3216</v>
      </c>
      <c r="AF143" t="s">
        <v>74</v>
      </c>
      <c r="AG143">
        <v>109</v>
      </c>
      <c r="AH143">
        <v>12</v>
      </c>
      <c r="AI143">
        <v>14</v>
      </c>
      <c r="AJ143">
        <v>0</v>
      </c>
      <c r="AK143">
        <v>4</v>
      </c>
      <c r="AL143" t="s">
        <v>1522</v>
      </c>
      <c r="AM143" t="s">
        <v>1407</v>
      </c>
      <c r="AN143" t="s">
        <v>1523</v>
      </c>
      <c r="AO143" t="s">
        <v>3217</v>
      </c>
      <c r="AP143" t="s">
        <v>74</v>
      </c>
      <c r="AQ143" t="s">
        <v>74</v>
      </c>
      <c r="AR143" t="s">
        <v>3218</v>
      </c>
      <c r="AS143" t="s">
        <v>3219</v>
      </c>
      <c r="AT143" t="s">
        <v>1212</v>
      </c>
      <c r="AU143">
        <v>2020</v>
      </c>
      <c r="AV143">
        <v>103</v>
      </c>
      <c r="AW143" t="s">
        <v>74</v>
      </c>
      <c r="AX143" t="s">
        <v>74</v>
      </c>
      <c r="AY143" t="s">
        <v>74</v>
      </c>
      <c r="AZ143" t="s">
        <v>74</v>
      </c>
      <c r="BA143" t="s">
        <v>74</v>
      </c>
      <c r="BB143" t="s">
        <v>74</v>
      </c>
      <c r="BC143" t="s">
        <v>74</v>
      </c>
      <c r="BD143">
        <v>102749</v>
      </c>
      <c r="BE143" t="s">
        <v>3220</v>
      </c>
      <c r="BF143" t="str">
        <f>HYPERLINK("http://dx.doi.org/10.1016/j.jsames.2020.102749","http://dx.doi.org/10.1016/j.jsames.2020.102749")</f>
        <v>http://dx.doi.org/10.1016/j.jsames.2020.102749</v>
      </c>
      <c r="BG143" t="s">
        <v>74</v>
      </c>
      <c r="BH143" t="s">
        <v>74</v>
      </c>
      <c r="BI143">
        <v>15</v>
      </c>
      <c r="BJ143" t="s">
        <v>534</v>
      </c>
      <c r="BK143" t="s">
        <v>100</v>
      </c>
      <c r="BL143" t="s">
        <v>535</v>
      </c>
      <c r="BM143" t="s">
        <v>3221</v>
      </c>
      <c r="BN143" t="s">
        <v>74</v>
      </c>
      <c r="BO143" t="s">
        <v>74</v>
      </c>
      <c r="BP143" t="s">
        <v>74</v>
      </c>
      <c r="BQ143" t="s">
        <v>74</v>
      </c>
      <c r="BR143" t="s">
        <v>104</v>
      </c>
      <c r="BS143" t="s">
        <v>3222</v>
      </c>
      <c r="BT143" t="str">
        <f>HYPERLINK("https%3A%2F%2Fwww.webofscience.com%2Fwos%2Fwoscc%2Ffull-record%2FWOS:000572364000002","View Full Record in Web of Science")</f>
        <v>View Full Record in Web of Science</v>
      </c>
    </row>
    <row r="144" spans="1:72" x14ac:dyDescent="0.15">
      <c r="A144" t="s">
        <v>72</v>
      </c>
      <c r="B144" t="s">
        <v>3223</v>
      </c>
      <c r="C144" t="s">
        <v>74</v>
      </c>
      <c r="D144" t="s">
        <v>74</v>
      </c>
      <c r="E144" t="s">
        <v>74</v>
      </c>
      <c r="F144" t="s">
        <v>3224</v>
      </c>
      <c r="G144" t="s">
        <v>74</v>
      </c>
      <c r="H144" t="s">
        <v>74</v>
      </c>
      <c r="I144" t="s">
        <v>3225</v>
      </c>
      <c r="J144" t="s">
        <v>3204</v>
      </c>
      <c r="K144" t="s">
        <v>74</v>
      </c>
      <c r="L144" t="s">
        <v>74</v>
      </c>
      <c r="M144" t="s">
        <v>78</v>
      </c>
      <c r="N144" t="s">
        <v>79</v>
      </c>
      <c r="O144" t="s">
        <v>74</v>
      </c>
      <c r="P144" t="s">
        <v>74</v>
      </c>
      <c r="Q144" t="s">
        <v>74</v>
      </c>
      <c r="R144" t="s">
        <v>74</v>
      </c>
      <c r="S144" t="s">
        <v>74</v>
      </c>
      <c r="T144" t="s">
        <v>3226</v>
      </c>
      <c r="U144" t="s">
        <v>3227</v>
      </c>
      <c r="V144" t="s">
        <v>3228</v>
      </c>
      <c r="W144" t="s">
        <v>3229</v>
      </c>
      <c r="X144" t="s">
        <v>3230</v>
      </c>
      <c r="Y144" t="s">
        <v>3231</v>
      </c>
      <c r="Z144" t="s">
        <v>3232</v>
      </c>
      <c r="AA144" t="s">
        <v>3233</v>
      </c>
      <c r="AB144" t="s">
        <v>3234</v>
      </c>
      <c r="AC144" t="s">
        <v>3235</v>
      </c>
      <c r="AD144" t="s">
        <v>3236</v>
      </c>
      <c r="AE144" t="s">
        <v>3237</v>
      </c>
      <c r="AF144" t="s">
        <v>74</v>
      </c>
      <c r="AG144">
        <v>63</v>
      </c>
      <c r="AH144">
        <v>16</v>
      </c>
      <c r="AI144">
        <v>16</v>
      </c>
      <c r="AJ144">
        <v>0</v>
      </c>
      <c r="AK144">
        <v>5</v>
      </c>
      <c r="AL144" t="s">
        <v>1522</v>
      </c>
      <c r="AM144" t="s">
        <v>1407</v>
      </c>
      <c r="AN144" t="s">
        <v>1523</v>
      </c>
      <c r="AO144" t="s">
        <v>3217</v>
      </c>
      <c r="AP144" t="s">
        <v>74</v>
      </c>
      <c r="AQ144" t="s">
        <v>74</v>
      </c>
      <c r="AR144" t="s">
        <v>3218</v>
      </c>
      <c r="AS144" t="s">
        <v>3219</v>
      </c>
      <c r="AT144" t="s">
        <v>1212</v>
      </c>
      <c r="AU144">
        <v>2020</v>
      </c>
      <c r="AV144">
        <v>103</v>
      </c>
      <c r="AW144" t="s">
        <v>74</v>
      </c>
      <c r="AX144" t="s">
        <v>74</v>
      </c>
      <c r="AY144" t="s">
        <v>74</v>
      </c>
      <c r="AZ144" t="s">
        <v>74</v>
      </c>
      <c r="BA144" t="s">
        <v>74</v>
      </c>
      <c r="BB144" t="s">
        <v>74</v>
      </c>
      <c r="BC144" t="s">
        <v>74</v>
      </c>
      <c r="BD144">
        <v>102732</v>
      </c>
      <c r="BE144" t="s">
        <v>3238</v>
      </c>
      <c r="BF144" t="str">
        <f>HYPERLINK("http://dx.doi.org/10.1016/j.jsames.2020.102732","http://dx.doi.org/10.1016/j.jsames.2020.102732")</f>
        <v>http://dx.doi.org/10.1016/j.jsames.2020.102732</v>
      </c>
      <c r="BG144" t="s">
        <v>74</v>
      </c>
      <c r="BH144" t="s">
        <v>74</v>
      </c>
      <c r="BI144">
        <v>19</v>
      </c>
      <c r="BJ144" t="s">
        <v>534</v>
      </c>
      <c r="BK144" t="s">
        <v>100</v>
      </c>
      <c r="BL144" t="s">
        <v>535</v>
      </c>
      <c r="BM144" t="s">
        <v>3239</v>
      </c>
      <c r="BN144" t="s">
        <v>74</v>
      </c>
      <c r="BO144" t="s">
        <v>74</v>
      </c>
      <c r="BP144" t="s">
        <v>74</v>
      </c>
      <c r="BQ144" t="s">
        <v>74</v>
      </c>
      <c r="BR144" t="s">
        <v>104</v>
      </c>
      <c r="BS144" t="s">
        <v>3240</v>
      </c>
      <c r="BT144" t="str">
        <f>HYPERLINK("https%3A%2F%2Fwww.webofscience.com%2Fwos%2Fwoscc%2Ffull-record%2FWOS:000572367500003","View Full Record in Web of Science")</f>
        <v>View Full Record in Web of Science</v>
      </c>
    </row>
    <row r="145" spans="1:72" x14ac:dyDescent="0.15">
      <c r="A145" t="s">
        <v>72</v>
      </c>
      <c r="B145" t="s">
        <v>3241</v>
      </c>
      <c r="C145" t="s">
        <v>74</v>
      </c>
      <c r="D145" t="s">
        <v>74</v>
      </c>
      <c r="E145" t="s">
        <v>74</v>
      </c>
      <c r="F145" t="s">
        <v>3242</v>
      </c>
      <c r="G145" t="s">
        <v>74</v>
      </c>
      <c r="H145" t="s">
        <v>74</v>
      </c>
      <c r="I145" t="s">
        <v>3243</v>
      </c>
      <c r="J145" t="s">
        <v>3244</v>
      </c>
      <c r="K145" t="s">
        <v>74</v>
      </c>
      <c r="L145" t="s">
        <v>74</v>
      </c>
      <c r="M145" t="s">
        <v>78</v>
      </c>
      <c r="N145" t="s">
        <v>79</v>
      </c>
      <c r="O145" t="s">
        <v>74</v>
      </c>
      <c r="P145" t="s">
        <v>74</v>
      </c>
      <c r="Q145" t="s">
        <v>74</v>
      </c>
      <c r="R145" t="s">
        <v>74</v>
      </c>
      <c r="S145" t="s">
        <v>74</v>
      </c>
      <c r="T145" t="s">
        <v>3245</v>
      </c>
      <c r="U145" t="s">
        <v>3246</v>
      </c>
      <c r="V145" t="s">
        <v>3247</v>
      </c>
      <c r="W145" t="s">
        <v>3248</v>
      </c>
      <c r="X145" t="s">
        <v>3249</v>
      </c>
      <c r="Y145" t="s">
        <v>3250</v>
      </c>
      <c r="Z145" t="s">
        <v>3251</v>
      </c>
      <c r="AA145" t="s">
        <v>3252</v>
      </c>
      <c r="AB145" t="s">
        <v>3253</v>
      </c>
      <c r="AC145" t="s">
        <v>3254</v>
      </c>
      <c r="AD145" t="s">
        <v>3255</v>
      </c>
      <c r="AE145" t="s">
        <v>3256</v>
      </c>
      <c r="AF145" t="s">
        <v>74</v>
      </c>
      <c r="AG145">
        <v>103</v>
      </c>
      <c r="AH145">
        <v>6</v>
      </c>
      <c r="AI145">
        <v>7</v>
      </c>
      <c r="AJ145">
        <v>3</v>
      </c>
      <c r="AK145">
        <v>33</v>
      </c>
      <c r="AL145" t="s">
        <v>275</v>
      </c>
      <c r="AM145" t="s">
        <v>276</v>
      </c>
      <c r="AN145" t="s">
        <v>277</v>
      </c>
      <c r="AO145" t="s">
        <v>3257</v>
      </c>
      <c r="AP145" t="s">
        <v>3258</v>
      </c>
      <c r="AQ145" t="s">
        <v>74</v>
      </c>
      <c r="AR145" t="s">
        <v>3244</v>
      </c>
      <c r="AS145" t="s">
        <v>3259</v>
      </c>
      <c r="AT145" t="s">
        <v>1212</v>
      </c>
      <c r="AU145">
        <v>2020</v>
      </c>
      <c r="AV145">
        <v>372</v>
      </c>
      <c r="AW145" t="s">
        <v>74</v>
      </c>
      <c r="AX145" t="s">
        <v>74</v>
      </c>
      <c r="AY145" t="s">
        <v>74</v>
      </c>
      <c r="AZ145" t="s">
        <v>74</v>
      </c>
      <c r="BA145" t="s">
        <v>74</v>
      </c>
      <c r="BB145" t="s">
        <v>74</v>
      </c>
      <c r="BC145" t="s">
        <v>74</v>
      </c>
      <c r="BD145">
        <v>105656</v>
      </c>
      <c r="BE145" t="s">
        <v>3260</v>
      </c>
      <c r="BF145" t="str">
        <f>HYPERLINK("http://dx.doi.org/10.1016/j.lithos.2020.105656","http://dx.doi.org/10.1016/j.lithos.2020.105656")</f>
        <v>http://dx.doi.org/10.1016/j.lithos.2020.105656</v>
      </c>
      <c r="BG145" t="s">
        <v>74</v>
      </c>
      <c r="BH145" t="s">
        <v>74</v>
      </c>
      <c r="BI145">
        <v>21</v>
      </c>
      <c r="BJ145" t="s">
        <v>1669</v>
      </c>
      <c r="BK145" t="s">
        <v>100</v>
      </c>
      <c r="BL145" t="s">
        <v>1669</v>
      </c>
      <c r="BM145" t="s">
        <v>3261</v>
      </c>
      <c r="BN145" t="s">
        <v>74</v>
      </c>
      <c r="BO145" t="s">
        <v>1259</v>
      </c>
      <c r="BP145" t="s">
        <v>74</v>
      </c>
      <c r="BQ145" t="s">
        <v>74</v>
      </c>
      <c r="BR145" t="s">
        <v>104</v>
      </c>
      <c r="BS145" t="s">
        <v>3262</v>
      </c>
      <c r="BT145" t="str">
        <f>HYPERLINK("https%3A%2F%2Fwww.webofscience.com%2Fwos%2Fwoscc%2Ffull-record%2FWOS:000571822300014","View Full Record in Web of Science")</f>
        <v>View Full Record in Web of Science</v>
      </c>
    </row>
    <row r="146" spans="1:72" x14ac:dyDescent="0.15">
      <c r="A146" t="s">
        <v>72</v>
      </c>
      <c r="B146" t="s">
        <v>3263</v>
      </c>
      <c r="C146" t="s">
        <v>74</v>
      </c>
      <c r="D146" t="s">
        <v>74</v>
      </c>
      <c r="E146" t="s">
        <v>74</v>
      </c>
      <c r="F146" t="s">
        <v>3264</v>
      </c>
      <c r="G146" t="s">
        <v>74</v>
      </c>
      <c r="H146" t="s">
        <v>74</v>
      </c>
      <c r="I146" t="s">
        <v>3265</v>
      </c>
      <c r="J146" t="s">
        <v>3266</v>
      </c>
      <c r="K146" t="s">
        <v>74</v>
      </c>
      <c r="L146" t="s">
        <v>74</v>
      </c>
      <c r="M146" t="s">
        <v>78</v>
      </c>
      <c r="N146" t="s">
        <v>79</v>
      </c>
      <c r="O146" t="s">
        <v>74</v>
      </c>
      <c r="P146" t="s">
        <v>74</v>
      </c>
      <c r="Q146" t="s">
        <v>74</v>
      </c>
      <c r="R146" t="s">
        <v>74</v>
      </c>
      <c r="S146" t="s">
        <v>74</v>
      </c>
      <c r="T146" t="s">
        <v>3267</v>
      </c>
      <c r="U146" t="s">
        <v>74</v>
      </c>
      <c r="V146" t="s">
        <v>3268</v>
      </c>
      <c r="W146" t="s">
        <v>3269</v>
      </c>
      <c r="X146" t="s">
        <v>3270</v>
      </c>
      <c r="Y146" t="s">
        <v>3271</v>
      </c>
      <c r="Z146" t="s">
        <v>3272</v>
      </c>
      <c r="AA146" t="s">
        <v>3273</v>
      </c>
      <c r="AB146" t="s">
        <v>3274</v>
      </c>
      <c r="AC146" t="s">
        <v>3275</v>
      </c>
      <c r="AD146" t="s">
        <v>3276</v>
      </c>
      <c r="AE146" t="s">
        <v>3277</v>
      </c>
      <c r="AF146" t="s">
        <v>74</v>
      </c>
      <c r="AG146">
        <v>25</v>
      </c>
      <c r="AH146">
        <v>10</v>
      </c>
      <c r="AI146">
        <v>12</v>
      </c>
      <c r="AJ146">
        <v>1</v>
      </c>
      <c r="AK146">
        <v>10</v>
      </c>
      <c r="AL146" t="s">
        <v>1572</v>
      </c>
      <c r="AM146" t="s">
        <v>1407</v>
      </c>
      <c r="AN146" t="s">
        <v>1573</v>
      </c>
      <c r="AO146" t="s">
        <v>3278</v>
      </c>
      <c r="AP146" t="s">
        <v>3279</v>
      </c>
      <c r="AQ146" t="s">
        <v>74</v>
      </c>
      <c r="AR146" t="s">
        <v>3280</v>
      </c>
      <c r="AS146" t="s">
        <v>3281</v>
      </c>
      <c r="AT146" t="s">
        <v>1212</v>
      </c>
      <c r="AU146">
        <v>2020</v>
      </c>
      <c r="AV146">
        <v>74</v>
      </c>
      <c r="AW146" t="s">
        <v>74</v>
      </c>
      <c r="AX146" t="s">
        <v>74</v>
      </c>
      <c r="AY146" t="s">
        <v>74</v>
      </c>
      <c r="AZ146" t="s">
        <v>74</v>
      </c>
      <c r="BA146" t="s">
        <v>74</v>
      </c>
      <c r="BB146" t="s">
        <v>74</v>
      </c>
      <c r="BC146" t="s">
        <v>74</v>
      </c>
      <c r="BD146">
        <v>102822</v>
      </c>
      <c r="BE146" t="s">
        <v>3282</v>
      </c>
      <c r="BF146" t="str">
        <f>HYPERLINK("http://dx.doi.org/10.1016/j.marstruc.2020.102822","http://dx.doi.org/10.1016/j.marstruc.2020.102822")</f>
        <v>http://dx.doi.org/10.1016/j.marstruc.2020.102822</v>
      </c>
      <c r="BG146" t="s">
        <v>74</v>
      </c>
      <c r="BH146" t="s">
        <v>74</v>
      </c>
      <c r="BI146">
        <v>19</v>
      </c>
      <c r="BJ146" t="s">
        <v>3283</v>
      </c>
      <c r="BK146" t="s">
        <v>100</v>
      </c>
      <c r="BL146" t="s">
        <v>3284</v>
      </c>
      <c r="BM146" t="s">
        <v>3285</v>
      </c>
      <c r="BN146" t="s">
        <v>74</v>
      </c>
      <c r="BO146" t="s">
        <v>1894</v>
      </c>
      <c r="BP146" t="s">
        <v>74</v>
      </c>
      <c r="BQ146" t="s">
        <v>74</v>
      </c>
      <c r="BR146" t="s">
        <v>104</v>
      </c>
      <c r="BS146" t="s">
        <v>3286</v>
      </c>
      <c r="BT146" t="str">
        <f>HYPERLINK("https%3A%2F%2Fwww.webofscience.com%2Fwos%2Fwoscc%2Ffull-record%2FWOS:000571518900001","View Full Record in Web of Science")</f>
        <v>View Full Record in Web of Science</v>
      </c>
    </row>
    <row r="147" spans="1:72" x14ac:dyDescent="0.15">
      <c r="A147" t="s">
        <v>72</v>
      </c>
      <c r="B147" t="s">
        <v>3287</v>
      </c>
      <c r="C147" t="s">
        <v>74</v>
      </c>
      <c r="D147" t="s">
        <v>74</v>
      </c>
      <c r="E147" t="s">
        <v>74</v>
      </c>
      <c r="F147" t="s">
        <v>3288</v>
      </c>
      <c r="G147" t="s">
        <v>74</v>
      </c>
      <c r="H147" t="s">
        <v>74</v>
      </c>
      <c r="I147" t="s">
        <v>3289</v>
      </c>
      <c r="J147" t="s">
        <v>3290</v>
      </c>
      <c r="K147" t="s">
        <v>74</v>
      </c>
      <c r="L147" t="s">
        <v>74</v>
      </c>
      <c r="M147" t="s">
        <v>78</v>
      </c>
      <c r="N147" t="s">
        <v>79</v>
      </c>
      <c r="O147" t="s">
        <v>74</v>
      </c>
      <c r="P147" t="s">
        <v>74</v>
      </c>
      <c r="Q147" t="s">
        <v>74</v>
      </c>
      <c r="R147" t="s">
        <v>74</v>
      </c>
      <c r="S147" t="s">
        <v>74</v>
      </c>
      <c r="T147" t="s">
        <v>3291</v>
      </c>
      <c r="U147" t="s">
        <v>3292</v>
      </c>
      <c r="V147" t="s">
        <v>3293</v>
      </c>
      <c r="W147" t="s">
        <v>3294</v>
      </c>
      <c r="X147" t="s">
        <v>3295</v>
      </c>
      <c r="Y147" t="s">
        <v>3296</v>
      </c>
      <c r="Z147" t="s">
        <v>3297</v>
      </c>
      <c r="AA147" t="s">
        <v>3298</v>
      </c>
      <c r="AB147" t="s">
        <v>3299</v>
      </c>
      <c r="AC147" t="s">
        <v>3300</v>
      </c>
      <c r="AD147" t="s">
        <v>3300</v>
      </c>
      <c r="AE147" t="s">
        <v>3301</v>
      </c>
      <c r="AF147" t="s">
        <v>74</v>
      </c>
      <c r="AG147">
        <v>131</v>
      </c>
      <c r="AH147">
        <v>29</v>
      </c>
      <c r="AI147">
        <v>30</v>
      </c>
      <c r="AJ147">
        <v>2</v>
      </c>
      <c r="AK147">
        <v>24</v>
      </c>
      <c r="AL147" t="s">
        <v>635</v>
      </c>
      <c r="AM147" t="s">
        <v>123</v>
      </c>
      <c r="AN147" t="s">
        <v>636</v>
      </c>
      <c r="AO147" t="s">
        <v>3302</v>
      </c>
      <c r="AP147" t="s">
        <v>3303</v>
      </c>
      <c r="AQ147" t="s">
        <v>74</v>
      </c>
      <c r="AR147" t="s">
        <v>3304</v>
      </c>
      <c r="AS147" t="s">
        <v>3305</v>
      </c>
      <c r="AT147" t="s">
        <v>1212</v>
      </c>
      <c r="AU147">
        <v>2020</v>
      </c>
      <c r="AV147">
        <v>115</v>
      </c>
      <c r="AW147" t="s">
        <v>74</v>
      </c>
      <c r="AX147" t="s">
        <v>74</v>
      </c>
      <c r="AY147" t="s">
        <v>74</v>
      </c>
      <c r="AZ147" t="s">
        <v>74</v>
      </c>
      <c r="BA147" t="s">
        <v>74</v>
      </c>
      <c r="BB147" t="s">
        <v>74</v>
      </c>
      <c r="BC147" t="s">
        <v>74</v>
      </c>
      <c r="BD147">
        <v>104547</v>
      </c>
      <c r="BE147" t="s">
        <v>3306</v>
      </c>
      <c r="BF147" t="str">
        <f>HYPERLINK("http://dx.doi.org/10.1016/j.cretres.2020.104547","http://dx.doi.org/10.1016/j.cretres.2020.104547")</f>
        <v>http://dx.doi.org/10.1016/j.cretres.2020.104547</v>
      </c>
      <c r="BG147" t="s">
        <v>74</v>
      </c>
      <c r="BH147" t="s">
        <v>74</v>
      </c>
      <c r="BI147">
        <v>24</v>
      </c>
      <c r="BJ147" t="s">
        <v>3307</v>
      </c>
      <c r="BK147" t="s">
        <v>100</v>
      </c>
      <c r="BL147" t="s">
        <v>3307</v>
      </c>
      <c r="BM147" t="s">
        <v>3308</v>
      </c>
      <c r="BN147" t="s">
        <v>74</v>
      </c>
      <c r="BO147" t="s">
        <v>1894</v>
      </c>
      <c r="BP147" t="s">
        <v>74</v>
      </c>
      <c r="BQ147" t="s">
        <v>74</v>
      </c>
      <c r="BR147" t="s">
        <v>104</v>
      </c>
      <c r="BS147" t="s">
        <v>3309</v>
      </c>
      <c r="BT147" t="str">
        <f>HYPERLINK("https%3A%2F%2Fwww.webofscience.com%2Fwos%2Fwoscc%2Ffull-record%2FWOS:000568766700004","View Full Record in Web of Science")</f>
        <v>View Full Record in Web of Science</v>
      </c>
    </row>
    <row r="148" spans="1:72" x14ac:dyDescent="0.15">
      <c r="A148" t="s">
        <v>72</v>
      </c>
      <c r="B148" t="s">
        <v>3310</v>
      </c>
      <c r="C148" t="s">
        <v>74</v>
      </c>
      <c r="D148" t="s">
        <v>74</v>
      </c>
      <c r="E148" t="s">
        <v>74</v>
      </c>
      <c r="F148" t="s">
        <v>3311</v>
      </c>
      <c r="G148" t="s">
        <v>74</v>
      </c>
      <c r="H148" t="s">
        <v>74</v>
      </c>
      <c r="I148" t="s">
        <v>3312</v>
      </c>
      <c r="J148" t="s">
        <v>263</v>
      </c>
      <c r="K148" t="s">
        <v>74</v>
      </c>
      <c r="L148" t="s">
        <v>74</v>
      </c>
      <c r="M148" t="s">
        <v>78</v>
      </c>
      <c r="N148" t="s">
        <v>79</v>
      </c>
      <c r="O148" t="s">
        <v>74</v>
      </c>
      <c r="P148" t="s">
        <v>74</v>
      </c>
      <c r="Q148" t="s">
        <v>74</v>
      </c>
      <c r="R148" t="s">
        <v>74</v>
      </c>
      <c r="S148" t="s">
        <v>74</v>
      </c>
      <c r="T148" t="s">
        <v>3313</v>
      </c>
      <c r="U148" t="s">
        <v>3314</v>
      </c>
      <c r="V148" t="s">
        <v>3315</v>
      </c>
      <c r="W148" t="s">
        <v>3316</v>
      </c>
      <c r="X148" t="s">
        <v>3317</v>
      </c>
      <c r="Y148" t="s">
        <v>3318</v>
      </c>
      <c r="Z148" t="s">
        <v>3319</v>
      </c>
      <c r="AA148" t="s">
        <v>3320</v>
      </c>
      <c r="AB148" t="s">
        <v>3321</v>
      </c>
      <c r="AC148" t="s">
        <v>3322</v>
      </c>
      <c r="AD148" t="s">
        <v>3323</v>
      </c>
      <c r="AE148" t="s">
        <v>3324</v>
      </c>
      <c r="AF148" t="s">
        <v>74</v>
      </c>
      <c r="AG148">
        <v>72</v>
      </c>
      <c r="AH148">
        <v>37</v>
      </c>
      <c r="AI148">
        <v>42</v>
      </c>
      <c r="AJ148">
        <v>26</v>
      </c>
      <c r="AK148">
        <v>126</v>
      </c>
      <c r="AL148" t="s">
        <v>275</v>
      </c>
      <c r="AM148" t="s">
        <v>276</v>
      </c>
      <c r="AN148" t="s">
        <v>277</v>
      </c>
      <c r="AO148" t="s">
        <v>278</v>
      </c>
      <c r="AP148" t="s">
        <v>279</v>
      </c>
      <c r="AQ148" t="s">
        <v>74</v>
      </c>
      <c r="AR148" t="s">
        <v>280</v>
      </c>
      <c r="AS148" t="s">
        <v>281</v>
      </c>
      <c r="AT148" t="s">
        <v>2066</v>
      </c>
      <c r="AU148">
        <v>2020</v>
      </c>
      <c r="AV148">
        <v>741</v>
      </c>
      <c r="AW148" t="s">
        <v>74</v>
      </c>
      <c r="AX148" t="s">
        <v>74</v>
      </c>
      <c r="AY148" t="s">
        <v>74</v>
      </c>
      <c r="AZ148" t="s">
        <v>74</v>
      </c>
      <c r="BA148" t="s">
        <v>74</v>
      </c>
      <c r="BB148" t="s">
        <v>74</v>
      </c>
      <c r="BC148" t="s">
        <v>74</v>
      </c>
      <c r="BD148">
        <v>140200</v>
      </c>
      <c r="BE148" t="s">
        <v>3325</v>
      </c>
      <c r="BF148" t="str">
        <f>HYPERLINK("http://dx.doi.org/10.1016/j.scitotenv.2020.140200","http://dx.doi.org/10.1016/j.scitotenv.2020.140200")</f>
        <v>http://dx.doi.org/10.1016/j.scitotenv.2020.140200</v>
      </c>
      <c r="BG148" t="s">
        <v>74</v>
      </c>
      <c r="BH148" t="s">
        <v>74</v>
      </c>
      <c r="BI148">
        <v>8</v>
      </c>
      <c r="BJ148" t="s">
        <v>283</v>
      </c>
      <c r="BK148" t="s">
        <v>100</v>
      </c>
      <c r="BL148" t="s">
        <v>284</v>
      </c>
      <c r="BM148" t="s">
        <v>3326</v>
      </c>
      <c r="BN148">
        <v>32599399</v>
      </c>
      <c r="BO148" t="s">
        <v>1188</v>
      </c>
      <c r="BP148" t="s">
        <v>74</v>
      </c>
      <c r="BQ148" t="s">
        <v>74</v>
      </c>
      <c r="BR148" t="s">
        <v>104</v>
      </c>
      <c r="BS148" t="s">
        <v>3327</v>
      </c>
      <c r="BT148" t="str">
        <f>HYPERLINK("https%3A%2F%2Fwww.webofscience.com%2Fwos%2Fwoscc%2Ffull-record%2FWOS:000568813100004","View Full Record in Web of Science")</f>
        <v>View Full Record in Web of Science</v>
      </c>
    </row>
    <row r="149" spans="1:72" x14ac:dyDescent="0.15">
      <c r="A149" t="s">
        <v>72</v>
      </c>
      <c r="B149" t="s">
        <v>3328</v>
      </c>
      <c r="C149" t="s">
        <v>74</v>
      </c>
      <c r="D149" t="s">
        <v>74</v>
      </c>
      <c r="E149" t="s">
        <v>74</v>
      </c>
      <c r="F149" t="s">
        <v>3329</v>
      </c>
      <c r="G149" t="s">
        <v>74</v>
      </c>
      <c r="H149" t="s">
        <v>74</v>
      </c>
      <c r="I149" t="s">
        <v>3330</v>
      </c>
      <c r="J149" t="s">
        <v>3331</v>
      </c>
      <c r="K149" t="s">
        <v>74</v>
      </c>
      <c r="L149" t="s">
        <v>74</v>
      </c>
      <c r="M149" t="s">
        <v>78</v>
      </c>
      <c r="N149" t="s">
        <v>79</v>
      </c>
      <c r="O149" t="s">
        <v>74</v>
      </c>
      <c r="P149" t="s">
        <v>74</v>
      </c>
      <c r="Q149" t="s">
        <v>74</v>
      </c>
      <c r="R149" t="s">
        <v>74</v>
      </c>
      <c r="S149" t="s">
        <v>74</v>
      </c>
      <c r="T149" t="s">
        <v>3332</v>
      </c>
      <c r="U149" t="s">
        <v>3333</v>
      </c>
      <c r="V149" t="s">
        <v>3334</v>
      </c>
      <c r="W149" t="s">
        <v>3335</v>
      </c>
      <c r="X149" t="s">
        <v>3336</v>
      </c>
      <c r="Y149" t="s">
        <v>3337</v>
      </c>
      <c r="Z149" t="s">
        <v>3338</v>
      </c>
      <c r="AA149" t="s">
        <v>74</v>
      </c>
      <c r="AB149" t="s">
        <v>74</v>
      </c>
      <c r="AC149" t="s">
        <v>3339</v>
      </c>
      <c r="AD149" t="s">
        <v>3340</v>
      </c>
      <c r="AE149" t="s">
        <v>3341</v>
      </c>
      <c r="AF149" t="s">
        <v>74</v>
      </c>
      <c r="AG149">
        <v>41</v>
      </c>
      <c r="AH149">
        <v>27</v>
      </c>
      <c r="AI149">
        <v>28</v>
      </c>
      <c r="AJ149">
        <v>11</v>
      </c>
      <c r="AK149">
        <v>134</v>
      </c>
      <c r="AL149" t="s">
        <v>1522</v>
      </c>
      <c r="AM149" t="s">
        <v>1407</v>
      </c>
      <c r="AN149" t="s">
        <v>1523</v>
      </c>
      <c r="AO149" t="s">
        <v>3342</v>
      </c>
      <c r="AP149" t="s">
        <v>3343</v>
      </c>
      <c r="AQ149" t="s">
        <v>74</v>
      </c>
      <c r="AR149" t="s">
        <v>3331</v>
      </c>
      <c r="AS149" t="s">
        <v>3344</v>
      </c>
      <c r="AT149" t="s">
        <v>1212</v>
      </c>
      <c r="AU149">
        <v>2020</v>
      </c>
      <c r="AV149">
        <v>258</v>
      </c>
      <c r="AW149" t="s">
        <v>74</v>
      </c>
      <c r="AX149" t="s">
        <v>74</v>
      </c>
      <c r="AY149" t="s">
        <v>74</v>
      </c>
      <c r="AZ149" t="s">
        <v>74</v>
      </c>
      <c r="BA149" t="s">
        <v>74</v>
      </c>
      <c r="BB149" t="s">
        <v>74</v>
      </c>
      <c r="BC149" t="s">
        <v>74</v>
      </c>
      <c r="BD149">
        <v>127359</v>
      </c>
      <c r="BE149" t="s">
        <v>3345</v>
      </c>
      <c r="BF149" t="str">
        <f>HYPERLINK("http://dx.doi.org/10.1016/j.chemosphere.2020.127359","http://dx.doi.org/10.1016/j.chemosphere.2020.127359")</f>
        <v>http://dx.doi.org/10.1016/j.chemosphere.2020.127359</v>
      </c>
      <c r="BG149" t="s">
        <v>74</v>
      </c>
      <c r="BH149" t="s">
        <v>74</v>
      </c>
      <c r="BI149">
        <v>7</v>
      </c>
      <c r="BJ149" t="s">
        <v>283</v>
      </c>
      <c r="BK149" t="s">
        <v>100</v>
      </c>
      <c r="BL149" t="s">
        <v>284</v>
      </c>
      <c r="BM149" t="s">
        <v>3346</v>
      </c>
      <c r="BN149">
        <v>32544807</v>
      </c>
      <c r="BO149" t="s">
        <v>74</v>
      </c>
      <c r="BP149" t="s">
        <v>74</v>
      </c>
      <c r="BQ149" t="s">
        <v>74</v>
      </c>
      <c r="BR149" t="s">
        <v>104</v>
      </c>
      <c r="BS149" t="s">
        <v>3347</v>
      </c>
      <c r="BT149" t="str">
        <f>HYPERLINK("https%3A%2F%2Fwww.webofscience.com%2Fwos%2Fwoscc%2Ffull-record%2FWOS:000566446500092","View Full Record in Web of Science")</f>
        <v>View Full Record in Web of Science</v>
      </c>
    </row>
    <row r="150" spans="1:72" x14ac:dyDescent="0.15">
      <c r="A150" t="s">
        <v>72</v>
      </c>
      <c r="B150" t="s">
        <v>3348</v>
      </c>
      <c r="C150" t="s">
        <v>74</v>
      </c>
      <c r="D150" t="s">
        <v>74</v>
      </c>
      <c r="E150" t="s">
        <v>74</v>
      </c>
      <c r="F150" t="s">
        <v>3349</v>
      </c>
      <c r="G150" t="s">
        <v>74</v>
      </c>
      <c r="H150" t="s">
        <v>74</v>
      </c>
      <c r="I150" t="s">
        <v>3350</v>
      </c>
      <c r="J150" t="s">
        <v>3351</v>
      </c>
      <c r="K150" t="s">
        <v>74</v>
      </c>
      <c r="L150" t="s">
        <v>74</v>
      </c>
      <c r="M150" t="s">
        <v>78</v>
      </c>
      <c r="N150" t="s">
        <v>79</v>
      </c>
      <c r="O150" t="s">
        <v>74</v>
      </c>
      <c r="P150" t="s">
        <v>74</v>
      </c>
      <c r="Q150" t="s">
        <v>74</v>
      </c>
      <c r="R150" t="s">
        <v>74</v>
      </c>
      <c r="S150" t="s">
        <v>74</v>
      </c>
      <c r="T150" t="s">
        <v>3352</v>
      </c>
      <c r="U150" t="s">
        <v>3353</v>
      </c>
      <c r="V150" t="s">
        <v>3354</v>
      </c>
      <c r="W150" t="s">
        <v>3355</v>
      </c>
      <c r="X150" t="s">
        <v>3356</v>
      </c>
      <c r="Y150" t="s">
        <v>3357</v>
      </c>
      <c r="Z150" t="s">
        <v>3358</v>
      </c>
      <c r="AA150" t="s">
        <v>3359</v>
      </c>
      <c r="AB150" t="s">
        <v>3360</v>
      </c>
      <c r="AC150" t="s">
        <v>3361</v>
      </c>
      <c r="AD150" t="s">
        <v>3362</v>
      </c>
      <c r="AE150" t="s">
        <v>3363</v>
      </c>
      <c r="AF150" t="s">
        <v>74</v>
      </c>
      <c r="AG150">
        <v>56</v>
      </c>
      <c r="AH150">
        <v>44</v>
      </c>
      <c r="AI150">
        <v>46</v>
      </c>
      <c r="AJ150">
        <v>0</v>
      </c>
      <c r="AK150">
        <v>13</v>
      </c>
      <c r="AL150" t="s">
        <v>275</v>
      </c>
      <c r="AM150" t="s">
        <v>276</v>
      </c>
      <c r="AN150" t="s">
        <v>277</v>
      </c>
      <c r="AO150" t="s">
        <v>3364</v>
      </c>
      <c r="AP150" t="s">
        <v>3365</v>
      </c>
      <c r="AQ150" t="s">
        <v>74</v>
      </c>
      <c r="AR150" t="s">
        <v>3366</v>
      </c>
      <c r="AS150" t="s">
        <v>3367</v>
      </c>
      <c r="AT150" t="s">
        <v>2066</v>
      </c>
      <c r="AU150">
        <v>2020</v>
      </c>
      <c r="AV150">
        <v>549</v>
      </c>
      <c r="AW150" t="s">
        <v>74</v>
      </c>
      <c r="AX150" t="s">
        <v>74</v>
      </c>
      <c r="AY150" t="s">
        <v>74</v>
      </c>
      <c r="AZ150" t="s">
        <v>74</v>
      </c>
      <c r="BA150" t="s">
        <v>74</v>
      </c>
      <c r="BB150" t="s">
        <v>74</v>
      </c>
      <c r="BC150" t="s">
        <v>74</v>
      </c>
      <c r="BD150">
        <v>116508</v>
      </c>
      <c r="BE150" t="s">
        <v>3368</v>
      </c>
      <c r="BF150" t="str">
        <f>HYPERLINK("http://dx.doi.org/10.1016/j.epsl.2020.116508","http://dx.doi.org/10.1016/j.epsl.2020.116508")</f>
        <v>http://dx.doi.org/10.1016/j.epsl.2020.116508</v>
      </c>
      <c r="BG150" t="s">
        <v>74</v>
      </c>
      <c r="BH150" t="s">
        <v>74</v>
      </c>
      <c r="BI150">
        <v>11</v>
      </c>
      <c r="BJ150" t="s">
        <v>1361</v>
      </c>
      <c r="BK150" t="s">
        <v>100</v>
      </c>
      <c r="BL150" t="s">
        <v>1361</v>
      </c>
      <c r="BM150" t="s">
        <v>3369</v>
      </c>
      <c r="BN150" t="s">
        <v>74</v>
      </c>
      <c r="BO150" t="s">
        <v>1188</v>
      </c>
      <c r="BP150" t="s">
        <v>74</v>
      </c>
      <c r="BQ150" t="s">
        <v>74</v>
      </c>
      <c r="BR150" t="s">
        <v>104</v>
      </c>
      <c r="BS150" t="s">
        <v>3370</v>
      </c>
      <c r="BT150" t="str">
        <f>HYPERLINK("https%3A%2F%2Fwww.webofscience.com%2Fwos%2Fwoscc%2Ffull-record%2FWOS:000566576500010","View Full Record in Web of Science")</f>
        <v>View Full Record in Web of Science</v>
      </c>
    </row>
    <row r="151" spans="1:72" x14ac:dyDescent="0.15">
      <c r="A151" t="s">
        <v>72</v>
      </c>
      <c r="B151" t="s">
        <v>3371</v>
      </c>
      <c r="C151" t="s">
        <v>74</v>
      </c>
      <c r="D151" t="s">
        <v>74</v>
      </c>
      <c r="E151" t="s">
        <v>74</v>
      </c>
      <c r="F151" t="s">
        <v>3372</v>
      </c>
      <c r="G151" t="s">
        <v>74</v>
      </c>
      <c r="H151" t="s">
        <v>74</v>
      </c>
      <c r="I151" t="s">
        <v>3373</v>
      </c>
      <c r="J151" t="s">
        <v>3374</v>
      </c>
      <c r="K151" t="s">
        <v>74</v>
      </c>
      <c r="L151" t="s">
        <v>74</v>
      </c>
      <c r="M151" t="s">
        <v>78</v>
      </c>
      <c r="N151" t="s">
        <v>79</v>
      </c>
      <c r="O151" t="s">
        <v>74</v>
      </c>
      <c r="P151" t="s">
        <v>74</v>
      </c>
      <c r="Q151" t="s">
        <v>74</v>
      </c>
      <c r="R151" t="s">
        <v>74</v>
      </c>
      <c r="S151" t="s">
        <v>74</v>
      </c>
      <c r="T151" t="s">
        <v>3375</v>
      </c>
      <c r="U151" t="s">
        <v>3376</v>
      </c>
      <c r="V151" t="s">
        <v>3377</v>
      </c>
      <c r="W151" t="s">
        <v>3378</v>
      </c>
      <c r="X151" t="s">
        <v>3379</v>
      </c>
      <c r="Y151" t="s">
        <v>3380</v>
      </c>
      <c r="Z151" t="s">
        <v>3381</v>
      </c>
      <c r="AA151" t="s">
        <v>3382</v>
      </c>
      <c r="AB151" t="s">
        <v>3383</v>
      </c>
      <c r="AC151" t="s">
        <v>3384</v>
      </c>
      <c r="AD151" t="s">
        <v>3385</v>
      </c>
      <c r="AE151" t="s">
        <v>3386</v>
      </c>
      <c r="AF151" t="s">
        <v>74</v>
      </c>
      <c r="AG151">
        <v>71</v>
      </c>
      <c r="AH151">
        <v>9</v>
      </c>
      <c r="AI151">
        <v>10</v>
      </c>
      <c r="AJ151">
        <v>2</v>
      </c>
      <c r="AK151">
        <v>22</v>
      </c>
      <c r="AL151" t="s">
        <v>275</v>
      </c>
      <c r="AM151" t="s">
        <v>276</v>
      </c>
      <c r="AN151" t="s">
        <v>277</v>
      </c>
      <c r="AO151" t="s">
        <v>3387</v>
      </c>
      <c r="AP151" t="s">
        <v>3388</v>
      </c>
      <c r="AQ151" t="s">
        <v>74</v>
      </c>
      <c r="AR151" t="s">
        <v>3389</v>
      </c>
      <c r="AS151" t="s">
        <v>3390</v>
      </c>
      <c r="AT151" t="s">
        <v>2066</v>
      </c>
      <c r="AU151">
        <v>2020</v>
      </c>
      <c r="AV151">
        <v>557</v>
      </c>
      <c r="AW151" t="s">
        <v>74</v>
      </c>
      <c r="AX151" t="s">
        <v>74</v>
      </c>
      <c r="AY151" t="s">
        <v>74</v>
      </c>
      <c r="AZ151" t="s">
        <v>74</v>
      </c>
      <c r="BA151" t="s">
        <v>74</v>
      </c>
      <c r="BB151" t="s">
        <v>74</v>
      </c>
      <c r="BC151" t="s">
        <v>74</v>
      </c>
      <c r="BD151">
        <v>109906</v>
      </c>
      <c r="BE151" t="s">
        <v>3391</v>
      </c>
      <c r="BF151" t="str">
        <f>HYPERLINK("http://dx.doi.org/10.1016/j.palaeo.2020.109906","http://dx.doi.org/10.1016/j.palaeo.2020.109906")</f>
        <v>http://dx.doi.org/10.1016/j.palaeo.2020.109906</v>
      </c>
      <c r="BG151" t="s">
        <v>74</v>
      </c>
      <c r="BH151" t="s">
        <v>74</v>
      </c>
      <c r="BI151">
        <v>14</v>
      </c>
      <c r="BJ151" t="s">
        <v>3392</v>
      </c>
      <c r="BK151" t="s">
        <v>100</v>
      </c>
      <c r="BL151" t="s">
        <v>3393</v>
      </c>
      <c r="BM151" t="s">
        <v>3394</v>
      </c>
      <c r="BN151" t="s">
        <v>74</v>
      </c>
      <c r="BO151" t="s">
        <v>74</v>
      </c>
      <c r="BP151" t="s">
        <v>74</v>
      </c>
      <c r="BQ151" t="s">
        <v>74</v>
      </c>
      <c r="BR151" t="s">
        <v>104</v>
      </c>
      <c r="BS151" t="s">
        <v>3395</v>
      </c>
      <c r="BT151" t="str">
        <f>HYPERLINK("https%3A%2F%2Fwww.webofscience.com%2Fwos%2Fwoscc%2Ffull-record%2FWOS:000565723200003","View Full Record in Web of Science")</f>
        <v>View Full Record in Web of Science</v>
      </c>
    </row>
    <row r="152" spans="1:72" x14ac:dyDescent="0.15">
      <c r="A152" t="s">
        <v>72</v>
      </c>
      <c r="B152" t="s">
        <v>3396</v>
      </c>
      <c r="C152" t="s">
        <v>74</v>
      </c>
      <c r="D152" t="s">
        <v>74</v>
      </c>
      <c r="E152" t="s">
        <v>74</v>
      </c>
      <c r="F152" t="s">
        <v>3397</v>
      </c>
      <c r="G152" t="s">
        <v>74</v>
      </c>
      <c r="H152" t="s">
        <v>74</v>
      </c>
      <c r="I152" t="s">
        <v>3398</v>
      </c>
      <c r="J152" t="s">
        <v>1010</v>
      </c>
      <c r="K152" t="s">
        <v>74</v>
      </c>
      <c r="L152" t="s">
        <v>74</v>
      </c>
      <c r="M152" t="s">
        <v>78</v>
      </c>
      <c r="N152" t="s">
        <v>79</v>
      </c>
      <c r="O152" t="s">
        <v>74</v>
      </c>
      <c r="P152" t="s">
        <v>74</v>
      </c>
      <c r="Q152" t="s">
        <v>74</v>
      </c>
      <c r="R152" t="s">
        <v>74</v>
      </c>
      <c r="S152" t="s">
        <v>74</v>
      </c>
      <c r="T152" t="s">
        <v>74</v>
      </c>
      <c r="U152" t="s">
        <v>3399</v>
      </c>
      <c r="V152" t="s">
        <v>3400</v>
      </c>
      <c r="W152" t="s">
        <v>3401</v>
      </c>
      <c r="X152" t="s">
        <v>3402</v>
      </c>
      <c r="Y152" t="s">
        <v>3403</v>
      </c>
      <c r="Z152" t="s">
        <v>3404</v>
      </c>
      <c r="AA152" t="s">
        <v>3405</v>
      </c>
      <c r="AB152" t="s">
        <v>3406</v>
      </c>
      <c r="AC152" t="s">
        <v>3407</v>
      </c>
      <c r="AD152" t="s">
        <v>3408</v>
      </c>
      <c r="AE152" t="s">
        <v>3409</v>
      </c>
      <c r="AF152" t="s">
        <v>74</v>
      </c>
      <c r="AG152">
        <v>58</v>
      </c>
      <c r="AH152">
        <v>6</v>
      </c>
      <c r="AI152">
        <v>6</v>
      </c>
      <c r="AJ152">
        <v>1</v>
      </c>
      <c r="AK152">
        <v>4</v>
      </c>
      <c r="AL152" t="s">
        <v>91</v>
      </c>
      <c r="AM152" t="s">
        <v>92</v>
      </c>
      <c r="AN152" t="s">
        <v>93</v>
      </c>
      <c r="AO152" t="s">
        <v>1022</v>
      </c>
      <c r="AP152" t="s">
        <v>1023</v>
      </c>
      <c r="AQ152" t="s">
        <v>74</v>
      </c>
      <c r="AR152" t="s">
        <v>1024</v>
      </c>
      <c r="AS152" t="s">
        <v>1025</v>
      </c>
      <c r="AT152" t="s">
        <v>3410</v>
      </c>
      <c r="AU152">
        <v>2020</v>
      </c>
      <c r="AV152">
        <v>20</v>
      </c>
      <c r="AW152">
        <v>21</v>
      </c>
      <c r="AX152" t="s">
        <v>74</v>
      </c>
      <c r="AY152" t="s">
        <v>74</v>
      </c>
      <c r="AZ152" t="s">
        <v>74</v>
      </c>
      <c r="BA152" t="s">
        <v>74</v>
      </c>
      <c r="BB152">
        <v>12483</v>
      </c>
      <c r="BC152">
        <v>12497</v>
      </c>
      <c r="BD152" t="s">
        <v>74</v>
      </c>
      <c r="BE152" t="s">
        <v>3411</v>
      </c>
      <c r="BF152" t="str">
        <f>HYPERLINK("http://dx.doi.org/10.5194/acp-20-12483-2020","http://dx.doi.org/10.5194/acp-20-12483-2020")</f>
        <v>http://dx.doi.org/10.5194/acp-20-12483-2020</v>
      </c>
      <c r="BG152" t="s">
        <v>74</v>
      </c>
      <c r="BH152" t="s">
        <v>74</v>
      </c>
      <c r="BI152">
        <v>15</v>
      </c>
      <c r="BJ152" t="s">
        <v>1027</v>
      </c>
      <c r="BK152" t="s">
        <v>100</v>
      </c>
      <c r="BL152" t="s">
        <v>1028</v>
      </c>
      <c r="BM152" t="s">
        <v>3412</v>
      </c>
      <c r="BN152" t="s">
        <v>74</v>
      </c>
      <c r="BO152" t="s">
        <v>3413</v>
      </c>
      <c r="BP152" t="s">
        <v>74</v>
      </c>
      <c r="BQ152" t="s">
        <v>74</v>
      </c>
      <c r="BR152" t="s">
        <v>104</v>
      </c>
      <c r="BS152" t="s">
        <v>3414</v>
      </c>
      <c r="BT152" t="str">
        <f>HYPERLINK("https%3A%2F%2Fwww.webofscience.com%2Fwos%2Fwoscc%2Ffull-record%2FWOS:000583695900002","View Full Record in Web of Science")</f>
        <v>View Full Record in Web of Science</v>
      </c>
    </row>
    <row r="153" spans="1:72" x14ac:dyDescent="0.15">
      <c r="A153" t="s">
        <v>72</v>
      </c>
      <c r="B153" t="s">
        <v>3415</v>
      </c>
      <c r="C153" t="s">
        <v>74</v>
      </c>
      <c r="D153" t="s">
        <v>74</v>
      </c>
      <c r="E153" t="s">
        <v>74</v>
      </c>
      <c r="F153" t="s">
        <v>3416</v>
      </c>
      <c r="G153" t="s">
        <v>74</v>
      </c>
      <c r="H153" t="s">
        <v>74</v>
      </c>
      <c r="I153" t="s">
        <v>3417</v>
      </c>
      <c r="J153" t="s">
        <v>235</v>
      </c>
      <c r="K153" t="s">
        <v>74</v>
      </c>
      <c r="L153" t="s">
        <v>74</v>
      </c>
      <c r="M153" t="s">
        <v>78</v>
      </c>
      <c r="N153" t="s">
        <v>79</v>
      </c>
      <c r="O153" t="s">
        <v>74</v>
      </c>
      <c r="P153" t="s">
        <v>74</v>
      </c>
      <c r="Q153" t="s">
        <v>74</v>
      </c>
      <c r="R153" t="s">
        <v>74</v>
      </c>
      <c r="S153" t="s">
        <v>74</v>
      </c>
      <c r="T153" t="s">
        <v>3418</v>
      </c>
      <c r="U153" t="s">
        <v>3419</v>
      </c>
      <c r="V153" t="s">
        <v>3420</v>
      </c>
      <c r="W153" t="s">
        <v>3421</v>
      </c>
      <c r="X153" t="s">
        <v>3422</v>
      </c>
      <c r="Y153" t="s">
        <v>3423</v>
      </c>
      <c r="Z153" t="s">
        <v>3424</v>
      </c>
      <c r="AA153" t="s">
        <v>3425</v>
      </c>
      <c r="AB153" t="s">
        <v>3426</v>
      </c>
      <c r="AC153" t="s">
        <v>3427</v>
      </c>
      <c r="AD153" t="s">
        <v>1758</v>
      </c>
      <c r="AE153" t="s">
        <v>74</v>
      </c>
      <c r="AF153" t="s">
        <v>74</v>
      </c>
      <c r="AG153">
        <v>37</v>
      </c>
      <c r="AH153">
        <v>37</v>
      </c>
      <c r="AI153">
        <v>37</v>
      </c>
      <c r="AJ153">
        <v>7</v>
      </c>
      <c r="AK153">
        <v>74</v>
      </c>
      <c r="AL153" t="s">
        <v>219</v>
      </c>
      <c r="AM153" t="s">
        <v>220</v>
      </c>
      <c r="AN153" t="s">
        <v>221</v>
      </c>
      <c r="AO153" t="s">
        <v>248</v>
      </c>
      <c r="AP153" t="s">
        <v>249</v>
      </c>
      <c r="AQ153" t="s">
        <v>74</v>
      </c>
      <c r="AR153" t="s">
        <v>250</v>
      </c>
      <c r="AS153" t="s">
        <v>251</v>
      </c>
      <c r="AT153" t="s">
        <v>252</v>
      </c>
      <c r="AU153">
        <v>2021</v>
      </c>
      <c r="AV153">
        <v>27</v>
      </c>
      <c r="AW153">
        <v>1</v>
      </c>
      <c r="AX153" t="s">
        <v>74</v>
      </c>
      <c r="AY153" t="s">
        <v>74</v>
      </c>
      <c r="AZ153" t="s">
        <v>74</v>
      </c>
      <c r="BA153" t="s">
        <v>74</v>
      </c>
      <c r="BB153">
        <v>5</v>
      </c>
      <c r="BC153">
        <v>12</v>
      </c>
      <c r="BD153" t="s">
        <v>74</v>
      </c>
      <c r="BE153" t="s">
        <v>3428</v>
      </c>
      <c r="BF153" t="str">
        <f>HYPERLINK("http://dx.doi.org/10.1111/gcb.15392","http://dx.doi.org/10.1111/gcb.15392")</f>
        <v>http://dx.doi.org/10.1111/gcb.15392</v>
      </c>
      <c r="BG153" t="s">
        <v>74</v>
      </c>
      <c r="BH153" t="s">
        <v>3429</v>
      </c>
      <c r="BI153">
        <v>8</v>
      </c>
      <c r="BJ153" t="s">
        <v>254</v>
      </c>
      <c r="BK153" t="s">
        <v>100</v>
      </c>
      <c r="BL153" t="s">
        <v>256</v>
      </c>
      <c r="BM153" t="s">
        <v>3430</v>
      </c>
      <c r="BN153">
        <v>33064891</v>
      </c>
      <c r="BO153" t="s">
        <v>3431</v>
      </c>
      <c r="BP153" t="s">
        <v>74</v>
      </c>
      <c r="BQ153" t="s">
        <v>74</v>
      </c>
      <c r="BR153" t="s">
        <v>104</v>
      </c>
      <c r="BS153" t="s">
        <v>3432</v>
      </c>
      <c r="BT153" t="str">
        <f>HYPERLINK("https%3A%2F%2Fwww.webofscience.com%2Fwos%2Fwoscc%2Ffull-record%2FWOS:000584470200001","View Full Record in Web of Science")</f>
        <v>View Full Record in Web of Science</v>
      </c>
    </row>
    <row r="154" spans="1:72" x14ac:dyDescent="0.15">
      <c r="A154" t="s">
        <v>72</v>
      </c>
      <c r="B154" t="s">
        <v>3433</v>
      </c>
      <c r="C154" t="s">
        <v>74</v>
      </c>
      <c r="D154" t="s">
        <v>74</v>
      </c>
      <c r="E154" t="s">
        <v>74</v>
      </c>
      <c r="F154" t="s">
        <v>3434</v>
      </c>
      <c r="G154" t="s">
        <v>74</v>
      </c>
      <c r="H154" t="s">
        <v>74</v>
      </c>
      <c r="I154" t="s">
        <v>3435</v>
      </c>
      <c r="J154" t="s">
        <v>901</v>
      </c>
      <c r="K154" t="s">
        <v>74</v>
      </c>
      <c r="L154" t="s">
        <v>74</v>
      </c>
      <c r="M154" t="s">
        <v>78</v>
      </c>
      <c r="N154" t="s">
        <v>79</v>
      </c>
      <c r="O154" t="s">
        <v>74</v>
      </c>
      <c r="P154" t="s">
        <v>74</v>
      </c>
      <c r="Q154" t="s">
        <v>74</v>
      </c>
      <c r="R154" t="s">
        <v>74</v>
      </c>
      <c r="S154" t="s">
        <v>74</v>
      </c>
      <c r="T154" t="s">
        <v>3436</v>
      </c>
      <c r="U154" t="s">
        <v>3437</v>
      </c>
      <c r="V154" t="s">
        <v>3438</v>
      </c>
      <c r="W154" t="s">
        <v>3439</v>
      </c>
      <c r="X154" t="s">
        <v>3440</v>
      </c>
      <c r="Y154" t="s">
        <v>3441</v>
      </c>
      <c r="Z154" t="s">
        <v>3442</v>
      </c>
      <c r="AA154" t="s">
        <v>3443</v>
      </c>
      <c r="AB154" t="s">
        <v>3444</v>
      </c>
      <c r="AC154" t="s">
        <v>3445</v>
      </c>
      <c r="AD154" t="s">
        <v>3446</v>
      </c>
      <c r="AE154" t="s">
        <v>3447</v>
      </c>
      <c r="AF154" t="s">
        <v>74</v>
      </c>
      <c r="AG154">
        <v>90</v>
      </c>
      <c r="AH154">
        <v>15</v>
      </c>
      <c r="AI154">
        <v>16</v>
      </c>
      <c r="AJ154">
        <v>2</v>
      </c>
      <c r="AK154">
        <v>17</v>
      </c>
      <c r="AL154" t="s">
        <v>866</v>
      </c>
      <c r="AM154" t="s">
        <v>867</v>
      </c>
      <c r="AN154" t="s">
        <v>868</v>
      </c>
      <c r="AO154" t="s">
        <v>74</v>
      </c>
      <c r="AP154" t="s">
        <v>914</v>
      </c>
      <c r="AQ154" t="s">
        <v>74</v>
      </c>
      <c r="AR154" t="s">
        <v>915</v>
      </c>
      <c r="AS154" t="s">
        <v>916</v>
      </c>
      <c r="AT154" t="s">
        <v>3448</v>
      </c>
      <c r="AU154">
        <v>2020</v>
      </c>
      <c r="AV154">
        <v>7</v>
      </c>
      <c r="AW154" t="s">
        <v>74</v>
      </c>
      <c r="AX154" t="s">
        <v>74</v>
      </c>
      <c r="AY154" t="s">
        <v>74</v>
      </c>
      <c r="AZ154" t="s">
        <v>74</v>
      </c>
      <c r="BA154" t="s">
        <v>74</v>
      </c>
      <c r="BB154" t="s">
        <v>74</v>
      </c>
      <c r="BC154" t="s">
        <v>74</v>
      </c>
      <c r="BD154">
        <v>577964</v>
      </c>
      <c r="BE154" t="s">
        <v>3449</v>
      </c>
      <c r="BF154" t="str">
        <f>HYPERLINK("http://dx.doi.org/10.3389/fmars.2020.577964","http://dx.doi.org/10.3389/fmars.2020.577964")</f>
        <v>http://dx.doi.org/10.3389/fmars.2020.577964</v>
      </c>
      <c r="BG154" t="s">
        <v>74</v>
      </c>
      <c r="BH154" t="s">
        <v>74</v>
      </c>
      <c r="BI154">
        <v>19</v>
      </c>
      <c r="BJ154" t="s">
        <v>918</v>
      </c>
      <c r="BK154" t="s">
        <v>255</v>
      </c>
      <c r="BL154" t="s">
        <v>919</v>
      </c>
      <c r="BM154" t="s">
        <v>3450</v>
      </c>
      <c r="BN154" t="s">
        <v>74</v>
      </c>
      <c r="BO154" t="s">
        <v>2113</v>
      </c>
      <c r="BP154" t="s">
        <v>74</v>
      </c>
      <c r="BQ154" t="s">
        <v>74</v>
      </c>
      <c r="BR154" t="s">
        <v>104</v>
      </c>
      <c r="BS154" t="s">
        <v>3451</v>
      </c>
      <c r="BT154" t="str">
        <f>HYPERLINK("https%3A%2F%2Fwww.webofscience.com%2Fwos%2Fwoscc%2Ffull-record%2FWOS:000589085400001","View Full Record in Web of Science")</f>
        <v>View Full Record in Web of Science</v>
      </c>
    </row>
    <row r="155" spans="1:72" x14ac:dyDescent="0.15">
      <c r="A155" t="s">
        <v>72</v>
      </c>
      <c r="B155" t="s">
        <v>3452</v>
      </c>
      <c r="C155" t="s">
        <v>74</v>
      </c>
      <c r="D155" t="s">
        <v>74</v>
      </c>
      <c r="E155" t="s">
        <v>74</v>
      </c>
      <c r="F155" t="s">
        <v>3453</v>
      </c>
      <c r="G155" t="s">
        <v>74</v>
      </c>
      <c r="H155" t="s">
        <v>74</v>
      </c>
      <c r="I155" t="s">
        <v>3454</v>
      </c>
      <c r="J155" t="s">
        <v>3455</v>
      </c>
      <c r="K155" t="s">
        <v>74</v>
      </c>
      <c r="L155" t="s">
        <v>74</v>
      </c>
      <c r="M155" t="s">
        <v>78</v>
      </c>
      <c r="N155" t="s">
        <v>79</v>
      </c>
      <c r="O155" t="s">
        <v>74</v>
      </c>
      <c r="P155" t="s">
        <v>74</v>
      </c>
      <c r="Q155" t="s">
        <v>74</v>
      </c>
      <c r="R155" t="s">
        <v>74</v>
      </c>
      <c r="S155" t="s">
        <v>74</v>
      </c>
      <c r="T155" t="s">
        <v>3456</v>
      </c>
      <c r="U155" t="s">
        <v>3457</v>
      </c>
      <c r="V155" t="s">
        <v>3458</v>
      </c>
      <c r="W155" t="s">
        <v>3459</v>
      </c>
      <c r="X155" t="s">
        <v>811</v>
      </c>
      <c r="Y155" t="s">
        <v>3460</v>
      </c>
      <c r="Z155" t="s">
        <v>3461</v>
      </c>
      <c r="AA155" t="s">
        <v>3462</v>
      </c>
      <c r="AB155" t="s">
        <v>3463</v>
      </c>
      <c r="AC155" t="s">
        <v>74</v>
      </c>
      <c r="AD155" t="s">
        <v>74</v>
      </c>
      <c r="AE155" t="s">
        <v>74</v>
      </c>
      <c r="AF155" t="s">
        <v>74</v>
      </c>
      <c r="AG155">
        <v>94</v>
      </c>
      <c r="AH155">
        <v>31</v>
      </c>
      <c r="AI155">
        <v>34</v>
      </c>
      <c r="AJ155">
        <v>1</v>
      </c>
      <c r="AK155">
        <v>24</v>
      </c>
      <c r="AL155" t="s">
        <v>3464</v>
      </c>
      <c r="AM155" t="s">
        <v>3465</v>
      </c>
      <c r="AN155" t="s">
        <v>3466</v>
      </c>
      <c r="AO155" t="s">
        <v>3467</v>
      </c>
      <c r="AP155" t="s">
        <v>3468</v>
      </c>
      <c r="AQ155" t="s">
        <v>74</v>
      </c>
      <c r="AR155" t="s">
        <v>3469</v>
      </c>
      <c r="AS155" t="s">
        <v>3470</v>
      </c>
      <c r="AT155" t="s">
        <v>3471</v>
      </c>
      <c r="AU155">
        <v>2020</v>
      </c>
      <c r="AV155">
        <v>653</v>
      </c>
      <c r="AW155" t="s">
        <v>74</v>
      </c>
      <c r="AX155" t="s">
        <v>74</v>
      </c>
      <c r="AY155" t="s">
        <v>74</v>
      </c>
      <c r="AZ155" t="s">
        <v>74</v>
      </c>
      <c r="BA155" t="s">
        <v>74</v>
      </c>
      <c r="BB155">
        <v>1</v>
      </c>
      <c r="BC155">
        <v>18</v>
      </c>
      <c r="BD155" t="s">
        <v>74</v>
      </c>
      <c r="BE155" t="s">
        <v>3472</v>
      </c>
      <c r="BF155" t="str">
        <f>HYPERLINK("http://dx.doi.org/10.3354/meps13510","http://dx.doi.org/10.3354/meps13510")</f>
        <v>http://dx.doi.org/10.3354/meps13510</v>
      </c>
      <c r="BG155" t="s">
        <v>74</v>
      </c>
      <c r="BH155" t="s">
        <v>74</v>
      </c>
      <c r="BI155">
        <v>18</v>
      </c>
      <c r="BJ155" t="s">
        <v>3473</v>
      </c>
      <c r="BK155" t="s">
        <v>100</v>
      </c>
      <c r="BL155" t="s">
        <v>3474</v>
      </c>
      <c r="BM155" t="s">
        <v>3475</v>
      </c>
      <c r="BN155" t="s">
        <v>74</v>
      </c>
      <c r="BO155" t="s">
        <v>3476</v>
      </c>
      <c r="BP155" t="s">
        <v>74</v>
      </c>
      <c r="BQ155" t="s">
        <v>74</v>
      </c>
      <c r="BR155" t="s">
        <v>104</v>
      </c>
      <c r="BS155" t="s">
        <v>3477</v>
      </c>
      <c r="BT155" t="str">
        <f>HYPERLINK("https%3A%2F%2Fwww.webofscience.com%2Fwos%2Fwoscc%2Ffull-record%2FWOS:000621235800001","View Full Record in Web of Science")</f>
        <v>View Full Record in Web of Science</v>
      </c>
    </row>
    <row r="156" spans="1:72" x14ac:dyDescent="0.15">
      <c r="A156" t="s">
        <v>72</v>
      </c>
      <c r="B156" t="s">
        <v>3478</v>
      </c>
      <c r="C156" t="s">
        <v>74</v>
      </c>
      <c r="D156" t="s">
        <v>74</v>
      </c>
      <c r="E156" t="s">
        <v>74</v>
      </c>
      <c r="F156" t="s">
        <v>3478</v>
      </c>
      <c r="G156" t="s">
        <v>74</v>
      </c>
      <c r="H156" t="s">
        <v>74</v>
      </c>
      <c r="I156" t="s">
        <v>3479</v>
      </c>
      <c r="J156" t="s">
        <v>3480</v>
      </c>
      <c r="K156" t="s">
        <v>74</v>
      </c>
      <c r="L156" t="s">
        <v>74</v>
      </c>
      <c r="M156" t="s">
        <v>78</v>
      </c>
      <c r="N156" t="s">
        <v>3481</v>
      </c>
      <c r="O156" t="s">
        <v>74</v>
      </c>
      <c r="P156" t="s">
        <v>74</v>
      </c>
      <c r="Q156" t="s">
        <v>74</v>
      </c>
      <c r="R156" t="s">
        <v>74</v>
      </c>
      <c r="S156" t="s">
        <v>74</v>
      </c>
      <c r="T156" t="s">
        <v>3482</v>
      </c>
      <c r="U156" t="s">
        <v>74</v>
      </c>
      <c r="V156" t="s">
        <v>3483</v>
      </c>
      <c r="W156" t="s">
        <v>74</v>
      </c>
      <c r="X156" t="s">
        <v>74</v>
      </c>
      <c r="Y156" t="s">
        <v>74</v>
      </c>
      <c r="Z156" t="s">
        <v>74</v>
      </c>
      <c r="AA156" t="s">
        <v>74</v>
      </c>
      <c r="AB156" t="s">
        <v>74</v>
      </c>
      <c r="AC156" t="s">
        <v>74</v>
      </c>
      <c r="AD156" t="s">
        <v>74</v>
      </c>
      <c r="AE156" t="s">
        <v>74</v>
      </c>
      <c r="AF156" t="s">
        <v>74</v>
      </c>
      <c r="AG156">
        <v>1</v>
      </c>
      <c r="AH156">
        <v>0</v>
      </c>
      <c r="AI156">
        <v>0</v>
      </c>
      <c r="AJ156">
        <v>0</v>
      </c>
      <c r="AK156">
        <v>2</v>
      </c>
      <c r="AL156" t="s">
        <v>321</v>
      </c>
      <c r="AM156" t="s">
        <v>322</v>
      </c>
      <c r="AN156" t="s">
        <v>323</v>
      </c>
      <c r="AO156" t="s">
        <v>3484</v>
      </c>
      <c r="AP156" t="s">
        <v>3485</v>
      </c>
      <c r="AQ156" t="s">
        <v>74</v>
      </c>
      <c r="AR156" t="s">
        <v>3480</v>
      </c>
      <c r="AS156" t="s">
        <v>3486</v>
      </c>
      <c r="AT156" t="s">
        <v>3471</v>
      </c>
      <c r="AU156">
        <v>2020</v>
      </c>
      <c r="AV156">
        <v>586</v>
      </c>
      <c r="AW156">
        <v>7831</v>
      </c>
      <c r="AX156" t="s">
        <v>74</v>
      </c>
      <c r="AY156" t="s">
        <v>74</v>
      </c>
      <c r="AZ156" t="s">
        <v>74</v>
      </c>
      <c r="BA156" t="s">
        <v>74</v>
      </c>
      <c r="BB156">
        <v>647</v>
      </c>
      <c r="BC156">
        <v>647</v>
      </c>
      <c r="BD156" t="s">
        <v>74</v>
      </c>
      <c r="BE156" t="s">
        <v>74</v>
      </c>
      <c r="BF156" t="s">
        <v>74</v>
      </c>
      <c r="BG156" t="s">
        <v>74</v>
      </c>
      <c r="BH156" t="s">
        <v>74</v>
      </c>
      <c r="BI156">
        <v>1</v>
      </c>
      <c r="BJ156" t="s">
        <v>329</v>
      </c>
      <c r="BK156" t="s">
        <v>255</v>
      </c>
      <c r="BL156" t="s">
        <v>330</v>
      </c>
      <c r="BM156" t="s">
        <v>3487</v>
      </c>
      <c r="BN156" t="s">
        <v>74</v>
      </c>
      <c r="BO156" t="s">
        <v>74</v>
      </c>
      <c r="BP156" t="s">
        <v>74</v>
      </c>
      <c r="BQ156" t="s">
        <v>74</v>
      </c>
      <c r="BR156" t="s">
        <v>104</v>
      </c>
      <c r="BS156" t="s">
        <v>3488</v>
      </c>
      <c r="BT156" t="str">
        <f>HYPERLINK("https%3A%2F%2Fwww.webofscience.com%2Fwos%2Fwoscc%2Ffull-record%2FWOS:000584755500004","View Full Record in Web of Science")</f>
        <v>View Full Record in Web of Science</v>
      </c>
    </row>
    <row r="157" spans="1:72" x14ac:dyDescent="0.15">
      <c r="A157" t="s">
        <v>72</v>
      </c>
      <c r="B157" t="s">
        <v>3489</v>
      </c>
      <c r="C157" t="s">
        <v>74</v>
      </c>
      <c r="D157" t="s">
        <v>74</v>
      </c>
      <c r="E157" t="s">
        <v>74</v>
      </c>
      <c r="F157" t="s">
        <v>3490</v>
      </c>
      <c r="G157" t="s">
        <v>74</v>
      </c>
      <c r="H157" t="s">
        <v>74</v>
      </c>
      <c r="I157" t="s">
        <v>3491</v>
      </c>
      <c r="J157" t="s">
        <v>3492</v>
      </c>
      <c r="K157" t="s">
        <v>74</v>
      </c>
      <c r="L157" t="s">
        <v>74</v>
      </c>
      <c r="M157" t="s">
        <v>78</v>
      </c>
      <c r="N157" t="s">
        <v>79</v>
      </c>
      <c r="O157" t="s">
        <v>74</v>
      </c>
      <c r="P157" t="s">
        <v>74</v>
      </c>
      <c r="Q157" t="s">
        <v>74</v>
      </c>
      <c r="R157" t="s">
        <v>74</v>
      </c>
      <c r="S157" t="s">
        <v>74</v>
      </c>
      <c r="T157" t="s">
        <v>3493</v>
      </c>
      <c r="U157" t="s">
        <v>3494</v>
      </c>
      <c r="V157" t="s">
        <v>3495</v>
      </c>
      <c r="W157" t="s">
        <v>3496</v>
      </c>
      <c r="X157" t="s">
        <v>3497</v>
      </c>
      <c r="Y157" t="s">
        <v>3498</v>
      </c>
      <c r="Z157" t="s">
        <v>3499</v>
      </c>
      <c r="AA157" t="s">
        <v>3500</v>
      </c>
      <c r="AB157" t="s">
        <v>3501</v>
      </c>
      <c r="AC157" t="s">
        <v>3502</v>
      </c>
      <c r="AD157" t="s">
        <v>3503</v>
      </c>
      <c r="AE157" t="s">
        <v>3504</v>
      </c>
      <c r="AF157" t="s">
        <v>74</v>
      </c>
      <c r="AG157">
        <v>83</v>
      </c>
      <c r="AH157">
        <v>5</v>
      </c>
      <c r="AI157">
        <v>5</v>
      </c>
      <c r="AJ157">
        <v>2</v>
      </c>
      <c r="AK157">
        <v>15</v>
      </c>
      <c r="AL157" t="s">
        <v>866</v>
      </c>
      <c r="AM157" t="s">
        <v>867</v>
      </c>
      <c r="AN157" t="s">
        <v>868</v>
      </c>
      <c r="AO157" t="s">
        <v>74</v>
      </c>
      <c r="AP157" t="s">
        <v>3505</v>
      </c>
      <c r="AQ157" t="s">
        <v>74</v>
      </c>
      <c r="AR157" t="s">
        <v>3506</v>
      </c>
      <c r="AS157" t="s">
        <v>3507</v>
      </c>
      <c r="AT157" t="s">
        <v>3471</v>
      </c>
      <c r="AU157">
        <v>2020</v>
      </c>
      <c r="AV157">
        <v>8</v>
      </c>
      <c r="AW157" t="s">
        <v>74</v>
      </c>
      <c r="AX157" t="s">
        <v>74</v>
      </c>
      <c r="AY157" t="s">
        <v>74</v>
      </c>
      <c r="AZ157" t="s">
        <v>74</v>
      </c>
      <c r="BA157" t="s">
        <v>74</v>
      </c>
      <c r="BB157" t="s">
        <v>74</v>
      </c>
      <c r="BC157" t="s">
        <v>74</v>
      </c>
      <c r="BD157">
        <v>553506</v>
      </c>
      <c r="BE157" t="s">
        <v>3508</v>
      </c>
      <c r="BF157" t="str">
        <f>HYPERLINK("http://dx.doi.org/10.3389/feart.2020.553506","http://dx.doi.org/10.3389/feart.2020.553506")</f>
        <v>http://dx.doi.org/10.3389/feart.2020.553506</v>
      </c>
      <c r="BG157" t="s">
        <v>74</v>
      </c>
      <c r="BH157" t="s">
        <v>74</v>
      </c>
      <c r="BI157">
        <v>12</v>
      </c>
      <c r="BJ157" t="s">
        <v>534</v>
      </c>
      <c r="BK157" t="s">
        <v>100</v>
      </c>
      <c r="BL157" t="s">
        <v>535</v>
      </c>
      <c r="BM157" t="s">
        <v>3509</v>
      </c>
      <c r="BN157" t="s">
        <v>74</v>
      </c>
      <c r="BO157" t="s">
        <v>202</v>
      </c>
      <c r="BP157" t="s">
        <v>74</v>
      </c>
      <c r="BQ157" t="s">
        <v>74</v>
      </c>
      <c r="BR157" t="s">
        <v>104</v>
      </c>
      <c r="BS157" t="s">
        <v>3510</v>
      </c>
      <c r="BT157" t="str">
        <f>HYPERLINK("https%3A%2F%2Fwww.webofscience.com%2Fwos%2Fwoscc%2Ffull-record%2FWOS:000590071400001","View Full Record in Web of Science")</f>
        <v>View Full Record in Web of Science</v>
      </c>
    </row>
    <row r="158" spans="1:72" x14ac:dyDescent="0.15">
      <c r="A158" t="s">
        <v>72</v>
      </c>
      <c r="B158" t="s">
        <v>3511</v>
      </c>
      <c r="C158" t="s">
        <v>74</v>
      </c>
      <c r="D158" t="s">
        <v>74</v>
      </c>
      <c r="E158" t="s">
        <v>74</v>
      </c>
      <c r="F158" t="s">
        <v>3512</v>
      </c>
      <c r="G158" t="s">
        <v>74</v>
      </c>
      <c r="H158" t="s">
        <v>74</v>
      </c>
      <c r="I158" t="s">
        <v>3513</v>
      </c>
      <c r="J158" t="s">
        <v>969</v>
      </c>
      <c r="K158" t="s">
        <v>74</v>
      </c>
      <c r="L158" t="s">
        <v>74</v>
      </c>
      <c r="M158" t="s">
        <v>78</v>
      </c>
      <c r="N158" t="s">
        <v>79</v>
      </c>
      <c r="O158" t="s">
        <v>74</v>
      </c>
      <c r="P158" t="s">
        <v>74</v>
      </c>
      <c r="Q158" t="s">
        <v>74</v>
      </c>
      <c r="R158" t="s">
        <v>74</v>
      </c>
      <c r="S158" t="s">
        <v>74</v>
      </c>
      <c r="T158" t="s">
        <v>74</v>
      </c>
      <c r="U158" t="s">
        <v>3514</v>
      </c>
      <c r="V158" t="s">
        <v>3515</v>
      </c>
      <c r="W158" t="s">
        <v>3516</v>
      </c>
      <c r="X158" t="s">
        <v>74</v>
      </c>
      <c r="Y158" t="s">
        <v>3517</v>
      </c>
      <c r="Z158" t="s">
        <v>3518</v>
      </c>
      <c r="AA158" t="s">
        <v>3519</v>
      </c>
      <c r="AB158" t="s">
        <v>3520</v>
      </c>
      <c r="AC158" t="s">
        <v>3521</v>
      </c>
      <c r="AD158" t="s">
        <v>3522</v>
      </c>
      <c r="AE158" t="s">
        <v>3523</v>
      </c>
      <c r="AF158" t="s">
        <v>74</v>
      </c>
      <c r="AG158">
        <v>93</v>
      </c>
      <c r="AH158">
        <v>8</v>
      </c>
      <c r="AI158">
        <v>9</v>
      </c>
      <c r="AJ158">
        <v>1</v>
      </c>
      <c r="AK158">
        <v>7</v>
      </c>
      <c r="AL158" t="s">
        <v>91</v>
      </c>
      <c r="AM158" t="s">
        <v>92</v>
      </c>
      <c r="AN158" t="s">
        <v>93</v>
      </c>
      <c r="AO158" t="s">
        <v>981</v>
      </c>
      <c r="AP158" t="s">
        <v>982</v>
      </c>
      <c r="AQ158" t="s">
        <v>74</v>
      </c>
      <c r="AR158" t="s">
        <v>983</v>
      </c>
      <c r="AS158" t="s">
        <v>984</v>
      </c>
      <c r="AT158" t="s">
        <v>3471</v>
      </c>
      <c r="AU158">
        <v>2020</v>
      </c>
      <c r="AV158">
        <v>38</v>
      </c>
      <c r="AW158">
        <v>5</v>
      </c>
      <c r="AX158" t="s">
        <v>74</v>
      </c>
      <c r="AY158" t="s">
        <v>74</v>
      </c>
      <c r="AZ158" t="s">
        <v>74</v>
      </c>
      <c r="BA158" t="s">
        <v>74</v>
      </c>
      <c r="BB158">
        <v>1123</v>
      </c>
      <c r="BC158">
        <v>1138</v>
      </c>
      <c r="BD158" t="s">
        <v>74</v>
      </c>
      <c r="BE158" t="s">
        <v>3524</v>
      </c>
      <c r="BF158" t="str">
        <f>HYPERLINK("http://dx.doi.org/10.5194/angeo-38-1123-2020","http://dx.doi.org/10.5194/angeo-38-1123-2020")</f>
        <v>http://dx.doi.org/10.5194/angeo-38-1123-2020</v>
      </c>
      <c r="BG158" t="s">
        <v>74</v>
      </c>
      <c r="BH158" t="s">
        <v>74</v>
      </c>
      <c r="BI158">
        <v>16</v>
      </c>
      <c r="BJ158" t="s">
        <v>986</v>
      </c>
      <c r="BK158" t="s">
        <v>100</v>
      </c>
      <c r="BL158" t="s">
        <v>987</v>
      </c>
      <c r="BM158" t="s">
        <v>3525</v>
      </c>
      <c r="BN158" t="s">
        <v>74</v>
      </c>
      <c r="BO158" t="s">
        <v>677</v>
      </c>
      <c r="BP158" t="s">
        <v>74</v>
      </c>
      <c r="BQ158" t="s">
        <v>74</v>
      </c>
      <c r="BR158" t="s">
        <v>104</v>
      </c>
      <c r="BS158" t="s">
        <v>3526</v>
      </c>
      <c r="BT158" t="str">
        <f>HYPERLINK("https%3A%2F%2Fwww.webofscience.com%2Fwos%2Fwoscc%2Ffull-record%2FWOS:000587421800001","View Full Record in Web of Science")</f>
        <v>View Full Record in Web of Science</v>
      </c>
    </row>
    <row r="159" spans="1:72" x14ac:dyDescent="0.15">
      <c r="A159" t="s">
        <v>72</v>
      </c>
      <c r="B159" t="s">
        <v>3527</v>
      </c>
      <c r="C159" t="s">
        <v>74</v>
      </c>
      <c r="D159" t="s">
        <v>74</v>
      </c>
      <c r="E159" t="s">
        <v>74</v>
      </c>
      <c r="F159" t="s">
        <v>3528</v>
      </c>
      <c r="G159" t="s">
        <v>74</v>
      </c>
      <c r="H159" t="s">
        <v>74</v>
      </c>
      <c r="I159" t="s">
        <v>3529</v>
      </c>
      <c r="J159" t="s">
        <v>1010</v>
      </c>
      <c r="K159" t="s">
        <v>74</v>
      </c>
      <c r="L159" t="s">
        <v>74</v>
      </c>
      <c r="M159" t="s">
        <v>78</v>
      </c>
      <c r="N159" t="s">
        <v>79</v>
      </c>
      <c r="O159" t="s">
        <v>74</v>
      </c>
      <c r="P159" t="s">
        <v>74</v>
      </c>
      <c r="Q159" t="s">
        <v>74</v>
      </c>
      <c r="R159" t="s">
        <v>74</v>
      </c>
      <c r="S159" t="s">
        <v>74</v>
      </c>
      <c r="T159" t="s">
        <v>74</v>
      </c>
      <c r="U159" t="s">
        <v>3530</v>
      </c>
      <c r="V159" t="s">
        <v>3531</v>
      </c>
      <c r="W159" t="s">
        <v>3532</v>
      </c>
      <c r="X159" t="s">
        <v>3533</v>
      </c>
      <c r="Y159" t="s">
        <v>3534</v>
      </c>
      <c r="Z159" t="s">
        <v>3535</v>
      </c>
      <c r="AA159" t="s">
        <v>3536</v>
      </c>
      <c r="AB159" t="s">
        <v>3537</v>
      </c>
      <c r="AC159" t="s">
        <v>3538</v>
      </c>
      <c r="AD159" t="s">
        <v>3539</v>
      </c>
      <c r="AE159" t="s">
        <v>3540</v>
      </c>
      <c r="AF159" t="s">
        <v>74</v>
      </c>
      <c r="AG159">
        <v>73</v>
      </c>
      <c r="AH159">
        <v>5</v>
      </c>
      <c r="AI159">
        <v>5</v>
      </c>
      <c r="AJ159">
        <v>3</v>
      </c>
      <c r="AK159">
        <v>9</v>
      </c>
      <c r="AL159" t="s">
        <v>91</v>
      </c>
      <c r="AM159" t="s">
        <v>92</v>
      </c>
      <c r="AN159" t="s">
        <v>93</v>
      </c>
      <c r="AO159" t="s">
        <v>1022</v>
      </c>
      <c r="AP159" t="s">
        <v>1023</v>
      </c>
      <c r="AQ159" t="s">
        <v>74</v>
      </c>
      <c r="AR159" t="s">
        <v>1024</v>
      </c>
      <c r="AS159" t="s">
        <v>1025</v>
      </c>
      <c r="AT159" t="s">
        <v>3471</v>
      </c>
      <c r="AU159">
        <v>2020</v>
      </c>
      <c r="AV159">
        <v>20</v>
      </c>
      <c r="AW159">
        <v>20</v>
      </c>
      <c r="AX159" t="s">
        <v>74</v>
      </c>
      <c r="AY159" t="s">
        <v>74</v>
      </c>
      <c r="AZ159" t="s">
        <v>74</v>
      </c>
      <c r="BA159" t="s">
        <v>74</v>
      </c>
      <c r="BB159">
        <v>12285</v>
      </c>
      <c r="BC159">
        <v>12312</v>
      </c>
      <c r="BD159" t="s">
        <v>74</v>
      </c>
      <c r="BE159" t="s">
        <v>3541</v>
      </c>
      <c r="BF159" t="str">
        <f>HYPERLINK("http://dx.doi.org/10.5194/acp-20-12285-2020","http://dx.doi.org/10.5194/acp-20-12285-2020")</f>
        <v>http://dx.doi.org/10.5194/acp-20-12285-2020</v>
      </c>
      <c r="BG159" t="s">
        <v>74</v>
      </c>
      <c r="BH159" t="s">
        <v>74</v>
      </c>
      <c r="BI159">
        <v>28</v>
      </c>
      <c r="BJ159" t="s">
        <v>1027</v>
      </c>
      <c r="BK159" t="s">
        <v>100</v>
      </c>
      <c r="BL159" t="s">
        <v>1028</v>
      </c>
      <c r="BM159" t="s">
        <v>3542</v>
      </c>
      <c r="BN159" t="s">
        <v>74</v>
      </c>
      <c r="BO159" t="s">
        <v>350</v>
      </c>
      <c r="BP159" t="s">
        <v>74</v>
      </c>
      <c r="BQ159" t="s">
        <v>74</v>
      </c>
      <c r="BR159" t="s">
        <v>104</v>
      </c>
      <c r="BS159" t="s">
        <v>3543</v>
      </c>
      <c r="BT159" t="str">
        <f>HYPERLINK("https%3A%2F%2Fwww.webofscience.com%2Fwos%2Fwoscc%2Ffull-record%2FWOS:000583032000001","View Full Record in Web of Science")</f>
        <v>View Full Record in Web of Science</v>
      </c>
    </row>
    <row r="160" spans="1:72" x14ac:dyDescent="0.15">
      <c r="A160" t="s">
        <v>72</v>
      </c>
      <c r="B160" t="s">
        <v>3544</v>
      </c>
      <c r="C160" t="s">
        <v>74</v>
      </c>
      <c r="D160" t="s">
        <v>74</v>
      </c>
      <c r="E160" t="s">
        <v>74</v>
      </c>
      <c r="F160" t="s">
        <v>3545</v>
      </c>
      <c r="G160" t="s">
        <v>74</v>
      </c>
      <c r="H160" t="s">
        <v>74</v>
      </c>
      <c r="I160" t="s">
        <v>3546</v>
      </c>
      <c r="J160" t="s">
        <v>3547</v>
      </c>
      <c r="K160" t="s">
        <v>74</v>
      </c>
      <c r="L160" t="s">
        <v>74</v>
      </c>
      <c r="M160" t="s">
        <v>78</v>
      </c>
      <c r="N160" t="s">
        <v>79</v>
      </c>
      <c r="O160" t="s">
        <v>74</v>
      </c>
      <c r="P160" t="s">
        <v>74</v>
      </c>
      <c r="Q160" t="s">
        <v>74</v>
      </c>
      <c r="R160" t="s">
        <v>74</v>
      </c>
      <c r="S160" t="s">
        <v>74</v>
      </c>
      <c r="T160" t="s">
        <v>3548</v>
      </c>
      <c r="U160" t="s">
        <v>3549</v>
      </c>
      <c r="V160" t="s">
        <v>3550</v>
      </c>
      <c r="W160" t="s">
        <v>3551</v>
      </c>
      <c r="X160" t="s">
        <v>3552</v>
      </c>
      <c r="Y160" t="s">
        <v>3553</v>
      </c>
      <c r="Z160" t="s">
        <v>3554</v>
      </c>
      <c r="AA160" t="s">
        <v>3555</v>
      </c>
      <c r="AB160" t="s">
        <v>3556</v>
      </c>
      <c r="AC160" t="s">
        <v>3557</v>
      </c>
      <c r="AD160" t="s">
        <v>3558</v>
      </c>
      <c r="AE160" t="s">
        <v>3559</v>
      </c>
      <c r="AF160" t="s">
        <v>74</v>
      </c>
      <c r="AG160">
        <v>77</v>
      </c>
      <c r="AH160">
        <v>7</v>
      </c>
      <c r="AI160">
        <v>8</v>
      </c>
      <c r="AJ160">
        <v>2</v>
      </c>
      <c r="AK160">
        <v>21</v>
      </c>
      <c r="AL160" t="s">
        <v>482</v>
      </c>
      <c r="AM160" t="s">
        <v>554</v>
      </c>
      <c r="AN160" t="s">
        <v>555</v>
      </c>
      <c r="AO160" t="s">
        <v>3560</v>
      </c>
      <c r="AP160" t="s">
        <v>3561</v>
      </c>
      <c r="AQ160" t="s">
        <v>74</v>
      </c>
      <c r="AR160" t="s">
        <v>3562</v>
      </c>
      <c r="AS160" t="s">
        <v>3563</v>
      </c>
      <c r="AT160" t="s">
        <v>462</v>
      </c>
      <c r="AU160">
        <v>2021</v>
      </c>
      <c r="AV160">
        <v>23</v>
      </c>
      <c r="AW160">
        <v>3</v>
      </c>
      <c r="AX160" t="s">
        <v>74</v>
      </c>
      <c r="AY160" t="s">
        <v>74</v>
      </c>
      <c r="AZ160" t="s">
        <v>74</v>
      </c>
      <c r="BA160" t="s">
        <v>74</v>
      </c>
      <c r="BB160">
        <v>677</v>
      </c>
      <c r="BC160">
        <v>691</v>
      </c>
      <c r="BD160" t="s">
        <v>74</v>
      </c>
      <c r="BE160" t="s">
        <v>3564</v>
      </c>
      <c r="BF160" t="str">
        <f>HYPERLINK("http://dx.doi.org/10.1007/s10530-020-02394-3","http://dx.doi.org/10.1007/s10530-020-02394-3")</f>
        <v>http://dx.doi.org/10.1007/s10530-020-02394-3</v>
      </c>
      <c r="BG160" t="s">
        <v>74</v>
      </c>
      <c r="BH160" t="s">
        <v>3429</v>
      </c>
      <c r="BI160">
        <v>15</v>
      </c>
      <c r="BJ160" t="s">
        <v>1080</v>
      </c>
      <c r="BK160" t="s">
        <v>100</v>
      </c>
      <c r="BL160" t="s">
        <v>256</v>
      </c>
      <c r="BM160" t="s">
        <v>3565</v>
      </c>
      <c r="BN160" t="s">
        <v>74</v>
      </c>
      <c r="BO160" t="s">
        <v>74</v>
      </c>
      <c r="BP160" t="s">
        <v>74</v>
      </c>
      <c r="BQ160" t="s">
        <v>74</v>
      </c>
      <c r="BR160" t="s">
        <v>104</v>
      </c>
      <c r="BS160" t="s">
        <v>3566</v>
      </c>
      <c r="BT160" t="str">
        <f>HYPERLINK("https%3A%2F%2Fwww.webofscience.com%2Fwos%2Fwoscc%2Ffull-record%2FWOS:000584996200001","View Full Record in Web of Science")</f>
        <v>View Full Record in Web of Science</v>
      </c>
    </row>
    <row r="161" spans="1:72" x14ac:dyDescent="0.15">
      <c r="A161" t="s">
        <v>72</v>
      </c>
      <c r="B161" t="s">
        <v>3567</v>
      </c>
      <c r="C161" t="s">
        <v>74</v>
      </c>
      <c r="D161" t="s">
        <v>74</v>
      </c>
      <c r="E161" t="s">
        <v>74</v>
      </c>
      <c r="F161" t="s">
        <v>3568</v>
      </c>
      <c r="G161" t="s">
        <v>74</v>
      </c>
      <c r="H161" t="s">
        <v>74</v>
      </c>
      <c r="I161" t="s">
        <v>3569</v>
      </c>
      <c r="J161" t="s">
        <v>3570</v>
      </c>
      <c r="K161" t="s">
        <v>74</v>
      </c>
      <c r="L161" t="s">
        <v>74</v>
      </c>
      <c r="M161" t="s">
        <v>78</v>
      </c>
      <c r="N161" t="s">
        <v>79</v>
      </c>
      <c r="O161" t="s">
        <v>74</v>
      </c>
      <c r="P161" t="s">
        <v>74</v>
      </c>
      <c r="Q161" t="s">
        <v>74</v>
      </c>
      <c r="R161" t="s">
        <v>74</v>
      </c>
      <c r="S161" t="s">
        <v>74</v>
      </c>
      <c r="T161" t="s">
        <v>3571</v>
      </c>
      <c r="U161" t="s">
        <v>3572</v>
      </c>
      <c r="V161" t="s">
        <v>3573</v>
      </c>
      <c r="W161" t="s">
        <v>3574</v>
      </c>
      <c r="X161" t="s">
        <v>3575</v>
      </c>
      <c r="Y161" t="s">
        <v>3576</v>
      </c>
      <c r="Z161" t="s">
        <v>3577</v>
      </c>
      <c r="AA161" t="s">
        <v>3578</v>
      </c>
      <c r="AB161" t="s">
        <v>3579</v>
      </c>
      <c r="AC161" t="s">
        <v>3580</v>
      </c>
      <c r="AD161" t="s">
        <v>3581</v>
      </c>
      <c r="AE161" t="s">
        <v>3582</v>
      </c>
      <c r="AF161" t="s">
        <v>74</v>
      </c>
      <c r="AG161">
        <v>15</v>
      </c>
      <c r="AH161">
        <v>1</v>
      </c>
      <c r="AI161">
        <v>1</v>
      </c>
      <c r="AJ161">
        <v>3</v>
      </c>
      <c r="AK161">
        <v>11</v>
      </c>
      <c r="AL161" t="s">
        <v>3583</v>
      </c>
      <c r="AM161" t="s">
        <v>3584</v>
      </c>
      <c r="AN161" t="s">
        <v>3585</v>
      </c>
      <c r="AO161" t="s">
        <v>3586</v>
      </c>
      <c r="AP161" t="s">
        <v>3587</v>
      </c>
      <c r="AQ161" t="s">
        <v>74</v>
      </c>
      <c r="AR161" t="s">
        <v>3570</v>
      </c>
      <c r="AS161" t="s">
        <v>3588</v>
      </c>
      <c r="AT161" t="s">
        <v>3589</v>
      </c>
      <c r="AU161">
        <v>2021</v>
      </c>
      <c r="AV161">
        <v>22</v>
      </c>
      <c r="AW161">
        <v>1</v>
      </c>
      <c r="AX161" t="s">
        <v>74</v>
      </c>
      <c r="AY161" t="s">
        <v>74</v>
      </c>
      <c r="AZ161" t="s">
        <v>74</v>
      </c>
      <c r="BA161" t="s">
        <v>74</v>
      </c>
      <c r="BB161">
        <v>147</v>
      </c>
      <c r="BC161">
        <v>150</v>
      </c>
      <c r="BD161" t="s">
        <v>74</v>
      </c>
      <c r="BE161" t="s">
        <v>3590</v>
      </c>
      <c r="BF161" t="str">
        <f>HYPERLINK("http://dx.doi.org/10.1002/cbic.202000597","http://dx.doi.org/10.1002/cbic.202000597")</f>
        <v>http://dx.doi.org/10.1002/cbic.202000597</v>
      </c>
      <c r="BG161" t="s">
        <v>74</v>
      </c>
      <c r="BH161" t="s">
        <v>3429</v>
      </c>
      <c r="BI161">
        <v>4</v>
      </c>
      <c r="BJ161" t="s">
        <v>3591</v>
      </c>
      <c r="BK161" t="s">
        <v>100</v>
      </c>
      <c r="BL161" t="s">
        <v>3592</v>
      </c>
      <c r="BM161" t="s">
        <v>3593</v>
      </c>
      <c r="BN161">
        <v>32965769</v>
      </c>
      <c r="BO161" t="s">
        <v>74</v>
      </c>
      <c r="BP161" t="s">
        <v>74</v>
      </c>
      <c r="BQ161" t="s">
        <v>74</v>
      </c>
      <c r="BR161" t="s">
        <v>104</v>
      </c>
      <c r="BS161" t="s">
        <v>3594</v>
      </c>
      <c r="BT161" t="str">
        <f>HYPERLINK("https%3A%2F%2Fwww.webofscience.com%2Fwos%2Fwoscc%2Ffull-record%2FWOS:000584763300001","View Full Record in Web of Science")</f>
        <v>View Full Record in Web of Science</v>
      </c>
    </row>
    <row r="162" spans="1:72" x14ac:dyDescent="0.15">
      <c r="A162" t="s">
        <v>72</v>
      </c>
      <c r="B162" t="s">
        <v>3595</v>
      </c>
      <c r="C162" t="s">
        <v>74</v>
      </c>
      <c r="D162" t="s">
        <v>74</v>
      </c>
      <c r="E162" t="s">
        <v>74</v>
      </c>
      <c r="F162" t="s">
        <v>3596</v>
      </c>
      <c r="G162" t="s">
        <v>74</v>
      </c>
      <c r="H162" t="s">
        <v>74</v>
      </c>
      <c r="I162" t="s">
        <v>3597</v>
      </c>
      <c r="J162" t="s">
        <v>3598</v>
      </c>
      <c r="K162" t="s">
        <v>74</v>
      </c>
      <c r="L162" t="s">
        <v>74</v>
      </c>
      <c r="M162" t="s">
        <v>78</v>
      </c>
      <c r="N162" t="s">
        <v>79</v>
      </c>
      <c r="O162" t="s">
        <v>74</v>
      </c>
      <c r="P162" t="s">
        <v>74</v>
      </c>
      <c r="Q162" t="s">
        <v>74</v>
      </c>
      <c r="R162" t="s">
        <v>74</v>
      </c>
      <c r="S162" t="s">
        <v>74</v>
      </c>
      <c r="T162" t="s">
        <v>3599</v>
      </c>
      <c r="U162" t="s">
        <v>3600</v>
      </c>
      <c r="V162" t="s">
        <v>3601</v>
      </c>
      <c r="W162" t="s">
        <v>3602</v>
      </c>
      <c r="X162" t="s">
        <v>1268</v>
      </c>
      <c r="Y162" t="s">
        <v>3603</v>
      </c>
      <c r="Z162" t="s">
        <v>3604</v>
      </c>
      <c r="AA162" t="s">
        <v>3605</v>
      </c>
      <c r="AB162" t="s">
        <v>3606</v>
      </c>
      <c r="AC162" t="s">
        <v>3607</v>
      </c>
      <c r="AD162" t="s">
        <v>3608</v>
      </c>
      <c r="AE162" t="s">
        <v>3609</v>
      </c>
      <c r="AF162" t="s">
        <v>74</v>
      </c>
      <c r="AG162">
        <v>10</v>
      </c>
      <c r="AH162">
        <v>6</v>
      </c>
      <c r="AI162">
        <v>6</v>
      </c>
      <c r="AJ162">
        <v>1</v>
      </c>
      <c r="AK162">
        <v>5</v>
      </c>
      <c r="AL162" t="s">
        <v>482</v>
      </c>
      <c r="AM162" t="s">
        <v>483</v>
      </c>
      <c r="AN162" t="s">
        <v>484</v>
      </c>
      <c r="AO162" t="s">
        <v>3610</v>
      </c>
      <c r="AP162" t="s">
        <v>74</v>
      </c>
      <c r="AQ162" t="s">
        <v>74</v>
      </c>
      <c r="AR162" t="s">
        <v>3611</v>
      </c>
      <c r="AS162" t="s">
        <v>3612</v>
      </c>
      <c r="AT162" t="s">
        <v>3471</v>
      </c>
      <c r="AU162">
        <v>2020</v>
      </c>
      <c r="AV162">
        <v>7</v>
      </c>
      <c r="AW162">
        <v>1</v>
      </c>
      <c r="AX162" t="s">
        <v>74</v>
      </c>
      <c r="AY162" t="s">
        <v>74</v>
      </c>
      <c r="AZ162" t="s">
        <v>74</v>
      </c>
      <c r="BA162" t="s">
        <v>74</v>
      </c>
      <c r="BB162" t="s">
        <v>74</v>
      </c>
      <c r="BC162" t="s">
        <v>74</v>
      </c>
      <c r="BD162">
        <v>16</v>
      </c>
      <c r="BE162" t="s">
        <v>3613</v>
      </c>
      <c r="BF162" t="str">
        <f>HYPERLINK("http://dx.doi.org/10.1186/s40562-020-00166-4","http://dx.doi.org/10.1186/s40562-020-00166-4")</f>
        <v>http://dx.doi.org/10.1186/s40562-020-00166-4</v>
      </c>
      <c r="BG162" t="s">
        <v>74</v>
      </c>
      <c r="BH162" t="s">
        <v>74</v>
      </c>
      <c r="BI162">
        <v>9</v>
      </c>
      <c r="BJ162" t="s">
        <v>3614</v>
      </c>
      <c r="BK162" t="s">
        <v>100</v>
      </c>
      <c r="BL162" t="s">
        <v>3615</v>
      </c>
      <c r="BM162" t="s">
        <v>3616</v>
      </c>
      <c r="BN162" t="s">
        <v>74</v>
      </c>
      <c r="BO162" t="s">
        <v>677</v>
      </c>
      <c r="BP162" t="s">
        <v>74</v>
      </c>
      <c r="BQ162" t="s">
        <v>74</v>
      </c>
      <c r="BR162" t="s">
        <v>104</v>
      </c>
      <c r="BS162" t="s">
        <v>3617</v>
      </c>
      <c r="BT162" t="str">
        <f>HYPERLINK("https%3A%2F%2Fwww.webofscience.com%2Fwos%2Fwoscc%2Ffull-record%2FWOS:000582923700001","View Full Record in Web of Science")</f>
        <v>View Full Record in Web of Science</v>
      </c>
    </row>
    <row r="163" spans="1:72" x14ac:dyDescent="0.15">
      <c r="A163" t="s">
        <v>72</v>
      </c>
      <c r="B163" t="s">
        <v>3618</v>
      </c>
      <c r="C163" t="s">
        <v>74</v>
      </c>
      <c r="D163" t="s">
        <v>74</v>
      </c>
      <c r="E163" t="s">
        <v>74</v>
      </c>
      <c r="F163" t="s">
        <v>3619</v>
      </c>
      <c r="G163" t="s">
        <v>74</v>
      </c>
      <c r="H163" t="s">
        <v>74</v>
      </c>
      <c r="I163" t="s">
        <v>3620</v>
      </c>
      <c r="J163" t="s">
        <v>3621</v>
      </c>
      <c r="K163" t="s">
        <v>74</v>
      </c>
      <c r="L163" t="s">
        <v>74</v>
      </c>
      <c r="M163" t="s">
        <v>78</v>
      </c>
      <c r="N163" t="s">
        <v>79</v>
      </c>
      <c r="O163" t="s">
        <v>74</v>
      </c>
      <c r="P163" t="s">
        <v>74</v>
      </c>
      <c r="Q163" t="s">
        <v>74</v>
      </c>
      <c r="R163" t="s">
        <v>74</v>
      </c>
      <c r="S163" t="s">
        <v>74</v>
      </c>
      <c r="T163" t="s">
        <v>74</v>
      </c>
      <c r="U163" t="s">
        <v>3622</v>
      </c>
      <c r="V163" t="s">
        <v>3623</v>
      </c>
      <c r="W163" t="s">
        <v>3624</v>
      </c>
      <c r="X163" t="s">
        <v>3625</v>
      </c>
      <c r="Y163" t="s">
        <v>3626</v>
      </c>
      <c r="Z163" t="s">
        <v>3627</v>
      </c>
      <c r="AA163" t="s">
        <v>3628</v>
      </c>
      <c r="AB163" t="s">
        <v>3629</v>
      </c>
      <c r="AC163" t="s">
        <v>3630</v>
      </c>
      <c r="AD163" t="s">
        <v>3631</v>
      </c>
      <c r="AE163" t="s">
        <v>3632</v>
      </c>
      <c r="AF163" t="s">
        <v>74</v>
      </c>
      <c r="AG163">
        <v>58</v>
      </c>
      <c r="AH163">
        <v>8</v>
      </c>
      <c r="AI163">
        <v>9</v>
      </c>
      <c r="AJ163">
        <v>2</v>
      </c>
      <c r="AK163">
        <v>15</v>
      </c>
      <c r="AL163" t="s">
        <v>1047</v>
      </c>
      <c r="AM163" t="s">
        <v>1048</v>
      </c>
      <c r="AN163" t="s">
        <v>1049</v>
      </c>
      <c r="AO163" t="s">
        <v>3633</v>
      </c>
      <c r="AP163" t="s">
        <v>3634</v>
      </c>
      <c r="AQ163" t="s">
        <v>74</v>
      </c>
      <c r="AR163" t="s">
        <v>3635</v>
      </c>
      <c r="AS163" t="s">
        <v>3636</v>
      </c>
      <c r="AT163" t="s">
        <v>1054</v>
      </c>
      <c r="AU163">
        <v>2020</v>
      </c>
      <c r="AV163">
        <v>70</v>
      </c>
      <c r="AW163">
        <v>12</v>
      </c>
      <c r="AX163" t="s">
        <v>74</v>
      </c>
      <c r="AY163" t="s">
        <v>74</v>
      </c>
      <c r="AZ163" t="s">
        <v>74</v>
      </c>
      <c r="BA163" t="s">
        <v>74</v>
      </c>
      <c r="BB163">
        <v>1324</v>
      </c>
      <c r="BC163">
        <v>1339</v>
      </c>
      <c r="BD163" t="s">
        <v>74</v>
      </c>
      <c r="BE163" t="s">
        <v>3637</v>
      </c>
      <c r="BF163" t="str">
        <f>HYPERLINK("http://dx.doi.org/10.1080/10962247.2020.1811800","http://dx.doi.org/10.1080/10962247.2020.1811800")</f>
        <v>http://dx.doi.org/10.1080/10962247.2020.1811800</v>
      </c>
      <c r="BG163" t="s">
        <v>74</v>
      </c>
      <c r="BH163" t="s">
        <v>3429</v>
      </c>
      <c r="BI163">
        <v>16</v>
      </c>
      <c r="BJ163" t="s">
        <v>3638</v>
      </c>
      <c r="BK163" t="s">
        <v>100</v>
      </c>
      <c r="BL163" t="s">
        <v>3639</v>
      </c>
      <c r="BM163" t="s">
        <v>3640</v>
      </c>
      <c r="BN163">
        <v>32915694</v>
      </c>
      <c r="BO163" t="s">
        <v>3641</v>
      </c>
      <c r="BP163" t="s">
        <v>74</v>
      </c>
      <c r="BQ163" t="s">
        <v>74</v>
      </c>
      <c r="BR163" t="s">
        <v>104</v>
      </c>
      <c r="BS163" t="s">
        <v>3642</v>
      </c>
      <c r="BT163" t="str">
        <f>HYPERLINK("https%3A%2F%2Fwww.webofscience.com%2Fwos%2Fwoscc%2Ffull-record%2FWOS:000582930600001","View Full Record in Web of Science")</f>
        <v>View Full Record in Web of Science</v>
      </c>
    </row>
    <row r="164" spans="1:72" x14ac:dyDescent="0.15">
      <c r="A164" t="s">
        <v>72</v>
      </c>
      <c r="B164" t="s">
        <v>3643</v>
      </c>
      <c r="C164" t="s">
        <v>74</v>
      </c>
      <c r="D164" t="s">
        <v>74</v>
      </c>
      <c r="E164" t="s">
        <v>74</v>
      </c>
      <c r="F164" t="s">
        <v>3644</v>
      </c>
      <c r="G164" t="s">
        <v>74</v>
      </c>
      <c r="H164" t="s">
        <v>74</v>
      </c>
      <c r="I164" t="s">
        <v>3645</v>
      </c>
      <c r="J164" t="s">
        <v>3480</v>
      </c>
      <c r="K164" t="s">
        <v>74</v>
      </c>
      <c r="L164" t="s">
        <v>74</v>
      </c>
      <c r="M164" t="s">
        <v>78</v>
      </c>
      <c r="N164" t="s">
        <v>79</v>
      </c>
      <c r="O164" t="s">
        <v>74</v>
      </c>
      <c r="P164" t="s">
        <v>74</v>
      </c>
      <c r="Q164" t="s">
        <v>74</v>
      </c>
      <c r="R164" t="s">
        <v>74</v>
      </c>
      <c r="S164" t="s">
        <v>74</v>
      </c>
      <c r="T164" t="s">
        <v>74</v>
      </c>
      <c r="U164" t="s">
        <v>3646</v>
      </c>
      <c r="V164" t="s">
        <v>3647</v>
      </c>
      <c r="W164" t="s">
        <v>3648</v>
      </c>
      <c r="X164" t="s">
        <v>3649</v>
      </c>
      <c r="Y164" t="s">
        <v>3650</v>
      </c>
      <c r="Z164" t="s">
        <v>3651</v>
      </c>
      <c r="AA164" t="s">
        <v>3652</v>
      </c>
      <c r="AB164" t="s">
        <v>3653</v>
      </c>
      <c r="AC164" t="s">
        <v>3654</v>
      </c>
      <c r="AD164" t="s">
        <v>74</v>
      </c>
      <c r="AE164" t="s">
        <v>3655</v>
      </c>
      <c r="AF164" t="s">
        <v>74</v>
      </c>
      <c r="AG164">
        <v>86</v>
      </c>
      <c r="AH164">
        <v>447</v>
      </c>
      <c r="AI164">
        <v>489</v>
      </c>
      <c r="AJ164">
        <v>104</v>
      </c>
      <c r="AK164">
        <v>658</v>
      </c>
      <c r="AL164" t="s">
        <v>413</v>
      </c>
      <c r="AM164" t="s">
        <v>322</v>
      </c>
      <c r="AN164" t="s">
        <v>323</v>
      </c>
      <c r="AO164" t="s">
        <v>3484</v>
      </c>
      <c r="AP164" t="s">
        <v>3485</v>
      </c>
      <c r="AQ164" t="s">
        <v>74</v>
      </c>
      <c r="AR164" t="s">
        <v>3480</v>
      </c>
      <c r="AS164" t="s">
        <v>3486</v>
      </c>
      <c r="AT164" t="s">
        <v>3471</v>
      </c>
      <c r="AU164">
        <v>2020</v>
      </c>
      <c r="AV164">
        <v>586</v>
      </c>
      <c r="AW164">
        <v>7831</v>
      </c>
      <c r="AX164" t="s">
        <v>74</v>
      </c>
      <c r="AY164" t="s">
        <v>74</v>
      </c>
      <c r="AZ164" t="s">
        <v>74</v>
      </c>
      <c r="BA164" t="s">
        <v>74</v>
      </c>
      <c r="BB164">
        <v>724</v>
      </c>
      <c r="BC164" t="s">
        <v>614</v>
      </c>
      <c r="BD164" t="s">
        <v>74</v>
      </c>
      <c r="BE164" t="s">
        <v>3656</v>
      </c>
      <c r="BF164" t="str">
        <f>HYPERLINK("http://dx.doi.org/10.1038/s41586-020-2784-9","http://dx.doi.org/10.1038/s41586-020-2784-9")</f>
        <v>http://dx.doi.org/10.1038/s41586-020-2784-9</v>
      </c>
      <c r="BG164" t="s">
        <v>74</v>
      </c>
      <c r="BH164" t="s">
        <v>74</v>
      </c>
      <c r="BI164">
        <v>24</v>
      </c>
      <c r="BJ164" t="s">
        <v>329</v>
      </c>
      <c r="BK164" t="s">
        <v>100</v>
      </c>
      <c r="BL164" t="s">
        <v>330</v>
      </c>
      <c r="BM164" t="s">
        <v>3657</v>
      </c>
      <c r="BN164">
        <v>33057198</v>
      </c>
      <c r="BO164" t="s">
        <v>1259</v>
      </c>
      <c r="BP164" t="s">
        <v>417</v>
      </c>
      <c r="BQ164" t="s">
        <v>418</v>
      </c>
      <c r="BR164" t="s">
        <v>104</v>
      </c>
      <c r="BS164" t="s">
        <v>3658</v>
      </c>
      <c r="BT164" t="str">
        <f>HYPERLINK("https%3A%2F%2Fwww.webofscience.com%2Fwos%2Fwoscc%2Ffull-record%2FWOS:000617160800001","View Full Record in Web of Science")</f>
        <v>View Full Record in Web of Science</v>
      </c>
    </row>
    <row r="165" spans="1:72" x14ac:dyDescent="0.15">
      <c r="A165" t="s">
        <v>72</v>
      </c>
      <c r="B165" t="s">
        <v>3659</v>
      </c>
      <c r="C165" t="s">
        <v>74</v>
      </c>
      <c r="D165" t="s">
        <v>74</v>
      </c>
      <c r="E165" t="s">
        <v>74</v>
      </c>
      <c r="F165" t="s">
        <v>3660</v>
      </c>
      <c r="G165" t="s">
        <v>74</v>
      </c>
      <c r="H165" t="s">
        <v>74</v>
      </c>
      <c r="I165" t="s">
        <v>3661</v>
      </c>
      <c r="J165" t="s">
        <v>3662</v>
      </c>
      <c r="K165" t="s">
        <v>74</v>
      </c>
      <c r="L165" t="s">
        <v>74</v>
      </c>
      <c r="M165" t="s">
        <v>78</v>
      </c>
      <c r="N165" t="s">
        <v>79</v>
      </c>
      <c r="O165" t="s">
        <v>74</v>
      </c>
      <c r="P165" t="s">
        <v>74</v>
      </c>
      <c r="Q165" t="s">
        <v>74</v>
      </c>
      <c r="R165" t="s">
        <v>74</v>
      </c>
      <c r="S165" t="s">
        <v>74</v>
      </c>
      <c r="T165" t="s">
        <v>3663</v>
      </c>
      <c r="U165" t="s">
        <v>3664</v>
      </c>
      <c r="V165" t="s">
        <v>3665</v>
      </c>
      <c r="W165" t="s">
        <v>3666</v>
      </c>
      <c r="X165" t="s">
        <v>3667</v>
      </c>
      <c r="Y165" t="s">
        <v>3668</v>
      </c>
      <c r="Z165" t="s">
        <v>3669</v>
      </c>
      <c r="AA165" t="s">
        <v>74</v>
      </c>
      <c r="AB165" t="s">
        <v>74</v>
      </c>
      <c r="AC165" t="s">
        <v>3670</v>
      </c>
      <c r="AD165" t="s">
        <v>3670</v>
      </c>
      <c r="AE165" t="s">
        <v>3671</v>
      </c>
      <c r="AF165" t="s">
        <v>74</v>
      </c>
      <c r="AG165">
        <v>44</v>
      </c>
      <c r="AH165">
        <v>3</v>
      </c>
      <c r="AI165">
        <v>3</v>
      </c>
      <c r="AJ165">
        <v>1</v>
      </c>
      <c r="AK165">
        <v>19</v>
      </c>
      <c r="AL165" t="s">
        <v>3672</v>
      </c>
      <c r="AM165" t="s">
        <v>3673</v>
      </c>
      <c r="AN165" t="s">
        <v>3674</v>
      </c>
      <c r="AO165" t="s">
        <v>3675</v>
      </c>
      <c r="AP165" t="s">
        <v>3676</v>
      </c>
      <c r="AQ165" t="s">
        <v>74</v>
      </c>
      <c r="AR165" t="s">
        <v>3662</v>
      </c>
      <c r="AS165" t="s">
        <v>3677</v>
      </c>
      <c r="AT165" t="s">
        <v>3678</v>
      </c>
      <c r="AU165">
        <v>2021</v>
      </c>
      <c r="AV165">
        <v>21</v>
      </c>
      <c r="AW165">
        <v>2</v>
      </c>
      <c r="AX165" t="s">
        <v>74</v>
      </c>
      <c r="AY165" t="s">
        <v>74</v>
      </c>
      <c r="AZ165" t="s">
        <v>74</v>
      </c>
      <c r="BA165" t="s">
        <v>74</v>
      </c>
      <c r="BB165">
        <v>165</v>
      </c>
      <c r="BC165">
        <v>176</v>
      </c>
      <c r="BD165" t="s">
        <v>74</v>
      </c>
      <c r="BE165" t="s">
        <v>3679</v>
      </c>
      <c r="BF165" t="str">
        <f>HYPERLINK("http://dx.doi.org/10.1089/ast.2019.2109","http://dx.doi.org/10.1089/ast.2019.2109")</f>
        <v>http://dx.doi.org/10.1089/ast.2019.2109</v>
      </c>
      <c r="BG165" t="s">
        <v>74</v>
      </c>
      <c r="BH165" t="s">
        <v>3429</v>
      </c>
      <c r="BI165">
        <v>12</v>
      </c>
      <c r="BJ165" t="s">
        <v>3680</v>
      </c>
      <c r="BK165" t="s">
        <v>100</v>
      </c>
      <c r="BL165" t="s">
        <v>3681</v>
      </c>
      <c r="BM165" t="s">
        <v>3682</v>
      </c>
      <c r="BN165">
        <v>33112645</v>
      </c>
      <c r="BO165" t="s">
        <v>1259</v>
      </c>
      <c r="BP165" t="s">
        <v>74</v>
      </c>
      <c r="BQ165" t="s">
        <v>74</v>
      </c>
      <c r="BR165" t="s">
        <v>104</v>
      </c>
      <c r="BS165" t="s">
        <v>3683</v>
      </c>
      <c r="BT165" t="str">
        <f>HYPERLINK("https%3A%2F%2Fwww.webofscience.com%2Fwos%2Fwoscc%2Ffull-record%2FWOS:000586839000001","View Full Record in Web of Science")</f>
        <v>View Full Record in Web of Science</v>
      </c>
    </row>
    <row r="166" spans="1:72" x14ac:dyDescent="0.15">
      <c r="A166" t="s">
        <v>72</v>
      </c>
      <c r="B166" t="s">
        <v>3684</v>
      </c>
      <c r="C166" t="s">
        <v>74</v>
      </c>
      <c r="D166" t="s">
        <v>74</v>
      </c>
      <c r="E166" t="s">
        <v>74</v>
      </c>
      <c r="F166" t="s">
        <v>3685</v>
      </c>
      <c r="G166" t="s">
        <v>74</v>
      </c>
      <c r="H166" t="s">
        <v>74</v>
      </c>
      <c r="I166" t="s">
        <v>3686</v>
      </c>
      <c r="J166" t="s">
        <v>3687</v>
      </c>
      <c r="K166" t="s">
        <v>74</v>
      </c>
      <c r="L166" t="s">
        <v>74</v>
      </c>
      <c r="M166" t="s">
        <v>78</v>
      </c>
      <c r="N166" t="s">
        <v>79</v>
      </c>
      <c r="O166" t="s">
        <v>74</v>
      </c>
      <c r="P166" t="s">
        <v>74</v>
      </c>
      <c r="Q166" t="s">
        <v>74</v>
      </c>
      <c r="R166" t="s">
        <v>74</v>
      </c>
      <c r="S166" t="s">
        <v>74</v>
      </c>
      <c r="T166" t="s">
        <v>74</v>
      </c>
      <c r="U166" t="s">
        <v>3688</v>
      </c>
      <c r="V166" t="s">
        <v>3689</v>
      </c>
      <c r="W166" t="s">
        <v>3690</v>
      </c>
      <c r="X166" t="s">
        <v>3691</v>
      </c>
      <c r="Y166" t="s">
        <v>3692</v>
      </c>
      <c r="Z166" t="s">
        <v>3693</v>
      </c>
      <c r="AA166" t="s">
        <v>3694</v>
      </c>
      <c r="AB166" t="s">
        <v>3695</v>
      </c>
      <c r="AC166" t="s">
        <v>3696</v>
      </c>
      <c r="AD166" t="s">
        <v>3697</v>
      </c>
      <c r="AE166" t="s">
        <v>3698</v>
      </c>
      <c r="AF166" t="s">
        <v>74</v>
      </c>
      <c r="AG166">
        <v>40</v>
      </c>
      <c r="AH166">
        <v>14</v>
      </c>
      <c r="AI166">
        <v>16</v>
      </c>
      <c r="AJ166">
        <v>3</v>
      </c>
      <c r="AK166">
        <v>10</v>
      </c>
      <c r="AL166" t="s">
        <v>1710</v>
      </c>
      <c r="AM166" t="s">
        <v>609</v>
      </c>
      <c r="AN166" t="s">
        <v>1711</v>
      </c>
      <c r="AO166" t="s">
        <v>3699</v>
      </c>
      <c r="AP166" t="s">
        <v>3700</v>
      </c>
      <c r="AQ166" t="s">
        <v>74</v>
      </c>
      <c r="AR166" t="s">
        <v>3701</v>
      </c>
      <c r="AS166" t="s">
        <v>3702</v>
      </c>
      <c r="AT166" t="s">
        <v>3703</v>
      </c>
      <c r="AU166">
        <v>2020</v>
      </c>
      <c r="AV166">
        <v>47</v>
      </c>
      <c r="AW166">
        <v>20</v>
      </c>
      <c r="AX166" t="s">
        <v>74</v>
      </c>
      <c r="AY166" t="s">
        <v>74</v>
      </c>
      <c r="AZ166" t="s">
        <v>74</v>
      </c>
      <c r="BA166" t="s">
        <v>74</v>
      </c>
      <c r="BB166" t="s">
        <v>74</v>
      </c>
      <c r="BC166" t="s">
        <v>74</v>
      </c>
      <c r="BD166" t="s">
        <v>3704</v>
      </c>
      <c r="BE166" t="s">
        <v>3705</v>
      </c>
      <c r="BF166" t="str">
        <f>HYPERLINK("http://dx.doi.org/10.1029/2020GL090181","http://dx.doi.org/10.1029/2020GL090181")</f>
        <v>http://dx.doi.org/10.1029/2020GL090181</v>
      </c>
      <c r="BG166" t="s">
        <v>74</v>
      </c>
      <c r="BH166" t="s">
        <v>74</v>
      </c>
      <c r="BI166">
        <v>10</v>
      </c>
      <c r="BJ166" t="s">
        <v>534</v>
      </c>
      <c r="BK166" t="s">
        <v>100</v>
      </c>
      <c r="BL166" t="s">
        <v>535</v>
      </c>
      <c r="BM166" t="s">
        <v>3706</v>
      </c>
      <c r="BN166">
        <v>33281241</v>
      </c>
      <c r="BO166" t="s">
        <v>1894</v>
      </c>
      <c r="BP166" t="s">
        <v>74</v>
      </c>
      <c r="BQ166" t="s">
        <v>74</v>
      </c>
      <c r="BR166" t="s">
        <v>104</v>
      </c>
      <c r="BS166" t="s">
        <v>3707</v>
      </c>
      <c r="BT166" t="str">
        <f>HYPERLINK("https%3A%2F%2Fwww.webofscience.com%2Fwos%2Fwoscc%2Ffull-record%2FWOS:000586497000051","View Full Record in Web of Science")</f>
        <v>View Full Record in Web of Science</v>
      </c>
    </row>
    <row r="167" spans="1:72" x14ac:dyDescent="0.15">
      <c r="A167" t="s">
        <v>72</v>
      </c>
      <c r="B167" t="s">
        <v>3708</v>
      </c>
      <c r="C167" t="s">
        <v>74</v>
      </c>
      <c r="D167" t="s">
        <v>74</v>
      </c>
      <c r="E167" t="s">
        <v>74</v>
      </c>
      <c r="F167" t="s">
        <v>3709</v>
      </c>
      <c r="G167" t="s">
        <v>74</v>
      </c>
      <c r="H167" t="s">
        <v>74</v>
      </c>
      <c r="I167" t="s">
        <v>3710</v>
      </c>
      <c r="J167" t="s">
        <v>3687</v>
      </c>
      <c r="K167" t="s">
        <v>74</v>
      </c>
      <c r="L167" t="s">
        <v>74</v>
      </c>
      <c r="M167" t="s">
        <v>78</v>
      </c>
      <c r="N167" t="s">
        <v>79</v>
      </c>
      <c r="O167" t="s">
        <v>74</v>
      </c>
      <c r="P167" t="s">
        <v>74</v>
      </c>
      <c r="Q167" t="s">
        <v>74</v>
      </c>
      <c r="R167" t="s">
        <v>74</v>
      </c>
      <c r="S167" t="s">
        <v>74</v>
      </c>
      <c r="T167" t="s">
        <v>3711</v>
      </c>
      <c r="U167" t="s">
        <v>3712</v>
      </c>
      <c r="V167" t="s">
        <v>3713</v>
      </c>
      <c r="W167" t="s">
        <v>3714</v>
      </c>
      <c r="X167" t="s">
        <v>3715</v>
      </c>
      <c r="Y167" t="s">
        <v>3716</v>
      </c>
      <c r="Z167" t="s">
        <v>3717</v>
      </c>
      <c r="AA167" t="s">
        <v>3718</v>
      </c>
      <c r="AB167" t="s">
        <v>3719</v>
      </c>
      <c r="AC167" t="s">
        <v>3720</v>
      </c>
      <c r="AD167" t="s">
        <v>3721</v>
      </c>
      <c r="AE167" t="s">
        <v>3722</v>
      </c>
      <c r="AF167" t="s">
        <v>74</v>
      </c>
      <c r="AG167">
        <v>47</v>
      </c>
      <c r="AH167">
        <v>3</v>
      </c>
      <c r="AI167">
        <v>5</v>
      </c>
      <c r="AJ167">
        <v>3</v>
      </c>
      <c r="AK167">
        <v>12</v>
      </c>
      <c r="AL167" t="s">
        <v>1710</v>
      </c>
      <c r="AM167" t="s">
        <v>609</v>
      </c>
      <c r="AN167" t="s">
        <v>1711</v>
      </c>
      <c r="AO167" t="s">
        <v>3699</v>
      </c>
      <c r="AP167" t="s">
        <v>3700</v>
      </c>
      <c r="AQ167" t="s">
        <v>74</v>
      </c>
      <c r="AR167" t="s">
        <v>3701</v>
      </c>
      <c r="AS167" t="s">
        <v>3702</v>
      </c>
      <c r="AT167" t="s">
        <v>3703</v>
      </c>
      <c r="AU167">
        <v>2020</v>
      </c>
      <c r="AV167">
        <v>47</v>
      </c>
      <c r="AW167">
        <v>20</v>
      </c>
      <c r="AX167" t="s">
        <v>74</v>
      </c>
      <c r="AY167" t="s">
        <v>74</v>
      </c>
      <c r="AZ167" t="s">
        <v>74</v>
      </c>
      <c r="BA167" t="s">
        <v>74</v>
      </c>
      <c r="BB167" t="s">
        <v>74</v>
      </c>
      <c r="BC167" t="s">
        <v>74</v>
      </c>
      <c r="BD167" t="s">
        <v>3723</v>
      </c>
      <c r="BE167" t="s">
        <v>3724</v>
      </c>
      <c r="BF167" t="str">
        <f>HYPERLINK("http://dx.doi.org/10.1029/2020GL089051","http://dx.doi.org/10.1029/2020GL089051")</f>
        <v>http://dx.doi.org/10.1029/2020GL089051</v>
      </c>
      <c r="BG167" t="s">
        <v>74</v>
      </c>
      <c r="BH167" t="s">
        <v>74</v>
      </c>
      <c r="BI167">
        <v>9</v>
      </c>
      <c r="BJ167" t="s">
        <v>534</v>
      </c>
      <c r="BK167" t="s">
        <v>100</v>
      </c>
      <c r="BL167" t="s">
        <v>535</v>
      </c>
      <c r="BM167" t="s">
        <v>3706</v>
      </c>
      <c r="BN167" t="s">
        <v>74</v>
      </c>
      <c r="BO167" t="s">
        <v>74</v>
      </c>
      <c r="BP167" t="s">
        <v>74</v>
      </c>
      <c r="BQ167" t="s">
        <v>74</v>
      </c>
      <c r="BR167" t="s">
        <v>104</v>
      </c>
      <c r="BS167" t="s">
        <v>3725</v>
      </c>
      <c r="BT167" t="str">
        <f>HYPERLINK("https%3A%2F%2Fwww.webofscience.com%2Fwos%2Fwoscc%2Ffull-record%2FWOS:000586497000055","View Full Record in Web of Science")</f>
        <v>View Full Record in Web of Science</v>
      </c>
    </row>
    <row r="168" spans="1:72" x14ac:dyDescent="0.15">
      <c r="A168" t="s">
        <v>72</v>
      </c>
      <c r="B168" t="s">
        <v>3726</v>
      </c>
      <c r="C168" t="s">
        <v>74</v>
      </c>
      <c r="D168" t="s">
        <v>74</v>
      </c>
      <c r="E168" t="s">
        <v>74</v>
      </c>
      <c r="F168" t="s">
        <v>3727</v>
      </c>
      <c r="G168" t="s">
        <v>74</v>
      </c>
      <c r="H168" t="s">
        <v>74</v>
      </c>
      <c r="I168" t="s">
        <v>3728</v>
      </c>
      <c r="J168" t="s">
        <v>3687</v>
      </c>
      <c r="K168" t="s">
        <v>74</v>
      </c>
      <c r="L168" t="s">
        <v>74</v>
      </c>
      <c r="M168" t="s">
        <v>78</v>
      </c>
      <c r="N168" t="s">
        <v>79</v>
      </c>
      <c r="O168" t="s">
        <v>74</v>
      </c>
      <c r="P168" t="s">
        <v>74</v>
      </c>
      <c r="Q168" t="s">
        <v>74</v>
      </c>
      <c r="R168" t="s">
        <v>74</v>
      </c>
      <c r="S168" t="s">
        <v>74</v>
      </c>
      <c r="T168" t="s">
        <v>3729</v>
      </c>
      <c r="U168" t="s">
        <v>3730</v>
      </c>
      <c r="V168" t="s">
        <v>3731</v>
      </c>
      <c r="W168" t="s">
        <v>3732</v>
      </c>
      <c r="X168" t="s">
        <v>3733</v>
      </c>
      <c r="Y168" t="s">
        <v>3734</v>
      </c>
      <c r="Z168" t="s">
        <v>3735</v>
      </c>
      <c r="AA168" t="s">
        <v>3736</v>
      </c>
      <c r="AB168" t="s">
        <v>3737</v>
      </c>
      <c r="AC168" t="s">
        <v>3738</v>
      </c>
      <c r="AD168" t="s">
        <v>3739</v>
      </c>
      <c r="AE168" t="s">
        <v>3740</v>
      </c>
      <c r="AF168" t="s">
        <v>74</v>
      </c>
      <c r="AG168">
        <v>63</v>
      </c>
      <c r="AH168">
        <v>18</v>
      </c>
      <c r="AI168">
        <v>19</v>
      </c>
      <c r="AJ168">
        <v>0</v>
      </c>
      <c r="AK168">
        <v>28</v>
      </c>
      <c r="AL168" t="s">
        <v>1710</v>
      </c>
      <c r="AM168" t="s">
        <v>609</v>
      </c>
      <c r="AN168" t="s">
        <v>1711</v>
      </c>
      <c r="AO168" t="s">
        <v>3699</v>
      </c>
      <c r="AP168" t="s">
        <v>3700</v>
      </c>
      <c r="AQ168" t="s">
        <v>74</v>
      </c>
      <c r="AR168" t="s">
        <v>3701</v>
      </c>
      <c r="AS168" t="s">
        <v>3702</v>
      </c>
      <c r="AT168" t="s">
        <v>3703</v>
      </c>
      <c r="AU168">
        <v>2020</v>
      </c>
      <c r="AV168">
        <v>47</v>
      </c>
      <c r="AW168">
        <v>20</v>
      </c>
      <c r="AX168" t="s">
        <v>74</v>
      </c>
      <c r="AY168" t="s">
        <v>74</v>
      </c>
      <c r="AZ168" t="s">
        <v>74</v>
      </c>
      <c r="BA168" t="s">
        <v>74</v>
      </c>
      <c r="BB168" t="s">
        <v>74</v>
      </c>
      <c r="BC168" t="s">
        <v>74</v>
      </c>
      <c r="BD168" t="s">
        <v>3741</v>
      </c>
      <c r="BE168" t="s">
        <v>3742</v>
      </c>
      <c r="BF168" t="str">
        <f>HYPERLINK("http://dx.doi.org/10.1029/2020GL090242","http://dx.doi.org/10.1029/2020GL090242")</f>
        <v>http://dx.doi.org/10.1029/2020GL090242</v>
      </c>
      <c r="BG168" t="s">
        <v>74</v>
      </c>
      <c r="BH168" t="s">
        <v>74</v>
      </c>
      <c r="BI168">
        <v>11</v>
      </c>
      <c r="BJ168" t="s">
        <v>534</v>
      </c>
      <c r="BK168" t="s">
        <v>100</v>
      </c>
      <c r="BL168" t="s">
        <v>535</v>
      </c>
      <c r="BM168" t="s">
        <v>3706</v>
      </c>
      <c r="BN168" t="s">
        <v>74</v>
      </c>
      <c r="BO168" t="s">
        <v>3476</v>
      </c>
      <c r="BP168" t="s">
        <v>74</v>
      </c>
      <c r="BQ168" t="s">
        <v>74</v>
      </c>
      <c r="BR168" t="s">
        <v>104</v>
      </c>
      <c r="BS168" t="s">
        <v>3743</v>
      </c>
      <c r="BT168" t="str">
        <f>HYPERLINK("https%3A%2F%2Fwww.webofscience.com%2Fwos%2Fwoscc%2Ffull-record%2FWOS:000586497000057","View Full Record in Web of Science")</f>
        <v>View Full Record in Web of Science</v>
      </c>
    </row>
    <row r="169" spans="1:72" x14ac:dyDescent="0.15">
      <c r="A169" t="s">
        <v>72</v>
      </c>
      <c r="B169" t="s">
        <v>3744</v>
      </c>
      <c r="C169" t="s">
        <v>74</v>
      </c>
      <c r="D169" t="s">
        <v>74</v>
      </c>
      <c r="E169" t="s">
        <v>74</v>
      </c>
      <c r="F169" t="s">
        <v>3745</v>
      </c>
      <c r="G169" t="s">
        <v>74</v>
      </c>
      <c r="H169" t="s">
        <v>74</v>
      </c>
      <c r="I169" t="s">
        <v>3746</v>
      </c>
      <c r="J169" t="s">
        <v>3687</v>
      </c>
      <c r="K169" t="s">
        <v>74</v>
      </c>
      <c r="L169" t="s">
        <v>74</v>
      </c>
      <c r="M169" t="s">
        <v>78</v>
      </c>
      <c r="N169" t="s">
        <v>79</v>
      </c>
      <c r="O169" t="s">
        <v>74</v>
      </c>
      <c r="P169" t="s">
        <v>74</v>
      </c>
      <c r="Q169" t="s">
        <v>74</v>
      </c>
      <c r="R169" t="s">
        <v>74</v>
      </c>
      <c r="S169" t="s">
        <v>74</v>
      </c>
      <c r="T169" t="s">
        <v>3747</v>
      </c>
      <c r="U169" t="s">
        <v>3748</v>
      </c>
      <c r="V169" t="s">
        <v>3749</v>
      </c>
      <c r="W169" t="s">
        <v>3750</v>
      </c>
      <c r="X169" t="s">
        <v>3751</v>
      </c>
      <c r="Y169" t="s">
        <v>3752</v>
      </c>
      <c r="Z169" t="s">
        <v>3753</v>
      </c>
      <c r="AA169" t="s">
        <v>3754</v>
      </c>
      <c r="AB169" t="s">
        <v>3755</v>
      </c>
      <c r="AC169" t="s">
        <v>3756</v>
      </c>
      <c r="AD169" t="s">
        <v>3757</v>
      </c>
      <c r="AE169" t="s">
        <v>3758</v>
      </c>
      <c r="AF169" t="s">
        <v>74</v>
      </c>
      <c r="AG169">
        <v>40</v>
      </c>
      <c r="AH169">
        <v>2</v>
      </c>
      <c r="AI169">
        <v>2</v>
      </c>
      <c r="AJ169">
        <v>2</v>
      </c>
      <c r="AK169">
        <v>4</v>
      </c>
      <c r="AL169" t="s">
        <v>1710</v>
      </c>
      <c r="AM169" t="s">
        <v>609</v>
      </c>
      <c r="AN169" t="s">
        <v>1711</v>
      </c>
      <c r="AO169" t="s">
        <v>3699</v>
      </c>
      <c r="AP169" t="s">
        <v>3700</v>
      </c>
      <c r="AQ169" t="s">
        <v>74</v>
      </c>
      <c r="AR169" t="s">
        <v>3701</v>
      </c>
      <c r="AS169" t="s">
        <v>3702</v>
      </c>
      <c r="AT169" t="s">
        <v>3703</v>
      </c>
      <c r="AU169">
        <v>2020</v>
      </c>
      <c r="AV169">
        <v>47</v>
      </c>
      <c r="AW169">
        <v>20</v>
      </c>
      <c r="AX169" t="s">
        <v>74</v>
      </c>
      <c r="AY169" t="s">
        <v>74</v>
      </c>
      <c r="AZ169" t="s">
        <v>74</v>
      </c>
      <c r="BA169" t="s">
        <v>74</v>
      </c>
      <c r="BB169" t="s">
        <v>74</v>
      </c>
      <c r="BC169" t="s">
        <v>74</v>
      </c>
      <c r="BD169" t="s">
        <v>3759</v>
      </c>
      <c r="BE169" t="s">
        <v>3760</v>
      </c>
      <c r="BF169" t="str">
        <f>HYPERLINK("http://dx.doi.org/10.1029/2020GL089740","http://dx.doi.org/10.1029/2020GL089740")</f>
        <v>http://dx.doi.org/10.1029/2020GL089740</v>
      </c>
      <c r="BG169" t="s">
        <v>74</v>
      </c>
      <c r="BH169" t="s">
        <v>74</v>
      </c>
      <c r="BI169">
        <v>8</v>
      </c>
      <c r="BJ169" t="s">
        <v>534</v>
      </c>
      <c r="BK169" t="s">
        <v>100</v>
      </c>
      <c r="BL169" t="s">
        <v>535</v>
      </c>
      <c r="BM169" t="s">
        <v>3706</v>
      </c>
      <c r="BN169" t="s">
        <v>74</v>
      </c>
      <c r="BO169" t="s">
        <v>3641</v>
      </c>
      <c r="BP169" t="s">
        <v>74</v>
      </c>
      <c r="BQ169" t="s">
        <v>74</v>
      </c>
      <c r="BR169" t="s">
        <v>104</v>
      </c>
      <c r="BS169" t="s">
        <v>3761</v>
      </c>
      <c r="BT169" t="str">
        <f>HYPERLINK("https%3A%2F%2Fwww.webofscience.com%2Fwos%2Fwoscc%2Ffull-record%2FWOS:000586497000040","View Full Record in Web of Science")</f>
        <v>View Full Record in Web of Science</v>
      </c>
    </row>
    <row r="170" spans="1:72" x14ac:dyDescent="0.15">
      <c r="A170" t="s">
        <v>72</v>
      </c>
      <c r="B170" t="s">
        <v>3762</v>
      </c>
      <c r="C170" t="s">
        <v>74</v>
      </c>
      <c r="D170" t="s">
        <v>74</v>
      </c>
      <c r="E170" t="s">
        <v>74</v>
      </c>
      <c r="F170" t="s">
        <v>3763</v>
      </c>
      <c r="G170" t="s">
        <v>74</v>
      </c>
      <c r="H170" t="s">
        <v>74</v>
      </c>
      <c r="I170" t="s">
        <v>3764</v>
      </c>
      <c r="J170" t="s">
        <v>3687</v>
      </c>
      <c r="K170" t="s">
        <v>74</v>
      </c>
      <c r="L170" t="s">
        <v>74</v>
      </c>
      <c r="M170" t="s">
        <v>78</v>
      </c>
      <c r="N170" t="s">
        <v>79</v>
      </c>
      <c r="O170" t="s">
        <v>74</v>
      </c>
      <c r="P170" t="s">
        <v>74</v>
      </c>
      <c r="Q170" t="s">
        <v>74</v>
      </c>
      <c r="R170" t="s">
        <v>74</v>
      </c>
      <c r="S170" t="s">
        <v>74</v>
      </c>
      <c r="T170" t="s">
        <v>3765</v>
      </c>
      <c r="U170" t="s">
        <v>3766</v>
      </c>
      <c r="V170" t="s">
        <v>3767</v>
      </c>
      <c r="W170" t="s">
        <v>3768</v>
      </c>
      <c r="X170" t="s">
        <v>3769</v>
      </c>
      <c r="Y170" t="s">
        <v>3770</v>
      </c>
      <c r="Z170" t="s">
        <v>3771</v>
      </c>
      <c r="AA170" t="s">
        <v>3772</v>
      </c>
      <c r="AB170" t="s">
        <v>3773</v>
      </c>
      <c r="AC170" t="s">
        <v>3774</v>
      </c>
      <c r="AD170" t="s">
        <v>3775</v>
      </c>
      <c r="AE170" t="s">
        <v>3776</v>
      </c>
      <c r="AF170" t="s">
        <v>74</v>
      </c>
      <c r="AG170">
        <v>42</v>
      </c>
      <c r="AH170">
        <v>17</v>
      </c>
      <c r="AI170">
        <v>17</v>
      </c>
      <c r="AJ170">
        <v>1</v>
      </c>
      <c r="AK170">
        <v>4</v>
      </c>
      <c r="AL170" t="s">
        <v>1710</v>
      </c>
      <c r="AM170" t="s">
        <v>609</v>
      </c>
      <c r="AN170" t="s">
        <v>1711</v>
      </c>
      <c r="AO170" t="s">
        <v>3699</v>
      </c>
      <c r="AP170" t="s">
        <v>3700</v>
      </c>
      <c r="AQ170" t="s">
        <v>74</v>
      </c>
      <c r="AR170" t="s">
        <v>3701</v>
      </c>
      <c r="AS170" t="s">
        <v>3702</v>
      </c>
      <c r="AT170" t="s">
        <v>3703</v>
      </c>
      <c r="AU170">
        <v>2020</v>
      </c>
      <c r="AV170">
        <v>47</v>
      </c>
      <c r="AW170">
        <v>20</v>
      </c>
      <c r="AX170" t="s">
        <v>74</v>
      </c>
      <c r="AY170" t="s">
        <v>74</v>
      </c>
      <c r="AZ170" t="s">
        <v>74</v>
      </c>
      <c r="BA170" t="s">
        <v>74</v>
      </c>
      <c r="BB170" t="s">
        <v>74</v>
      </c>
      <c r="BC170" t="s">
        <v>74</v>
      </c>
      <c r="BD170" t="s">
        <v>3777</v>
      </c>
      <c r="BE170" t="s">
        <v>3778</v>
      </c>
      <c r="BF170" t="str">
        <f>HYPERLINK("http://dx.doi.org/10.1029/2020GL090003","http://dx.doi.org/10.1029/2020GL090003")</f>
        <v>http://dx.doi.org/10.1029/2020GL090003</v>
      </c>
      <c r="BG170" t="s">
        <v>74</v>
      </c>
      <c r="BH170" t="s">
        <v>74</v>
      </c>
      <c r="BI170">
        <v>9</v>
      </c>
      <c r="BJ170" t="s">
        <v>534</v>
      </c>
      <c r="BK170" t="s">
        <v>100</v>
      </c>
      <c r="BL170" t="s">
        <v>535</v>
      </c>
      <c r="BM170" t="s">
        <v>3706</v>
      </c>
      <c r="BN170" t="s">
        <v>74</v>
      </c>
      <c r="BO170" t="s">
        <v>3779</v>
      </c>
      <c r="BP170" t="s">
        <v>74</v>
      </c>
      <c r="BQ170" t="s">
        <v>74</v>
      </c>
      <c r="BR170" t="s">
        <v>104</v>
      </c>
      <c r="BS170" t="s">
        <v>3780</v>
      </c>
      <c r="BT170" t="str">
        <f>HYPERLINK("https%3A%2F%2Fwww.webofscience.com%2Fwos%2Fwoscc%2Ffull-record%2FWOS:000586497000009","View Full Record in Web of Science")</f>
        <v>View Full Record in Web of Science</v>
      </c>
    </row>
    <row r="171" spans="1:72" x14ac:dyDescent="0.15">
      <c r="A171" t="s">
        <v>72</v>
      </c>
      <c r="B171" t="s">
        <v>3781</v>
      </c>
      <c r="C171" t="s">
        <v>74</v>
      </c>
      <c r="D171" t="s">
        <v>74</v>
      </c>
      <c r="E171" t="s">
        <v>74</v>
      </c>
      <c r="F171" t="s">
        <v>3782</v>
      </c>
      <c r="G171" t="s">
        <v>74</v>
      </c>
      <c r="H171" t="s">
        <v>74</v>
      </c>
      <c r="I171" t="s">
        <v>3783</v>
      </c>
      <c r="J171" t="s">
        <v>3687</v>
      </c>
      <c r="K171" t="s">
        <v>74</v>
      </c>
      <c r="L171" t="s">
        <v>74</v>
      </c>
      <c r="M171" t="s">
        <v>78</v>
      </c>
      <c r="N171" t="s">
        <v>79</v>
      </c>
      <c r="O171" t="s">
        <v>74</v>
      </c>
      <c r="P171" t="s">
        <v>74</v>
      </c>
      <c r="Q171" t="s">
        <v>74</v>
      </c>
      <c r="R171" t="s">
        <v>74</v>
      </c>
      <c r="S171" t="s">
        <v>74</v>
      </c>
      <c r="T171" t="s">
        <v>3784</v>
      </c>
      <c r="U171" t="s">
        <v>3785</v>
      </c>
      <c r="V171" t="s">
        <v>3786</v>
      </c>
      <c r="W171" t="s">
        <v>3787</v>
      </c>
      <c r="X171" t="s">
        <v>3788</v>
      </c>
      <c r="Y171" t="s">
        <v>3789</v>
      </c>
      <c r="Z171" t="s">
        <v>3790</v>
      </c>
      <c r="AA171" t="s">
        <v>3791</v>
      </c>
      <c r="AB171" t="s">
        <v>3792</v>
      </c>
      <c r="AC171" t="s">
        <v>3793</v>
      </c>
      <c r="AD171" t="s">
        <v>3794</v>
      </c>
      <c r="AE171" t="s">
        <v>3795</v>
      </c>
      <c r="AF171" t="s">
        <v>74</v>
      </c>
      <c r="AG171">
        <v>50</v>
      </c>
      <c r="AH171">
        <v>22</v>
      </c>
      <c r="AI171">
        <v>22</v>
      </c>
      <c r="AJ171">
        <v>0</v>
      </c>
      <c r="AK171">
        <v>2</v>
      </c>
      <c r="AL171" t="s">
        <v>1710</v>
      </c>
      <c r="AM171" t="s">
        <v>609</v>
      </c>
      <c r="AN171" t="s">
        <v>1711</v>
      </c>
      <c r="AO171" t="s">
        <v>3699</v>
      </c>
      <c r="AP171" t="s">
        <v>3700</v>
      </c>
      <c r="AQ171" t="s">
        <v>74</v>
      </c>
      <c r="AR171" t="s">
        <v>3701</v>
      </c>
      <c r="AS171" t="s">
        <v>3702</v>
      </c>
      <c r="AT171" t="s">
        <v>3703</v>
      </c>
      <c r="AU171">
        <v>2020</v>
      </c>
      <c r="AV171">
        <v>47</v>
      </c>
      <c r="AW171">
        <v>20</v>
      </c>
      <c r="AX171" t="s">
        <v>74</v>
      </c>
      <c r="AY171" t="s">
        <v>74</v>
      </c>
      <c r="AZ171" t="s">
        <v>74</v>
      </c>
      <c r="BA171" t="s">
        <v>74</v>
      </c>
      <c r="BB171" t="s">
        <v>74</v>
      </c>
      <c r="BC171" t="s">
        <v>74</v>
      </c>
      <c r="BD171" t="s">
        <v>3796</v>
      </c>
      <c r="BE171" t="s">
        <v>3797</v>
      </c>
      <c r="BF171" t="str">
        <f>HYPERLINK("http://dx.doi.org/10.1029/2020GL088976","http://dx.doi.org/10.1029/2020GL088976")</f>
        <v>http://dx.doi.org/10.1029/2020GL088976</v>
      </c>
      <c r="BG171" t="s">
        <v>74</v>
      </c>
      <c r="BH171" t="s">
        <v>74</v>
      </c>
      <c r="BI171">
        <v>11</v>
      </c>
      <c r="BJ171" t="s">
        <v>534</v>
      </c>
      <c r="BK171" t="s">
        <v>100</v>
      </c>
      <c r="BL171" t="s">
        <v>535</v>
      </c>
      <c r="BM171" t="s">
        <v>3706</v>
      </c>
      <c r="BN171" t="s">
        <v>74</v>
      </c>
      <c r="BO171" t="s">
        <v>3798</v>
      </c>
      <c r="BP171" t="s">
        <v>74</v>
      </c>
      <c r="BQ171" t="s">
        <v>74</v>
      </c>
      <c r="BR171" t="s">
        <v>104</v>
      </c>
      <c r="BS171" t="s">
        <v>3799</v>
      </c>
      <c r="BT171" t="str">
        <f>HYPERLINK("https%3A%2F%2Fwww.webofscience.com%2Fwos%2Fwoscc%2Ffull-record%2FWOS:000586497000007","View Full Record in Web of Science")</f>
        <v>View Full Record in Web of Science</v>
      </c>
    </row>
    <row r="172" spans="1:72" x14ac:dyDescent="0.15">
      <c r="A172" t="s">
        <v>72</v>
      </c>
      <c r="B172" t="s">
        <v>3800</v>
      </c>
      <c r="C172" t="s">
        <v>74</v>
      </c>
      <c r="D172" t="s">
        <v>74</v>
      </c>
      <c r="E172" t="s">
        <v>74</v>
      </c>
      <c r="F172" t="s">
        <v>3801</v>
      </c>
      <c r="G172" t="s">
        <v>74</v>
      </c>
      <c r="H172" t="s">
        <v>74</v>
      </c>
      <c r="I172" t="s">
        <v>3802</v>
      </c>
      <c r="J172" t="s">
        <v>3687</v>
      </c>
      <c r="K172" t="s">
        <v>74</v>
      </c>
      <c r="L172" t="s">
        <v>74</v>
      </c>
      <c r="M172" t="s">
        <v>78</v>
      </c>
      <c r="N172" t="s">
        <v>79</v>
      </c>
      <c r="O172" t="s">
        <v>74</v>
      </c>
      <c r="P172" t="s">
        <v>74</v>
      </c>
      <c r="Q172" t="s">
        <v>74</v>
      </c>
      <c r="R172" t="s">
        <v>74</v>
      </c>
      <c r="S172" t="s">
        <v>74</v>
      </c>
      <c r="T172" t="s">
        <v>3803</v>
      </c>
      <c r="U172" t="s">
        <v>3804</v>
      </c>
      <c r="V172" t="s">
        <v>3805</v>
      </c>
      <c r="W172" t="s">
        <v>3806</v>
      </c>
      <c r="X172" t="s">
        <v>3807</v>
      </c>
      <c r="Y172" t="s">
        <v>3808</v>
      </c>
      <c r="Z172" t="s">
        <v>3809</v>
      </c>
      <c r="AA172" t="s">
        <v>3810</v>
      </c>
      <c r="AB172" t="s">
        <v>3811</v>
      </c>
      <c r="AC172" t="s">
        <v>3812</v>
      </c>
      <c r="AD172" t="s">
        <v>3813</v>
      </c>
      <c r="AE172" t="s">
        <v>3814</v>
      </c>
      <c r="AF172" t="s">
        <v>74</v>
      </c>
      <c r="AG172">
        <v>36</v>
      </c>
      <c r="AH172">
        <v>44</v>
      </c>
      <c r="AI172">
        <v>45</v>
      </c>
      <c r="AJ172">
        <v>1</v>
      </c>
      <c r="AK172">
        <v>34</v>
      </c>
      <c r="AL172" t="s">
        <v>1710</v>
      </c>
      <c r="AM172" t="s">
        <v>609</v>
      </c>
      <c r="AN172" t="s">
        <v>1711</v>
      </c>
      <c r="AO172" t="s">
        <v>3699</v>
      </c>
      <c r="AP172" t="s">
        <v>3700</v>
      </c>
      <c r="AQ172" t="s">
        <v>74</v>
      </c>
      <c r="AR172" t="s">
        <v>3701</v>
      </c>
      <c r="AS172" t="s">
        <v>3702</v>
      </c>
      <c r="AT172" t="s">
        <v>3703</v>
      </c>
      <c r="AU172">
        <v>2020</v>
      </c>
      <c r="AV172">
        <v>47</v>
      </c>
      <c r="AW172">
        <v>20</v>
      </c>
      <c r="AX172" t="s">
        <v>74</v>
      </c>
      <c r="AY172" t="s">
        <v>74</v>
      </c>
      <c r="AZ172" t="s">
        <v>74</v>
      </c>
      <c r="BA172" t="s">
        <v>74</v>
      </c>
      <c r="BB172" t="s">
        <v>74</v>
      </c>
      <c r="BC172" t="s">
        <v>74</v>
      </c>
      <c r="BD172" t="s">
        <v>3815</v>
      </c>
      <c r="BE172" t="s">
        <v>3816</v>
      </c>
      <c r="BF172" t="str">
        <f>HYPERLINK("http://dx.doi.org/10.1029/2020GL089343","http://dx.doi.org/10.1029/2020GL089343")</f>
        <v>http://dx.doi.org/10.1029/2020GL089343</v>
      </c>
      <c r="BG172" t="s">
        <v>74</v>
      </c>
      <c r="BH172" t="s">
        <v>74</v>
      </c>
      <c r="BI172">
        <v>8</v>
      </c>
      <c r="BJ172" t="s">
        <v>534</v>
      </c>
      <c r="BK172" t="s">
        <v>100</v>
      </c>
      <c r="BL172" t="s">
        <v>535</v>
      </c>
      <c r="BM172" t="s">
        <v>3706</v>
      </c>
      <c r="BN172" t="s">
        <v>74</v>
      </c>
      <c r="BO172" t="s">
        <v>1259</v>
      </c>
      <c r="BP172" t="s">
        <v>74</v>
      </c>
      <c r="BQ172" t="s">
        <v>74</v>
      </c>
      <c r="BR172" t="s">
        <v>104</v>
      </c>
      <c r="BS172" t="s">
        <v>3817</v>
      </c>
      <c r="BT172" t="str">
        <f>HYPERLINK("https%3A%2F%2Fwww.webofscience.com%2Fwos%2Fwoscc%2Ffull-record%2FWOS:000586497000022","View Full Record in Web of Science")</f>
        <v>View Full Record in Web of Science</v>
      </c>
    </row>
    <row r="173" spans="1:72" x14ac:dyDescent="0.15">
      <c r="A173" t="s">
        <v>72</v>
      </c>
      <c r="B173" t="s">
        <v>3818</v>
      </c>
      <c r="C173" t="s">
        <v>74</v>
      </c>
      <c r="D173" t="s">
        <v>74</v>
      </c>
      <c r="E173" t="s">
        <v>74</v>
      </c>
      <c r="F173" t="s">
        <v>3819</v>
      </c>
      <c r="G173" t="s">
        <v>74</v>
      </c>
      <c r="H173" t="s">
        <v>74</v>
      </c>
      <c r="I173" t="s">
        <v>3820</v>
      </c>
      <c r="J173" t="s">
        <v>3687</v>
      </c>
      <c r="K173" t="s">
        <v>74</v>
      </c>
      <c r="L173" t="s">
        <v>74</v>
      </c>
      <c r="M173" t="s">
        <v>78</v>
      </c>
      <c r="N173" t="s">
        <v>79</v>
      </c>
      <c r="O173" t="s">
        <v>74</v>
      </c>
      <c r="P173" t="s">
        <v>74</v>
      </c>
      <c r="Q173" t="s">
        <v>74</v>
      </c>
      <c r="R173" t="s">
        <v>74</v>
      </c>
      <c r="S173" t="s">
        <v>74</v>
      </c>
      <c r="T173" t="s">
        <v>3821</v>
      </c>
      <c r="U173" t="s">
        <v>3822</v>
      </c>
      <c r="V173" t="s">
        <v>3823</v>
      </c>
      <c r="W173" t="s">
        <v>3824</v>
      </c>
      <c r="X173" t="s">
        <v>3825</v>
      </c>
      <c r="Y173" t="s">
        <v>3826</v>
      </c>
      <c r="Z173" t="s">
        <v>3827</v>
      </c>
      <c r="AA173" t="s">
        <v>3828</v>
      </c>
      <c r="AB173" t="s">
        <v>3829</v>
      </c>
      <c r="AC173" t="s">
        <v>3830</v>
      </c>
      <c r="AD173" t="s">
        <v>3831</v>
      </c>
      <c r="AE173" t="s">
        <v>3832</v>
      </c>
      <c r="AF173" t="s">
        <v>74</v>
      </c>
      <c r="AG173">
        <v>54</v>
      </c>
      <c r="AH173">
        <v>6</v>
      </c>
      <c r="AI173">
        <v>7</v>
      </c>
      <c r="AJ173">
        <v>4</v>
      </c>
      <c r="AK173">
        <v>24</v>
      </c>
      <c r="AL173" t="s">
        <v>1710</v>
      </c>
      <c r="AM173" t="s">
        <v>609</v>
      </c>
      <c r="AN173" t="s">
        <v>1711</v>
      </c>
      <c r="AO173" t="s">
        <v>3699</v>
      </c>
      <c r="AP173" t="s">
        <v>3700</v>
      </c>
      <c r="AQ173" t="s">
        <v>74</v>
      </c>
      <c r="AR173" t="s">
        <v>3701</v>
      </c>
      <c r="AS173" t="s">
        <v>3702</v>
      </c>
      <c r="AT173" t="s">
        <v>3703</v>
      </c>
      <c r="AU173">
        <v>2020</v>
      </c>
      <c r="AV173">
        <v>47</v>
      </c>
      <c r="AW173">
        <v>20</v>
      </c>
      <c r="AX173" t="s">
        <v>74</v>
      </c>
      <c r="AY173" t="s">
        <v>74</v>
      </c>
      <c r="AZ173" t="s">
        <v>74</v>
      </c>
      <c r="BA173" t="s">
        <v>74</v>
      </c>
      <c r="BB173" t="s">
        <v>74</v>
      </c>
      <c r="BC173" t="s">
        <v>74</v>
      </c>
      <c r="BD173" t="s">
        <v>3833</v>
      </c>
      <c r="BE173" t="s">
        <v>3834</v>
      </c>
      <c r="BF173" t="str">
        <f>HYPERLINK("http://dx.doi.org/10.1029/2020GL089296","http://dx.doi.org/10.1029/2020GL089296")</f>
        <v>http://dx.doi.org/10.1029/2020GL089296</v>
      </c>
      <c r="BG173" t="s">
        <v>74</v>
      </c>
      <c r="BH173" t="s">
        <v>74</v>
      </c>
      <c r="BI173">
        <v>11</v>
      </c>
      <c r="BJ173" t="s">
        <v>534</v>
      </c>
      <c r="BK173" t="s">
        <v>100</v>
      </c>
      <c r="BL173" t="s">
        <v>535</v>
      </c>
      <c r="BM173" t="s">
        <v>3706</v>
      </c>
      <c r="BN173" t="s">
        <v>74</v>
      </c>
      <c r="BO173" t="s">
        <v>1259</v>
      </c>
      <c r="BP173" t="s">
        <v>74</v>
      </c>
      <c r="BQ173" t="s">
        <v>74</v>
      </c>
      <c r="BR173" t="s">
        <v>104</v>
      </c>
      <c r="BS173" t="s">
        <v>3835</v>
      </c>
      <c r="BT173" t="str">
        <f>HYPERLINK("https%3A%2F%2Fwww.webofscience.com%2Fwos%2Fwoscc%2Ffull-record%2FWOS:000586497000005","View Full Record in Web of Science")</f>
        <v>View Full Record in Web of Science</v>
      </c>
    </row>
    <row r="174" spans="1:72" x14ac:dyDescent="0.15">
      <c r="A174" t="s">
        <v>72</v>
      </c>
      <c r="B174" t="s">
        <v>3836</v>
      </c>
      <c r="C174" t="s">
        <v>74</v>
      </c>
      <c r="D174" t="s">
        <v>74</v>
      </c>
      <c r="E174" t="s">
        <v>74</v>
      </c>
      <c r="F174" t="s">
        <v>3837</v>
      </c>
      <c r="G174" t="s">
        <v>74</v>
      </c>
      <c r="H174" t="s">
        <v>74</v>
      </c>
      <c r="I174" t="s">
        <v>3838</v>
      </c>
      <c r="J174" t="s">
        <v>3687</v>
      </c>
      <c r="K174" t="s">
        <v>74</v>
      </c>
      <c r="L174" t="s">
        <v>74</v>
      </c>
      <c r="M174" t="s">
        <v>78</v>
      </c>
      <c r="N174" t="s">
        <v>79</v>
      </c>
      <c r="O174" t="s">
        <v>74</v>
      </c>
      <c r="P174" t="s">
        <v>74</v>
      </c>
      <c r="Q174" t="s">
        <v>74</v>
      </c>
      <c r="R174" t="s">
        <v>74</v>
      </c>
      <c r="S174" t="s">
        <v>74</v>
      </c>
      <c r="T174" t="s">
        <v>3839</v>
      </c>
      <c r="U174" t="s">
        <v>3840</v>
      </c>
      <c r="V174" t="s">
        <v>3841</v>
      </c>
      <c r="W174" t="s">
        <v>3842</v>
      </c>
      <c r="X174" t="s">
        <v>3843</v>
      </c>
      <c r="Y174" t="s">
        <v>3844</v>
      </c>
      <c r="Z174" t="s">
        <v>3845</v>
      </c>
      <c r="AA174" t="s">
        <v>3846</v>
      </c>
      <c r="AB174" t="s">
        <v>3847</v>
      </c>
      <c r="AC174" t="s">
        <v>74</v>
      </c>
      <c r="AD174" t="s">
        <v>74</v>
      </c>
      <c r="AE174" t="s">
        <v>74</v>
      </c>
      <c r="AF174" t="s">
        <v>74</v>
      </c>
      <c r="AG174">
        <v>47</v>
      </c>
      <c r="AH174">
        <v>68</v>
      </c>
      <c r="AI174">
        <v>72</v>
      </c>
      <c r="AJ174">
        <v>1</v>
      </c>
      <c r="AK174">
        <v>36</v>
      </c>
      <c r="AL174" t="s">
        <v>1710</v>
      </c>
      <c r="AM174" t="s">
        <v>609</v>
      </c>
      <c r="AN174" t="s">
        <v>1711</v>
      </c>
      <c r="AO174" t="s">
        <v>3699</v>
      </c>
      <c r="AP174" t="s">
        <v>3700</v>
      </c>
      <c r="AQ174" t="s">
        <v>74</v>
      </c>
      <c r="AR174" t="s">
        <v>3701</v>
      </c>
      <c r="AS174" t="s">
        <v>3702</v>
      </c>
      <c r="AT174" t="s">
        <v>3703</v>
      </c>
      <c r="AU174">
        <v>2020</v>
      </c>
      <c r="AV174">
        <v>47</v>
      </c>
      <c r="AW174">
        <v>20</v>
      </c>
      <c r="AX174" t="s">
        <v>74</v>
      </c>
      <c r="AY174" t="s">
        <v>74</v>
      </c>
      <c r="AZ174" t="s">
        <v>74</v>
      </c>
      <c r="BA174" t="s">
        <v>74</v>
      </c>
      <c r="BB174" t="s">
        <v>74</v>
      </c>
      <c r="BC174" t="s">
        <v>74</v>
      </c>
      <c r="BD174" t="s">
        <v>3848</v>
      </c>
      <c r="BE174" t="s">
        <v>3849</v>
      </c>
      <c r="BF174" t="str">
        <f>HYPERLINK("http://dx.doi.org/10.1029/2020GL089547","http://dx.doi.org/10.1029/2020GL089547")</f>
        <v>http://dx.doi.org/10.1029/2020GL089547</v>
      </c>
      <c r="BG174" t="s">
        <v>74</v>
      </c>
      <c r="BH174" t="s">
        <v>74</v>
      </c>
      <c r="BI174">
        <v>10</v>
      </c>
      <c r="BJ174" t="s">
        <v>534</v>
      </c>
      <c r="BK174" t="s">
        <v>100</v>
      </c>
      <c r="BL174" t="s">
        <v>535</v>
      </c>
      <c r="BM174" t="s">
        <v>3706</v>
      </c>
      <c r="BN174" t="s">
        <v>74</v>
      </c>
      <c r="BO174" t="s">
        <v>564</v>
      </c>
      <c r="BP174" t="s">
        <v>74</v>
      </c>
      <c r="BQ174" t="s">
        <v>74</v>
      </c>
      <c r="BR174" t="s">
        <v>104</v>
      </c>
      <c r="BS174" t="s">
        <v>3850</v>
      </c>
      <c r="BT174" t="str">
        <f>HYPERLINK("https%3A%2F%2Fwww.webofscience.com%2Fwos%2Fwoscc%2Ffull-record%2FWOS:000586497000015","View Full Record in Web of Science")</f>
        <v>View Full Record in Web of Science</v>
      </c>
    </row>
    <row r="175" spans="1:72" x14ac:dyDescent="0.15">
      <c r="A175" t="s">
        <v>72</v>
      </c>
      <c r="B175" t="s">
        <v>3851</v>
      </c>
      <c r="C175" t="s">
        <v>74</v>
      </c>
      <c r="D175" t="s">
        <v>74</v>
      </c>
      <c r="E175" t="s">
        <v>74</v>
      </c>
      <c r="F175" t="s">
        <v>3852</v>
      </c>
      <c r="G175" t="s">
        <v>74</v>
      </c>
      <c r="H175" t="s">
        <v>74</v>
      </c>
      <c r="I175" t="s">
        <v>3853</v>
      </c>
      <c r="J175" t="s">
        <v>109</v>
      </c>
      <c r="K175" t="s">
        <v>74</v>
      </c>
      <c r="L175" t="s">
        <v>74</v>
      </c>
      <c r="M175" t="s">
        <v>78</v>
      </c>
      <c r="N175" t="s">
        <v>79</v>
      </c>
      <c r="O175" t="s">
        <v>74</v>
      </c>
      <c r="P175" t="s">
        <v>74</v>
      </c>
      <c r="Q175" t="s">
        <v>74</v>
      </c>
      <c r="R175" t="s">
        <v>74</v>
      </c>
      <c r="S175" t="s">
        <v>74</v>
      </c>
      <c r="T175" t="s">
        <v>3854</v>
      </c>
      <c r="U175" t="s">
        <v>3855</v>
      </c>
      <c r="V175" t="s">
        <v>3856</v>
      </c>
      <c r="W175" t="s">
        <v>3857</v>
      </c>
      <c r="X175" t="s">
        <v>3858</v>
      </c>
      <c r="Y175" t="s">
        <v>3859</v>
      </c>
      <c r="Z175" t="s">
        <v>3860</v>
      </c>
      <c r="AA175" t="s">
        <v>3861</v>
      </c>
      <c r="AB175" t="s">
        <v>3862</v>
      </c>
      <c r="AC175" t="s">
        <v>3863</v>
      </c>
      <c r="AD175" t="s">
        <v>3864</v>
      </c>
      <c r="AE175" t="s">
        <v>3865</v>
      </c>
      <c r="AF175" t="s">
        <v>74</v>
      </c>
      <c r="AG175">
        <v>69</v>
      </c>
      <c r="AH175">
        <v>11</v>
      </c>
      <c r="AI175">
        <v>12</v>
      </c>
      <c r="AJ175">
        <v>0</v>
      </c>
      <c r="AK175">
        <v>3</v>
      </c>
      <c r="AL175" t="s">
        <v>122</v>
      </c>
      <c r="AM175" t="s">
        <v>123</v>
      </c>
      <c r="AN175" t="s">
        <v>124</v>
      </c>
      <c r="AO175" t="s">
        <v>125</v>
      </c>
      <c r="AP175" t="s">
        <v>126</v>
      </c>
      <c r="AQ175" t="s">
        <v>74</v>
      </c>
      <c r="AR175" t="s">
        <v>127</v>
      </c>
      <c r="AS175" t="s">
        <v>128</v>
      </c>
      <c r="AT175" t="s">
        <v>3703</v>
      </c>
      <c r="AU175">
        <v>2020</v>
      </c>
      <c r="AV175">
        <v>287</v>
      </c>
      <c r="AW175">
        <v>1937</v>
      </c>
      <c r="AX175" t="s">
        <v>74</v>
      </c>
      <c r="AY175" t="s">
        <v>74</v>
      </c>
      <c r="AZ175" t="s">
        <v>74</v>
      </c>
      <c r="BA175" t="s">
        <v>74</v>
      </c>
      <c r="BB175" t="s">
        <v>74</v>
      </c>
      <c r="BC175" t="s">
        <v>74</v>
      </c>
      <c r="BD175">
        <v>20201447</v>
      </c>
      <c r="BE175" t="s">
        <v>3866</v>
      </c>
      <c r="BF175" t="str">
        <f>HYPERLINK("http://dx.doi.org/10.1098/rspb.2020.1447","http://dx.doi.org/10.1098/rspb.2020.1447")</f>
        <v>http://dx.doi.org/10.1098/rspb.2020.1447</v>
      </c>
      <c r="BG175" t="s">
        <v>74</v>
      </c>
      <c r="BH175" t="s">
        <v>74</v>
      </c>
      <c r="BI175">
        <v>10</v>
      </c>
      <c r="BJ175" t="s">
        <v>130</v>
      </c>
      <c r="BK175" t="s">
        <v>100</v>
      </c>
      <c r="BL175" t="s">
        <v>131</v>
      </c>
      <c r="BM175" t="s">
        <v>3867</v>
      </c>
      <c r="BN175">
        <v>33081623</v>
      </c>
      <c r="BO175" t="s">
        <v>3868</v>
      </c>
      <c r="BP175" t="s">
        <v>74</v>
      </c>
      <c r="BQ175" t="s">
        <v>74</v>
      </c>
      <c r="BR175" t="s">
        <v>104</v>
      </c>
      <c r="BS175" t="s">
        <v>3869</v>
      </c>
      <c r="BT175" t="str">
        <f>HYPERLINK("https%3A%2F%2Fwww.webofscience.com%2Fwos%2Fwoscc%2Ffull-record%2FWOS:000586460200003","View Full Record in Web of Science")</f>
        <v>View Full Record in Web of Science</v>
      </c>
    </row>
    <row r="176" spans="1:72" x14ac:dyDescent="0.15">
      <c r="A176" t="s">
        <v>72</v>
      </c>
      <c r="B176" t="s">
        <v>3870</v>
      </c>
      <c r="C176" t="s">
        <v>74</v>
      </c>
      <c r="D176" t="s">
        <v>74</v>
      </c>
      <c r="E176" t="s">
        <v>74</v>
      </c>
      <c r="F176" t="s">
        <v>3871</v>
      </c>
      <c r="G176" t="s">
        <v>74</v>
      </c>
      <c r="H176" t="s">
        <v>74</v>
      </c>
      <c r="I176" t="s">
        <v>3872</v>
      </c>
      <c r="J176" t="s">
        <v>901</v>
      </c>
      <c r="K176" t="s">
        <v>74</v>
      </c>
      <c r="L176" t="s">
        <v>74</v>
      </c>
      <c r="M176" t="s">
        <v>78</v>
      </c>
      <c r="N176" t="s">
        <v>138</v>
      </c>
      <c r="O176" t="s">
        <v>74</v>
      </c>
      <c r="P176" t="s">
        <v>74</v>
      </c>
      <c r="Q176" t="s">
        <v>74</v>
      </c>
      <c r="R176" t="s">
        <v>74</v>
      </c>
      <c r="S176" t="s">
        <v>74</v>
      </c>
      <c r="T176" t="s">
        <v>3873</v>
      </c>
      <c r="U176" t="s">
        <v>3874</v>
      </c>
      <c r="V176" t="s">
        <v>3875</v>
      </c>
      <c r="W176" t="s">
        <v>3876</v>
      </c>
      <c r="X176" t="s">
        <v>3877</v>
      </c>
      <c r="Y176" t="s">
        <v>3878</v>
      </c>
      <c r="Z176" t="s">
        <v>3879</v>
      </c>
      <c r="AA176" t="s">
        <v>3880</v>
      </c>
      <c r="AB176" t="s">
        <v>3881</v>
      </c>
      <c r="AC176" t="s">
        <v>3882</v>
      </c>
      <c r="AD176" t="s">
        <v>3883</v>
      </c>
      <c r="AE176" t="s">
        <v>3884</v>
      </c>
      <c r="AF176" t="s">
        <v>74</v>
      </c>
      <c r="AG176">
        <v>176</v>
      </c>
      <c r="AH176">
        <v>30</v>
      </c>
      <c r="AI176">
        <v>31</v>
      </c>
      <c r="AJ176">
        <v>3</v>
      </c>
      <c r="AK176">
        <v>52</v>
      </c>
      <c r="AL176" t="s">
        <v>866</v>
      </c>
      <c r="AM176" t="s">
        <v>867</v>
      </c>
      <c r="AN176" t="s">
        <v>868</v>
      </c>
      <c r="AO176" t="s">
        <v>74</v>
      </c>
      <c r="AP176" t="s">
        <v>914</v>
      </c>
      <c r="AQ176" t="s">
        <v>74</v>
      </c>
      <c r="AR176" t="s">
        <v>915</v>
      </c>
      <c r="AS176" t="s">
        <v>916</v>
      </c>
      <c r="AT176" t="s">
        <v>3703</v>
      </c>
      <c r="AU176">
        <v>2020</v>
      </c>
      <c r="AV176">
        <v>7</v>
      </c>
      <c r="AW176" t="s">
        <v>74</v>
      </c>
      <c r="AX176" t="s">
        <v>74</v>
      </c>
      <c r="AY176" t="s">
        <v>74</v>
      </c>
      <c r="AZ176" t="s">
        <v>74</v>
      </c>
      <c r="BA176" t="s">
        <v>74</v>
      </c>
      <c r="BB176" t="s">
        <v>74</v>
      </c>
      <c r="BC176" t="s">
        <v>74</v>
      </c>
      <c r="BD176">
        <v>576254</v>
      </c>
      <c r="BE176" t="s">
        <v>3885</v>
      </c>
      <c r="BF176" t="str">
        <f>HYPERLINK("http://dx.doi.org/10.3389/fmars.2020.576254","http://dx.doi.org/10.3389/fmars.2020.576254")</f>
        <v>http://dx.doi.org/10.3389/fmars.2020.576254</v>
      </c>
      <c r="BG176" t="s">
        <v>74</v>
      </c>
      <c r="BH176" t="s">
        <v>74</v>
      </c>
      <c r="BI176">
        <v>15</v>
      </c>
      <c r="BJ176" t="s">
        <v>918</v>
      </c>
      <c r="BK176" t="s">
        <v>100</v>
      </c>
      <c r="BL176" t="s">
        <v>919</v>
      </c>
      <c r="BM176" t="s">
        <v>3886</v>
      </c>
      <c r="BN176" t="s">
        <v>74</v>
      </c>
      <c r="BO176" t="s">
        <v>2486</v>
      </c>
      <c r="BP176" t="s">
        <v>74</v>
      </c>
      <c r="BQ176" t="s">
        <v>74</v>
      </c>
      <c r="BR176" t="s">
        <v>104</v>
      </c>
      <c r="BS176" t="s">
        <v>3887</v>
      </c>
      <c r="BT176" t="str">
        <f>HYPERLINK("https%3A%2F%2Fwww.webofscience.com%2Fwos%2Fwoscc%2Ffull-record%2FWOS:000585728600001","View Full Record in Web of Science")</f>
        <v>View Full Record in Web of Science</v>
      </c>
    </row>
    <row r="177" spans="1:72" x14ac:dyDescent="0.15">
      <c r="A177" t="s">
        <v>72</v>
      </c>
      <c r="B177" t="s">
        <v>3888</v>
      </c>
      <c r="C177" t="s">
        <v>74</v>
      </c>
      <c r="D177" t="s">
        <v>74</v>
      </c>
      <c r="E177" t="s">
        <v>74</v>
      </c>
      <c r="F177" t="s">
        <v>3889</v>
      </c>
      <c r="G177" t="s">
        <v>74</v>
      </c>
      <c r="H177" t="s">
        <v>74</v>
      </c>
      <c r="I177" t="s">
        <v>3890</v>
      </c>
      <c r="J177" t="s">
        <v>3891</v>
      </c>
      <c r="K177" t="s">
        <v>74</v>
      </c>
      <c r="L177" t="s">
        <v>74</v>
      </c>
      <c r="M177" t="s">
        <v>78</v>
      </c>
      <c r="N177" t="s">
        <v>79</v>
      </c>
      <c r="O177" t="s">
        <v>74</v>
      </c>
      <c r="P177" t="s">
        <v>74</v>
      </c>
      <c r="Q177" t="s">
        <v>74</v>
      </c>
      <c r="R177" t="s">
        <v>74</v>
      </c>
      <c r="S177" t="s">
        <v>74</v>
      </c>
      <c r="T177" t="s">
        <v>3892</v>
      </c>
      <c r="U177" t="s">
        <v>3893</v>
      </c>
      <c r="V177" t="s">
        <v>3894</v>
      </c>
      <c r="W177" t="s">
        <v>3895</v>
      </c>
      <c r="X177" t="s">
        <v>3896</v>
      </c>
      <c r="Y177" t="s">
        <v>3897</v>
      </c>
      <c r="Z177" t="s">
        <v>3898</v>
      </c>
      <c r="AA177" t="s">
        <v>3899</v>
      </c>
      <c r="AB177" t="s">
        <v>3900</v>
      </c>
      <c r="AC177" t="s">
        <v>3901</v>
      </c>
      <c r="AD177" t="s">
        <v>3902</v>
      </c>
      <c r="AE177" t="s">
        <v>3903</v>
      </c>
      <c r="AF177" t="s">
        <v>74</v>
      </c>
      <c r="AG177">
        <v>65</v>
      </c>
      <c r="AH177">
        <v>15</v>
      </c>
      <c r="AI177">
        <v>18</v>
      </c>
      <c r="AJ177">
        <v>10</v>
      </c>
      <c r="AK177">
        <v>36</v>
      </c>
      <c r="AL177" t="s">
        <v>122</v>
      </c>
      <c r="AM177" t="s">
        <v>123</v>
      </c>
      <c r="AN177" t="s">
        <v>124</v>
      </c>
      <c r="AO177" t="s">
        <v>3904</v>
      </c>
      <c r="AP177" t="s">
        <v>3905</v>
      </c>
      <c r="AQ177" t="s">
        <v>74</v>
      </c>
      <c r="AR177" t="s">
        <v>3906</v>
      </c>
      <c r="AS177" t="s">
        <v>3907</v>
      </c>
      <c r="AT177" t="s">
        <v>3703</v>
      </c>
      <c r="AU177">
        <v>2020</v>
      </c>
      <c r="AV177">
        <v>476</v>
      </c>
      <c r="AW177">
        <v>2242</v>
      </c>
      <c r="AX177" t="s">
        <v>74</v>
      </c>
      <c r="AY177" t="s">
        <v>74</v>
      </c>
      <c r="AZ177" t="s">
        <v>74</v>
      </c>
      <c r="BA177" t="s">
        <v>74</v>
      </c>
      <c r="BB177" t="s">
        <v>74</v>
      </c>
      <c r="BC177" t="s">
        <v>74</v>
      </c>
      <c r="BD177">
        <v>20200508</v>
      </c>
      <c r="BE177" t="s">
        <v>3908</v>
      </c>
      <c r="BF177" t="str">
        <f>HYPERLINK("http://dx.doi.org/10.1098/rspa.2020.0508","http://dx.doi.org/10.1098/rspa.2020.0508")</f>
        <v>http://dx.doi.org/10.1098/rspa.2020.0508</v>
      </c>
      <c r="BG177" t="s">
        <v>74</v>
      </c>
      <c r="BH177" t="s">
        <v>74</v>
      </c>
      <c r="BI177">
        <v>22</v>
      </c>
      <c r="BJ177" t="s">
        <v>329</v>
      </c>
      <c r="BK177" t="s">
        <v>100</v>
      </c>
      <c r="BL177" t="s">
        <v>330</v>
      </c>
      <c r="BM177" t="s">
        <v>3909</v>
      </c>
      <c r="BN177">
        <v>33223948</v>
      </c>
      <c r="BO177" t="s">
        <v>3910</v>
      </c>
      <c r="BP177" t="s">
        <v>74</v>
      </c>
      <c r="BQ177" t="s">
        <v>74</v>
      </c>
      <c r="BR177" t="s">
        <v>104</v>
      </c>
      <c r="BS177" t="s">
        <v>3911</v>
      </c>
      <c r="BT177" t="str">
        <f>HYPERLINK("https%3A%2F%2Fwww.webofscience.com%2Fwos%2Fwoscc%2Ffull-record%2FWOS:000585274600001","View Full Record in Web of Science")</f>
        <v>View Full Record in Web of Science</v>
      </c>
    </row>
    <row r="178" spans="1:72" x14ac:dyDescent="0.15">
      <c r="A178" t="s">
        <v>72</v>
      </c>
      <c r="B178" t="s">
        <v>3912</v>
      </c>
      <c r="C178" t="s">
        <v>74</v>
      </c>
      <c r="D178" t="s">
        <v>74</v>
      </c>
      <c r="E178" t="s">
        <v>74</v>
      </c>
      <c r="F178" t="s">
        <v>3913</v>
      </c>
      <c r="G178" t="s">
        <v>74</v>
      </c>
      <c r="H178" t="s">
        <v>74</v>
      </c>
      <c r="I178" t="s">
        <v>3914</v>
      </c>
      <c r="J178" t="s">
        <v>1063</v>
      </c>
      <c r="K178" t="s">
        <v>74</v>
      </c>
      <c r="L178" t="s">
        <v>74</v>
      </c>
      <c r="M178" t="s">
        <v>78</v>
      </c>
      <c r="N178" t="s">
        <v>79</v>
      </c>
      <c r="O178" t="s">
        <v>74</v>
      </c>
      <c r="P178" t="s">
        <v>74</v>
      </c>
      <c r="Q178" t="s">
        <v>74</v>
      </c>
      <c r="R178" t="s">
        <v>74</v>
      </c>
      <c r="S178" t="s">
        <v>74</v>
      </c>
      <c r="T178" t="s">
        <v>3915</v>
      </c>
      <c r="U178" t="s">
        <v>3916</v>
      </c>
      <c r="V178" t="s">
        <v>3917</v>
      </c>
      <c r="W178" t="s">
        <v>3918</v>
      </c>
      <c r="X178" t="s">
        <v>3919</v>
      </c>
      <c r="Y178" t="s">
        <v>3920</v>
      </c>
      <c r="Z178" t="s">
        <v>3921</v>
      </c>
      <c r="AA178" t="s">
        <v>74</v>
      </c>
      <c r="AB178" t="s">
        <v>3922</v>
      </c>
      <c r="AC178" t="s">
        <v>3923</v>
      </c>
      <c r="AD178" t="s">
        <v>1758</v>
      </c>
      <c r="AE178" t="s">
        <v>74</v>
      </c>
      <c r="AF178" t="s">
        <v>74</v>
      </c>
      <c r="AG178">
        <v>35</v>
      </c>
      <c r="AH178">
        <v>6</v>
      </c>
      <c r="AI178">
        <v>7</v>
      </c>
      <c r="AJ178">
        <v>1</v>
      </c>
      <c r="AK178">
        <v>6</v>
      </c>
      <c r="AL178" t="s">
        <v>482</v>
      </c>
      <c r="AM178" t="s">
        <v>483</v>
      </c>
      <c r="AN178" t="s">
        <v>484</v>
      </c>
      <c r="AO178" t="s">
        <v>1075</v>
      </c>
      <c r="AP178" t="s">
        <v>1076</v>
      </c>
      <c r="AQ178" t="s">
        <v>74</v>
      </c>
      <c r="AR178" t="s">
        <v>1077</v>
      </c>
      <c r="AS178" t="s">
        <v>1078</v>
      </c>
      <c r="AT178" t="s">
        <v>720</v>
      </c>
      <c r="AU178">
        <v>2020</v>
      </c>
      <c r="AV178">
        <v>43</v>
      </c>
      <c r="AW178">
        <v>12</v>
      </c>
      <c r="AX178" t="s">
        <v>74</v>
      </c>
      <c r="AY178" t="s">
        <v>74</v>
      </c>
      <c r="AZ178" t="s">
        <v>74</v>
      </c>
      <c r="BA178" t="s">
        <v>74</v>
      </c>
      <c r="BB178">
        <v>2021</v>
      </c>
      <c r="BC178">
        <v>2030</v>
      </c>
      <c r="BD178" t="s">
        <v>74</v>
      </c>
      <c r="BE178" t="s">
        <v>3924</v>
      </c>
      <c r="BF178" t="str">
        <f>HYPERLINK("http://dx.doi.org/10.1007/s00300-020-02762-8","http://dx.doi.org/10.1007/s00300-020-02762-8")</f>
        <v>http://dx.doi.org/10.1007/s00300-020-02762-8</v>
      </c>
      <c r="BG178" t="s">
        <v>74</v>
      </c>
      <c r="BH178" t="s">
        <v>3429</v>
      </c>
      <c r="BI178">
        <v>10</v>
      </c>
      <c r="BJ178" t="s">
        <v>1080</v>
      </c>
      <c r="BK178" t="s">
        <v>100</v>
      </c>
      <c r="BL178" t="s">
        <v>256</v>
      </c>
      <c r="BM178" t="s">
        <v>1081</v>
      </c>
      <c r="BN178" t="s">
        <v>74</v>
      </c>
      <c r="BO178" t="s">
        <v>74</v>
      </c>
      <c r="BP178" t="s">
        <v>74</v>
      </c>
      <c r="BQ178" t="s">
        <v>74</v>
      </c>
      <c r="BR178" t="s">
        <v>104</v>
      </c>
      <c r="BS178" t="s">
        <v>3925</v>
      </c>
      <c r="BT178" t="str">
        <f>HYPERLINK("https%3A%2F%2Fwww.webofscience.com%2Fwos%2Fwoscc%2Ffull-record%2FWOS:000582815200001","View Full Record in Web of Science")</f>
        <v>View Full Record in Web of Science</v>
      </c>
    </row>
    <row r="179" spans="1:72" x14ac:dyDescent="0.15">
      <c r="A179" t="s">
        <v>72</v>
      </c>
      <c r="B179" t="s">
        <v>3926</v>
      </c>
      <c r="C179" t="s">
        <v>74</v>
      </c>
      <c r="D179" t="s">
        <v>74</v>
      </c>
      <c r="E179" t="s">
        <v>74</v>
      </c>
      <c r="F179" t="s">
        <v>3927</v>
      </c>
      <c r="G179" t="s">
        <v>74</v>
      </c>
      <c r="H179" t="s">
        <v>74</v>
      </c>
      <c r="I179" t="s">
        <v>3928</v>
      </c>
      <c r="J179" t="s">
        <v>3929</v>
      </c>
      <c r="K179" t="s">
        <v>74</v>
      </c>
      <c r="L179" t="s">
        <v>74</v>
      </c>
      <c r="M179" t="s">
        <v>78</v>
      </c>
      <c r="N179" t="s">
        <v>79</v>
      </c>
      <c r="O179" t="s">
        <v>74</v>
      </c>
      <c r="P179" t="s">
        <v>74</v>
      </c>
      <c r="Q179" t="s">
        <v>74</v>
      </c>
      <c r="R179" t="s">
        <v>74</v>
      </c>
      <c r="S179" t="s">
        <v>74</v>
      </c>
      <c r="T179" t="s">
        <v>3930</v>
      </c>
      <c r="U179" t="s">
        <v>3931</v>
      </c>
      <c r="V179" t="s">
        <v>3932</v>
      </c>
      <c r="W179" t="s">
        <v>3933</v>
      </c>
      <c r="X179" t="s">
        <v>3934</v>
      </c>
      <c r="Y179" t="s">
        <v>3935</v>
      </c>
      <c r="Z179" t="s">
        <v>3936</v>
      </c>
      <c r="AA179" t="s">
        <v>3937</v>
      </c>
      <c r="AB179" t="s">
        <v>3938</v>
      </c>
      <c r="AC179" t="s">
        <v>3939</v>
      </c>
      <c r="AD179" t="s">
        <v>3940</v>
      </c>
      <c r="AE179" t="s">
        <v>3941</v>
      </c>
      <c r="AF179" t="s">
        <v>74</v>
      </c>
      <c r="AG179">
        <v>61</v>
      </c>
      <c r="AH179">
        <v>7</v>
      </c>
      <c r="AI179">
        <v>8</v>
      </c>
      <c r="AJ179">
        <v>3</v>
      </c>
      <c r="AK179">
        <v>62</v>
      </c>
      <c r="AL179" t="s">
        <v>219</v>
      </c>
      <c r="AM179" t="s">
        <v>220</v>
      </c>
      <c r="AN179" t="s">
        <v>221</v>
      </c>
      <c r="AO179" t="s">
        <v>3942</v>
      </c>
      <c r="AP179" t="s">
        <v>3943</v>
      </c>
      <c r="AQ179" t="s">
        <v>74</v>
      </c>
      <c r="AR179" t="s">
        <v>3929</v>
      </c>
      <c r="AS179" t="s">
        <v>823</v>
      </c>
      <c r="AT179" t="s">
        <v>252</v>
      </c>
      <c r="AU179">
        <v>2021</v>
      </c>
      <c r="AV179">
        <v>102</v>
      </c>
      <c r="AW179">
        <v>1</v>
      </c>
      <c r="AX179" t="s">
        <v>74</v>
      </c>
      <c r="AY179" t="s">
        <v>74</v>
      </c>
      <c r="AZ179" t="s">
        <v>74</v>
      </c>
      <c r="BA179" t="s">
        <v>74</v>
      </c>
      <c r="BB179" t="s">
        <v>74</v>
      </c>
      <c r="BC179" t="s">
        <v>74</v>
      </c>
      <c r="BD179" t="s">
        <v>74</v>
      </c>
      <c r="BE179" t="s">
        <v>3944</v>
      </c>
      <c r="BF179" t="str">
        <f>HYPERLINK("http://dx.doi.org/10.1002/ecy.3200","http://dx.doi.org/10.1002/ecy.3200")</f>
        <v>http://dx.doi.org/10.1002/ecy.3200</v>
      </c>
      <c r="BG179" t="s">
        <v>74</v>
      </c>
      <c r="BH179" t="s">
        <v>3429</v>
      </c>
      <c r="BI179">
        <v>11</v>
      </c>
      <c r="BJ179" t="s">
        <v>823</v>
      </c>
      <c r="BK179" t="s">
        <v>100</v>
      </c>
      <c r="BL179" t="s">
        <v>284</v>
      </c>
      <c r="BM179" t="s">
        <v>3945</v>
      </c>
      <c r="BN179">
        <v>32970842</v>
      </c>
      <c r="BO179" t="s">
        <v>701</v>
      </c>
      <c r="BP179" t="s">
        <v>74</v>
      </c>
      <c r="BQ179" t="s">
        <v>74</v>
      </c>
      <c r="BR179" t="s">
        <v>104</v>
      </c>
      <c r="BS179" t="s">
        <v>3946</v>
      </c>
      <c r="BT179" t="str">
        <f>HYPERLINK("https%3A%2F%2Fwww.webofscience.com%2Fwos%2Fwoscc%2Ffull-record%2FWOS:000583270800001","View Full Record in Web of Science")</f>
        <v>View Full Record in Web of Science</v>
      </c>
    </row>
    <row r="180" spans="1:72" x14ac:dyDescent="0.15">
      <c r="A180" t="s">
        <v>72</v>
      </c>
      <c r="B180" t="s">
        <v>3947</v>
      </c>
      <c r="C180" t="s">
        <v>74</v>
      </c>
      <c r="D180" t="s">
        <v>74</v>
      </c>
      <c r="E180" t="s">
        <v>74</v>
      </c>
      <c r="F180" t="s">
        <v>3948</v>
      </c>
      <c r="G180" t="s">
        <v>74</v>
      </c>
      <c r="H180" t="s">
        <v>74</v>
      </c>
      <c r="I180" t="s">
        <v>3949</v>
      </c>
      <c r="J180" t="s">
        <v>3950</v>
      </c>
      <c r="K180" t="s">
        <v>74</v>
      </c>
      <c r="L180" t="s">
        <v>74</v>
      </c>
      <c r="M180" t="s">
        <v>78</v>
      </c>
      <c r="N180" t="s">
        <v>79</v>
      </c>
      <c r="O180" t="s">
        <v>74</v>
      </c>
      <c r="P180" t="s">
        <v>74</v>
      </c>
      <c r="Q180" t="s">
        <v>74</v>
      </c>
      <c r="R180" t="s">
        <v>74</v>
      </c>
      <c r="S180" t="s">
        <v>74</v>
      </c>
      <c r="T180" t="s">
        <v>3951</v>
      </c>
      <c r="U180" t="s">
        <v>3952</v>
      </c>
      <c r="V180" t="s">
        <v>3953</v>
      </c>
      <c r="W180" t="s">
        <v>3954</v>
      </c>
      <c r="X180" t="s">
        <v>3955</v>
      </c>
      <c r="Y180" t="s">
        <v>3956</v>
      </c>
      <c r="Z180" t="s">
        <v>3957</v>
      </c>
      <c r="AA180" t="s">
        <v>3958</v>
      </c>
      <c r="AB180" t="s">
        <v>3959</v>
      </c>
      <c r="AC180" t="s">
        <v>3960</v>
      </c>
      <c r="AD180" t="s">
        <v>3961</v>
      </c>
      <c r="AE180" t="s">
        <v>3962</v>
      </c>
      <c r="AF180" t="s">
        <v>74</v>
      </c>
      <c r="AG180">
        <v>80</v>
      </c>
      <c r="AH180">
        <v>20</v>
      </c>
      <c r="AI180">
        <v>21</v>
      </c>
      <c r="AJ180">
        <v>4</v>
      </c>
      <c r="AK180">
        <v>33</v>
      </c>
      <c r="AL180" t="s">
        <v>122</v>
      </c>
      <c r="AM180" t="s">
        <v>123</v>
      </c>
      <c r="AN180" t="s">
        <v>124</v>
      </c>
      <c r="AO180" t="s">
        <v>3963</v>
      </c>
      <c r="AP180" t="s">
        <v>3964</v>
      </c>
      <c r="AQ180" t="s">
        <v>74</v>
      </c>
      <c r="AR180" t="s">
        <v>3965</v>
      </c>
      <c r="AS180" t="s">
        <v>3966</v>
      </c>
      <c r="AT180" t="s">
        <v>3703</v>
      </c>
      <c r="AU180">
        <v>2020</v>
      </c>
      <c r="AV180">
        <v>17</v>
      </c>
      <c r="AW180">
        <v>171</v>
      </c>
      <c r="AX180" t="s">
        <v>74</v>
      </c>
      <c r="AY180" t="s">
        <v>74</v>
      </c>
      <c r="AZ180" t="s">
        <v>74</v>
      </c>
      <c r="BA180" t="s">
        <v>74</v>
      </c>
      <c r="BB180" t="s">
        <v>74</v>
      </c>
      <c r="BC180" t="s">
        <v>74</v>
      </c>
      <c r="BD180">
        <v>20200485</v>
      </c>
      <c r="BE180" t="s">
        <v>3967</v>
      </c>
      <c r="BF180" t="str">
        <f>HYPERLINK("http://dx.doi.org/10.1098/rsif.2020.0485","http://dx.doi.org/10.1098/rsif.2020.0485")</f>
        <v>http://dx.doi.org/10.1098/rsif.2020.0485</v>
      </c>
      <c r="BG180" t="s">
        <v>74</v>
      </c>
      <c r="BH180" t="s">
        <v>74</v>
      </c>
      <c r="BI180">
        <v>14</v>
      </c>
      <c r="BJ180" t="s">
        <v>329</v>
      </c>
      <c r="BK180" t="s">
        <v>100</v>
      </c>
      <c r="BL180" t="s">
        <v>330</v>
      </c>
      <c r="BM180" t="s">
        <v>3968</v>
      </c>
      <c r="BN180">
        <v>33050780</v>
      </c>
      <c r="BO180" t="s">
        <v>775</v>
      </c>
      <c r="BP180" t="s">
        <v>74</v>
      </c>
      <c r="BQ180" t="s">
        <v>74</v>
      </c>
      <c r="BR180" t="s">
        <v>104</v>
      </c>
      <c r="BS180" t="s">
        <v>3969</v>
      </c>
      <c r="BT180" t="str">
        <f>HYPERLINK("https%3A%2F%2Fwww.webofscience.com%2Fwos%2Fwoscc%2Ffull-record%2FWOS:000585286300001","View Full Record in Web of Science")</f>
        <v>View Full Record in Web of Science</v>
      </c>
    </row>
    <row r="181" spans="1:72" x14ac:dyDescent="0.15">
      <c r="A181" t="s">
        <v>72</v>
      </c>
      <c r="B181" t="s">
        <v>3970</v>
      </c>
      <c r="C181" t="s">
        <v>74</v>
      </c>
      <c r="D181" t="s">
        <v>74</v>
      </c>
      <c r="E181" t="s">
        <v>74</v>
      </c>
      <c r="F181" t="s">
        <v>3971</v>
      </c>
      <c r="G181" t="s">
        <v>74</v>
      </c>
      <c r="H181" t="s">
        <v>74</v>
      </c>
      <c r="I181" t="s">
        <v>3972</v>
      </c>
      <c r="J181" t="s">
        <v>309</v>
      </c>
      <c r="K181" t="s">
        <v>74</v>
      </c>
      <c r="L181" t="s">
        <v>74</v>
      </c>
      <c r="M181" t="s">
        <v>78</v>
      </c>
      <c r="N181" t="s">
        <v>79</v>
      </c>
      <c r="O181" t="s">
        <v>74</v>
      </c>
      <c r="P181" t="s">
        <v>74</v>
      </c>
      <c r="Q181" t="s">
        <v>74</v>
      </c>
      <c r="R181" t="s">
        <v>74</v>
      </c>
      <c r="S181" t="s">
        <v>74</v>
      </c>
      <c r="T181" t="s">
        <v>74</v>
      </c>
      <c r="U181" t="s">
        <v>3973</v>
      </c>
      <c r="V181" t="s">
        <v>3974</v>
      </c>
      <c r="W181" t="s">
        <v>3975</v>
      </c>
      <c r="X181" t="s">
        <v>3976</v>
      </c>
      <c r="Y181" t="s">
        <v>3977</v>
      </c>
      <c r="Z181" t="s">
        <v>3978</v>
      </c>
      <c r="AA181" t="s">
        <v>74</v>
      </c>
      <c r="AB181" t="s">
        <v>3979</v>
      </c>
      <c r="AC181" t="s">
        <v>3980</v>
      </c>
      <c r="AD181" t="s">
        <v>3981</v>
      </c>
      <c r="AE181" t="s">
        <v>3982</v>
      </c>
      <c r="AF181" t="s">
        <v>74</v>
      </c>
      <c r="AG181">
        <v>59</v>
      </c>
      <c r="AH181">
        <v>14</v>
      </c>
      <c r="AI181">
        <v>18</v>
      </c>
      <c r="AJ181">
        <v>1</v>
      </c>
      <c r="AK181">
        <v>13</v>
      </c>
      <c r="AL181" t="s">
        <v>413</v>
      </c>
      <c r="AM181" t="s">
        <v>322</v>
      </c>
      <c r="AN181" t="s">
        <v>323</v>
      </c>
      <c r="AO181" t="s">
        <v>324</v>
      </c>
      <c r="AP181" t="s">
        <v>74</v>
      </c>
      <c r="AQ181" t="s">
        <v>74</v>
      </c>
      <c r="AR181" t="s">
        <v>325</v>
      </c>
      <c r="AS181" t="s">
        <v>326</v>
      </c>
      <c r="AT181" t="s">
        <v>3703</v>
      </c>
      <c r="AU181">
        <v>2020</v>
      </c>
      <c r="AV181">
        <v>10</v>
      </c>
      <c r="AW181">
        <v>1</v>
      </c>
      <c r="AX181" t="s">
        <v>74</v>
      </c>
      <c r="AY181" t="s">
        <v>74</v>
      </c>
      <c r="AZ181" t="s">
        <v>74</v>
      </c>
      <c r="BA181" t="s">
        <v>74</v>
      </c>
      <c r="BB181" t="s">
        <v>74</v>
      </c>
      <c r="BC181" t="s">
        <v>74</v>
      </c>
      <c r="BD181">
        <v>18436</v>
      </c>
      <c r="BE181" t="s">
        <v>3983</v>
      </c>
      <c r="BF181" t="str">
        <f>HYPERLINK("http://dx.doi.org/10.1038/s41598-020-75148-9","http://dx.doi.org/10.1038/s41598-020-75148-9")</f>
        <v>http://dx.doi.org/10.1038/s41598-020-75148-9</v>
      </c>
      <c r="BG181" t="s">
        <v>74</v>
      </c>
      <c r="BH181" t="s">
        <v>74</v>
      </c>
      <c r="BI181">
        <v>12</v>
      </c>
      <c r="BJ181" t="s">
        <v>329</v>
      </c>
      <c r="BK181" t="s">
        <v>100</v>
      </c>
      <c r="BL181" t="s">
        <v>330</v>
      </c>
      <c r="BM181" t="s">
        <v>3984</v>
      </c>
      <c r="BN181">
        <v>33116190</v>
      </c>
      <c r="BO181" t="s">
        <v>512</v>
      </c>
      <c r="BP181" t="s">
        <v>74</v>
      </c>
      <c r="BQ181" t="s">
        <v>74</v>
      </c>
      <c r="BR181" t="s">
        <v>104</v>
      </c>
      <c r="BS181" t="s">
        <v>3985</v>
      </c>
      <c r="BT181" t="str">
        <f>HYPERLINK("https%3A%2F%2Fwww.webofscience.com%2Fwos%2Fwoscc%2Ffull-record%2FWOS:000587650700022","View Full Record in Web of Science")</f>
        <v>View Full Record in Web of Science</v>
      </c>
    </row>
    <row r="182" spans="1:72" x14ac:dyDescent="0.15">
      <c r="A182" t="s">
        <v>72</v>
      </c>
      <c r="B182" t="s">
        <v>3986</v>
      </c>
      <c r="C182" t="s">
        <v>74</v>
      </c>
      <c r="D182" t="s">
        <v>74</v>
      </c>
      <c r="E182" t="s">
        <v>74</v>
      </c>
      <c r="F182" t="s">
        <v>3987</v>
      </c>
      <c r="G182" t="s">
        <v>74</v>
      </c>
      <c r="H182" t="s">
        <v>74</v>
      </c>
      <c r="I182" t="s">
        <v>3988</v>
      </c>
      <c r="J182" t="s">
        <v>309</v>
      </c>
      <c r="K182" t="s">
        <v>74</v>
      </c>
      <c r="L182" t="s">
        <v>74</v>
      </c>
      <c r="M182" t="s">
        <v>78</v>
      </c>
      <c r="N182" t="s">
        <v>79</v>
      </c>
      <c r="O182" t="s">
        <v>74</v>
      </c>
      <c r="P182" t="s">
        <v>74</v>
      </c>
      <c r="Q182" t="s">
        <v>74</v>
      </c>
      <c r="R182" t="s">
        <v>74</v>
      </c>
      <c r="S182" t="s">
        <v>74</v>
      </c>
      <c r="T182" t="s">
        <v>74</v>
      </c>
      <c r="U182" t="s">
        <v>3989</v>
      </c>
      <c r="V182" t="s">
        <v>3990</v>
      </c>
      <c r="W182" t="s">
        <v>3991</v>
      </c>
      <c r="X182" t="s">
        <v>3992</v>
      </c>
      <c r="Y182" t="s">
        <v>3993</v>
      </c>
      <c r="Z182" t="s">
        <v>3994</v>
      </c>
      <c r="AA182" t="s">
        <v>3995</v>
      </c>
      <c r="AB182" t="s">
        <v>3996</v>
      </c>
      <c r="AC182" t="s">
        <v>3997</v>
      </c>
      <c r="AD182" t="s">
        <v>3998</v>
      </c>
      <c r="AE182" t="s">
        <v>3999</v>
      </c>
      <c r="AF182" t="s">
        <v>74</v>
      </c>
      <c r="AG182">
        <v>66</v>
      </c>
      <c r="AH182">
        <v>10</v>
      </c>
      <c r="AI182">
        <v>10</v>
      </c>
      <c r="AJ182">
        <v>6</v>
      </c>
      <c r="AK182">
        <v>28</v>
      </c>
      <c r="AL182" t="s">
        <v>413</v>
      </c>
      <c r="AM182" t="s">
        <v>322</v>
      </c>
      <c r="AN182" t="s">
        <v>323</v>
      </c>
      <c r="AO182" t="s">
        <v>324</v>
      </c>
      <c r="AP182" t="s">
        <v>74</v>
      </c>
      <c r="AQ182" t="s">
        <v>74</v>
      </c>
      <c r="AR182" t="s">
        <v>325</v>
      </c>
      <c r="AS182" t="s">
        <v>326</v>
      </c>
      <c r="AT182" t="s">
        <v>4000</v>
      </c>
      <c r="AU182">
        <v>2020</v>
      </c>
      <c r="AV182">
        <v>10</v>
      </c>
      <c r="AW182">
        <v>1</v>
      </c>
      <c r="AX182" t="s">
        <v>74</v>
      </c>
      <c r="AY182" t="s">
        <v>74</v>
      </c>
      <c r="AZ182" t="s">
        <v>74</v>
      </c>
      <c r="BA182" t="s">
        <v>74</v>
      </c>
      <c r="BB182" t="s">
        <v>74</v>
      </c>
      <c r="BC182" t="s">
        <v>74</v>
      </c>
      <c r="BD182">
        <v>18602</v>
      </c>
      <c r="BE182" t="s">
        <v>4001</v>
      </c>
      <c r="BF182" t="str">
        <f>HYPERLINK("http://dx.doi.org/10.1038/s41598-020-75293-1","http://dx.doi.org/10.1038/s41598-020-75293-1")</f>
        <v>http://dx.doi.org/10.1038/s41598-020-75293-1</v>
      </c>
      <c r="BG182" t="s">
        <v>74</v>
      </c>
      <c r="BH182" t="s">
        <v>74</v>
      </c>
      <c r="BI182">
        <v>15</v>
      </c>
      <c r="BJ182" t="s">
        <v>329</v>
      </c>
      <c r="BK182" t="s">
        <v>100</v>
      </c>
      <c r="BL182" t="s">
        <v>330</v>
      </c>
      <c r="BM182" t="s">
        <v>4002</v>
      </c>
      <c r="BN182">
        <v>33110129</v>
      </c>
      <c r="BO182" t="s">
        <v>332</v>
      </c>
      <c r="BP182" t="s">
        <v>74</v>
      </c>
      <c r="BQ182" t="s">
        <v>74</v>
      </c>
      <c r="BR182" t="s">
        <v>104</v>
      </c>
      <c r="BS182" t="s">
        <v>4003</v>
      </c>
      <c r="BT182" t="str">
        <f>HYPERLINK("https%3A%2F%2Fwww.webofscience.com%2Fwos%2Fwoscc%2Ffull-record%2FWOS:000615374100001","View Full Record in Web of Science")</f>
        <v>View Full Record in Web of Science</v>
      </c>
    </row>
    <row r="183" spans="1:72" x14ac:dyDescent="0.15">
      <c r="A183" t="s">
        <v>72</v>
      </c>
      <c r="B183" t="s">
        <v>4004</v>
      </c>
      <c r="C183" t="s">
        <v>74</v>
      </c>
      <c r="D183" t="s">
        <v>74</v>
      </c>
      <c r="E183" t="s">
        <v>74</v>
      </c>
      <c r="F183" t="s">
        <v>4005</v>
      </c>
      <c r="G183" t="s">
        <v>74</v>
      </c>
      <c r="H183" t="s">
        <v>74</v>
      </c>
      <c r="I183" t="s">
        <v>4006</v>
      </c>
      <c r="J183" t="s">
        <v>4007</v>
      </c>
      <c r="K183" t="s">
        <v>74</v>
      </c>
      <c r="L183" t="s">
        <v>74</v>
      </c>
      <c r="M183" t="s">
        <v>78</v>
      </c>
      <c r="N183" t="s">
        <v>3481</v>
      </c>
      <c r="O183" t="s">
        <v>74</v>
      </c>
      <c r="P183" t="s">
        <v>74</v>
      </c>
      <c r="Q183" t="s">
        <v>74</v>
      </c>
      <c r="R183" t="s">
        <v>74</v>
      </c>
      <c r="S183" t="s">
        <v>74</v>
      </c>
      <c r="T183" t="s">
        <v>74</v>
      </c>
      <c r="U183" t="s">
        <v>4008</v>
      </c>
      <c r="V183" t="s">
        <v>74</v>
      </c>
      <c r="W183" t="s">
        <v>4009</v>
      </c>
      <c r="X183" t="s">
        <v>4010</v>
      </c>
      <c r="Y183" t="s">
        <v>4011</v>
      </c>
      <c r="Z183" t="s">
        <v>4012</v>
      </c>
      <c r="AA183" t="s">
        <v>4013</v>
      </c>
      <c r="AB183" t="s">
        <v>4014</v>
      </c>
      <c r="AC183" t="s">
        <v>4015</v>
      </c>
      <c r="AD183" t="s">
        <v>4016</v>
      </c>
      <c r="AE183" t="s">
        <v>4017</v>
      </c>
      <c r="AF183" t="s">
        <v>74</v>
      </c>
      <c r="AG183">
        <v>21</v>
      </c>
      <c r="AH183">
        <v>24</v>
      </c>
      <c r="AI183">
        <v>26</v>
      </c>
      <c r="AJ183">
        <v>3</v>
      </c>
      <c r="AK183">
        <v>24</v>
      </c>
      <c r="AL183" t="s">
        <v>4018</v>
      </c>
      <c r="AM183" t="s">
        <v>609</v>
      </c>
      <c r="AN183" t="s">
        <v>4019</v>
      </c>
      <c r="AO183" t="s">
        <v>4020</v>
      </c>
      <c r="AP183" t="s">
        <v>74</v>
      </c>
      <c r="AQ183" t="s">
        <v>74</v>
      </c>
      <c r="AR183" t="s">
        <v>4021</v>
      </c>
      <c r="AS183" t="s">
        <v>4022</v>
      </c>
      <c r="AT183" t="s">
        <v>4000</v>
      </c>
      <c r="AU183">
        <v>2020</v>
      </c>
      <c r="AV183">
        <v>117</v>
      </c>
      <c r="AW183">
        <v>43</v>
      </c>
      <c r="AX183" t="s">
        <v>74</v>
      </c>
      <c r="AY183" t="s">
        <v>74</v>
      </c>
      <c r="AZ183" t="s">
        <v>74</v>
      </c>
      <c r="BA183" t="s">
        <v>74</v>
      </c>
      <c r="BB183">
        <v>26539</v>
      </c>
      <c r="BC183">
        <v>26543</v>
      </c>
      <c r="BD183" t="s">
        <v>74</v>
      </c>
      <c r="BE183" t="s">
        <v>4023</v>
      </c>
      <c r="BF183" t="str">
        <f>HYPERLINK("http://dx.doi.org/10.1073/pnas.2019469117","http://dx.doi.org/10.1073/pnas.2019469117")</f>
        <v>http://dx.doi.org/10.1073/pnas.2019469117</v>
      </c>
      <c r="BG183" t="s">
        <v>74</v>
      </c>
      <c r="BH183" t="s">
        <v>74</v>
      </c>
      <c r="BI183">
        <v>5</v>
      </c>
      <c r="BJ183" t="s">
        <v>329</v>
      </c>
      <c r="BK183" t="s">
        <v>100</v>
      </c>
      <c r="BL183" t="s">
        <v>330</v>
      </c>
      <c r="BM183" t="s">
        <v>4024</v>
      </c>
      <c r="BN183">
        <v>33028680</v>
      </c>
      <c r="BO183" t="s">
        <v>775</v>
      </c>
      <c r="BP183" t="s">
        <v>74</v>
      </c>
      <c r="BQ183" t="s">
        <v>74</v>
      </c>
      <c r="BR183" t="s">
        <v>104</v>
      </c>
      <c r="BS183" t="s">
        <v>4025</v>
      </c>
      <c r="BT183" t="str">
        <f>HYPERLINK("https%3A%2F%2Fwww.webofscience.com%2Fwos%2Fwoscc%2Ffull-record%2FWOS:000582743300001","View Full Record in Web of Science")</f>
        <v>View Full Record in Web of Science</v>
      </c>
    </row>
    <row r="184" spans="1:72" x14ac:dyDescent="0.15">
      <c r="A184" t="s">
        <v>72</v>
      </c>
      <c r="B184" t="s">
        <v>4026</v>
      </c>
      <c r="C184" t="s">
        <v>74</v>
      </c>
      <c r="D184" t="s">
        <v>74</v>
      </c>
      <c r="E184" t="s">
        <v>74</v>
      </c>
      <c r="F184" t="s">
        <v>4027</v>
      </c>
      <c r="G184" t="s">
        <v>74</v>
      </c>
      <c r="H184" t="s">
        <v>74</v>
      </c>
      <c r="I184" t="s">
        <v>4028</v>
      </c>
      <c r="J184" t="s">
        <v>381</v>
      </c>
      <c r="K184" t="s">
        <v>74</v>
      </c>
      <c r="L184" t="s">
        <v>74</v>
      </c>
      <c r="M184" t="s">
        <v>78</v>
      </c>
      <c r="N184" t="s">
        <v>79</v>
      </c>
      <c r="O184" t="s">
        <v>74</v>
      </c>
      <c r="P184" t="s">
        <v>74</v>
      </c>
      <c r="Q184" t="s">
        <v>74</v>
      </c>
      <c r="R184" t="s">
        <v>74</v>
      </c>
      <c r="S184" t="s">
        <v>74</v>
      </c>
      <c r="T184" t="s">
        <v>74</v>
      </c>
      <c r="U184" t="s">
        <v>4029</v>
      </c>
      <c r="V184" t="s">
        <v>4030</v>
      </c>
      <c r="W184" t="s">
        <v>4031</v>
      </c>
      <c r="X184" t="s">
        <v>4032</v>
      </c>
      <c r="Y184" t="s">
        <v>4033</v>
      </c>
      <c r="Z184" t="s">
        <v>4034</v>
      </c>
      <c r="AA184" t="s">
        <v>4035</v>
      </c>
      <c r="AB184" t="s">
        <v>4036</v>
      </c>
      <c r="AC184" t="s">
        <v>4037</v>
      </c>
      <c r="AD184" t="s">
        <v>4038</v>
      </c>
      <c r="AE184" t="s">
        <v>4039</v>
      </c>
      <c r="AF184" t="s">
        <v>74</v>
      </c>
      <c r="AG184">
        <v>57</v>
      </c>
      <c r="AH184">
        <v>55</v>
      </c>
      <c r="AI184">
        <v>58</v>
      </c>
      <c r="AJ184">
        <v>3</v>
      </c>
      <c r="AK184">
        <v>33</v>
      </c>
      <c r="AL184" t="s">
        <v>321</v>
      </c>
      <c r="AM184" t="s">
        <v>322</v>
      </c>
      <c r="AN184" t="s">
        <v>323</v>
      </c>
      <c r="AO184" t="s">
        <v>392</v>
      </c>
      <c r="AP184" t="s">
        <v>74</v>
      </c>
      <c r="AQ184" t="s">
        <v>74</v>
      </c>
      <c r="AR184" t="s">
        <v>393</v>
      </c>
      <c r="AS184" t="s">
        <v>394</v>
      </c>
      <c r="AT184" t="s">
        <v>4000</v>
      </c>
      <c r="AU184">
        <v>2020</v>
      </c>
      <c r="AV184">
        <v>11</v>
      </c>
      <c r="AW184">
        <v>1</v>
      </c>
      <c r="AX184" t="s">
        <v>74</v>
      </c>
      <c r="AY184" t="s">
        <v>74</v>
      </c>
      <c r="AZ184" t="s">
        <v>74</v>
      </c>
      <c r="BA184" t="s">
        <v>74</v>
      </c>
      <c r="BB184" t="s">
        <v>74</v>
      </c>
      <c r="BC184" t="s">
        <v>74</v>
      </c>
      <c r="BD184">
        <v>5177</v>
      </c>
      <c r="BE184" t="s">
        <v>4040</v>
      </c>
      <c r="BF184" t="str">
        <f>HYPERLINK("http://dx.doi.org/10.1038/s41467-020-18934-3","http://dx.doi.org/10.1038/s41467-020-18934-3")</f>
        <v>http://dx.doi.org/10.1038/s41467-020-18934-3</v>
      </c>
      <c r="BG184" t="s">
        <v>74</v>
      </c>
      <c r="BH184" t="s">
        <v>74</v>
      </c>
      <c r="BI184">
        <v>14</v>
      </c>
      <c r="BJ184" t="s">
        <v>329</v>
      </c>
      <c r="BK184" t="s">
        <v>100</v>
      </c>
      <c r="BL184" t="s">
        <v>330</v>
      </c>
      <c r="BM184" t="s">
        <v>4041</v>
      </c>
      <c r="BN184">
        <v>33110092</v>
      </c>
      <c r="BO184" t="s">
        <v>332</v>
      </c>
      <c r="BP184" t="s">
        <v>74</v>
      </c>
      <c r="BQ184" t="s">
        <v>74</v>
      </c>
      <c r="BR184" t="s">
        <v>104</v>
      </c>
      <c r="BS184" t="s">
        <v>4042</v>
      </c>
      <c r="BT184" t="str">
        <f>HYPERLINK("https%3A%2F%2Fwww.webofscience.com%2Fwos%2Fwoscc%2Ffull-record%2FWOS:000594622700008","View Full Record in Web of Science")</f>
        <v>View Full Record in Web of Science</v>
      </c>
    </row>
    <row r="185" spans="1:72" x14ac:dyDescent="0.15">
      <c r="A185" t="s">
        <v>72</v>
      </c>
      <c r="B185" t="s">
        <v>4043</v>
      </c>
      <c r="C185" t="s">
        <v>74</v>
      </c>
      <c r="D185" t="s">
        <v>74</v>
      </c>
      <c r="E185" t="s">
        <v>74</v>
      </c>
      <c r="F185" t="s">
        <v>4044</v>
      </c>
      <c r="G185" t="s">
        <v>74</v>
      </c>
      <c r="H185" t="s">
        <v>74</v>
      </c>
      <c r="I185" t="s">
        <v>4045</v>
      </c>
      <c r="J185" t="s">
        <v>4046</v>
      </c>
      <c r="K185" t="s">
        <v>74</v>
      </c>
      <c r="L185" t="s">
        <v>74</v>
      </c>
      <c r="M185" t="s">
        <v>78</v>
      </c>
      <c r="N185" t="s">
        <v>79</v>
      </c>
      <c r="O185" t="s">
        <v>74</v>
      </c>
      <c r="P185" t="s">
        <v>74</v>
      </c>
      <c r="Q185" t="s">
        <v>74</v>
      </c>
      <c r="R185" t="s">
        <v>74</v>
      </c>
      <c r="S185" t="s">
        <v>74</v>
      </c>
      <c r="T185" t="s">
        <v>4047</v>
      </c>
      <c r="U185" t="s">
        <v>4048</v>
      </c>
      <c r="V185" t="s">
        <v>4049</v>
      </c>
      <c r="W185" t="s">
        <v>4050</v>
      </c>
      <c r="X185" t="s">
        <v>4051</v>
      </c>
      <c r="Y185" t="s">
        <v>4052</v>
      </c>
      <c r="Z185" t="s">
        <v>4053</v>
      </c>
      <c r="AA185" t="s">
        <v>74</v>
      </c>
      <c r="AB185" t="s">
        <v>4054</v>
      </c>
      <c r="AC185" t="s">
        <v>4055</v>
      </c>
      <c r="AD185" t="s">
        <v>4056</v>
      </c>
      <c r="AE185" t="s">
        <v>4057</v>
      </c>
      <c r="AF185" t="s">
        <v>74</v>
      </c>
      <c r="AG185">
        <v>68</v>
      </c>
      <c r="AH185">
        <v>12</v>
      </c>
      <c r="AI185">
        <v>13</v>
      </c>
      <c r="AJ185">
        <v>2</v>
      </c>
      <c r="AK185">
        <v>18</v>
      </c>
      <c r="AL185" t="s">
        <v>866</v>
      </c>
      <c r="AM185" t="s">
        <v>867</v>
      </c>
      <c r="AN185" t="s">
        <v>868</v>
      </c>
      <c r="AO185" t="s">
        <v>74</v>
      </c>
      <c r="AP185" t="s">
        <v>4058</v>
      </c>
      <c r="AQ185" t="s">
        <v>74</v>
      </c>
      <c r="AR185" t="s">
        <v>4059</v>
      </c>
      <c r="AS185" t="s">
        <v>4060</v>
      </c>
      <c r="AT185" t="s">
        <v>4000</v>
      </c>
      <c r="AU185">
        <v>2020</v>
      </c>
      <c r="AV185">
        <v>11</v>
      </c>
      <c r="AW185" t="s">
        <v>74</v>
      </c>
      <c r="AX185" t="s">
        <v>74</v>
      </c>
      <c r="AY185" t="s">
        <v>74</v>
      </c>
      <c r="AZ185" t="s">
        <v>74</v>
      </c>
      <c r="BA185" t="s">
        <v>74</v>
      </c>
      <c r="BB185" t="s">
        <v>74</v>
      </c>
      <c r="BC185" t="s">
        <v>74</v>
      </c>
      <c r="BD185">
        <v>537960</v>
      </c>
      <c r="BE185" t="s">
        <v>4061</v>
      </c>
      <c r="BF185" t="str">
        <f>HYPERLINK("http://dx.doi.org/10.3389/fmicb.2020.537960","http://dx.doi.org/10.3389/fmicb.2020.537960")</f>
        <v>http://dx.doi.org/10.3389/fmicb.2020.537960</v>
      </c>
      <c r="BG185" t="s">
        <v>74</v>
      </c>
      <c r="BH185" t="s">
        <v>74</v>
      </c>
      <c r="BI185">
        <v>12</v>
      </c>
      <c r="BJ185" t="s">
        <v>229</v>
      </c>
      <c r="BK185" t="s">
        <v>100</v>
      </c>
      <c r="BL185" t="s">
        <v>229</v>
      </c>
      <c r="BM185" t="s">
        <v>4062</v>
      </c>
      <c r="BN185">
        <v>33193125</v>
      </c>
      <c r="BO185" t="s">
        <v>332</v>
      </c>
      <c r="BP185" t="s">
        <v>74</v>
      </c>
      <c r="BQ185" t="s">
        <v>74</v>
      </c>
      <c r="BR185" t="s">
        <v>104</v>
      </c>
      <c r="BS185" t="s">
        <v>4063</v>
      </c>
      <c r="BT185" t="str">
        <f>HYPERLINK("https%3A%2F%2Fwww.webofscience.com%2Fwos%2Fwoscc%2Ffull-record%2FWOS:000587815900001","View Full Record in Web of Science")</f>
        <v>View Full Record in Web of Science</v>
      </c>
    </row>
    <row r="186" spans="1:72" x14ac:dyDescent="0.15">
      <c r="A186" t="s">
        <v>72</v>
      </c>
      <c r="B186" t="s">
        <v>4064</v>
      </c>
      <c r="C186" t="s">
        <v>74</v>
      </c>
      <c r="D186" t="s">
        <v>74</v>
      </c>
      <c r="E186" t="s">
        <v>74</v>
      </c>
      <c r="F186" t="s">
        <v>4065</v>
      </c>
      <c r="G186" t="s">
        <v>74</v>
      </c>
      <c r="H186" t="s">
        <v>74</v>
      </c>
      <c r="I186" t="s">
        <v>4066</v>
      </c>
      <c r="J186" t="s">
        <v>4067</v>
      </c>
      <c r="K186" t="s">
        <v>74</v>
      </c>
      <c r="L186" t="s">
        <v>74</v>
      </c>
      <c r="M186" t="s">
        <v>78</v>
      </c>
      <c r="N186" t="s">
        <v>79</v>
      </c>
      <c r="O186" t="s">
        <v>74</v>
      </c>
      <c r="P186" t="s">
        <v>74</v>
      </c>
      <c r="Q186" t="s">
        <v>74</v>
      </c>
      <c r="R186" t="s">
        <v>74</v>
      </c>
      <c r="S186" t="s">
        <v>74</v>
      </c>
      <c r="T186" t="s">
        <v>4068</v>
      </c>
      <c r="U186" t="s">
        <v>4069</v>
      </c>
      <c r="V186" t="s">
        <v>4070</v>
      </c>
      <c r="W186" t="s">
        <v>4071</v>
      </c>
      <c r="X186" t="s">
        <v>4072</v>
      </c>
      <c r="Y186" t="s">
        <v>4073</v>
      </c>
      <c r="Z186" t="s">
        <v>4074</v>
      </c>
      <c r="AA186" t="s">
        <v>4075</v>
      </c>
      <c r="AB186" t="s">
        <v>4076</v>
      </c>
      <c r="AC186" t="s">
        <v>4077</v>
      </c>
      <c r="AD186" t="s">
        <v>4077</v>
      </c>
      <c r="AE186" t="s">
        <v>4078</v>
      </c>
      <c r="AF186" t="s">
        <v>74</v>
      </c>
      <c r="AG186">
        <v>41</v>
      </c>
      <c r="AH186">
        <v>3</v>
      </c>
      <c r="AI186">
        <v>3</v>
      </c>
      <c r="AJ186">
        <v>1</v>
      </c>
      <c r="AK186">
        <v>5</v>
      </c>
      <c r="AL186" t="s">
        <v>1710</v>
      </c>
      <c r="AM186" t="s">
        <v>609</v>
      </c>
      <c r="AN186" t="s">
        <v>1711</v>
      </c>
      <c r="AO186" t="s">
        <v>4079</v>
      </c>
      <c r="AP186" t="s">
        <v>4080</v>
      </c>
      <c r="AQ186" t="s">
        <v>74</v>
      </c>
      <c r="AR186" t="s">
        <v>4081</v>
      </c>
      <c r="AS186" t="s">
        <v>4082</v>
      </c>
      <c r="AT186" t="s">
        <v>4000</v>
      </c>
      <c r="AU186">
        <v>2020</v>
      </c>
      <c r="AV186">
        <v>125</v>
      </c>
      <c r="AW186">
        <v>20</v>
      </c>
      <c r="AX186" t="s">
        <v>74</v>
      </c>
      <c r="AY186" t="s">
        <v>74</v>
      </c>
      <c r="AZ186" t="s">
        <v>74</v>
      </c>
      <c r="BA186" t="s">
        <v>74</v>
      </c>
      <c r="BB186" t="s">
        <v>74</v>
      </c>
      <c r="BC186" t="s">
        <v>74</v>
      </c>
      <c r="BD186" t="s">
        <v>4083</v>
      </c>
      <c r="BE186" t="s">
        <v>4084</v>
      </c>
      <c r="BF186" t="str">
        <f>HYPERLINK("http://dx.doi.org/10.1029/2019JD030591","http://dx.doi.org/10.1029/2019JD030591")</f>
        <v>http://dx.doi.org/10.1029/2019JD030591</v>
      </c>
      <c r="BG186" t="s">
        <v>74</v>
      </c>
      <c r="BH186" t="s">
        <v>74</v>
      </c>
      <c r="BI186">
        <v>16</v>
      </c>
      <c r="BJ186" t="s">
        <v>800</v>
      </c>
      <c r="BK186" t="s">
        <v>100</v>
      </c>
      <c r="BL186" t="s">
        <v>800</v>
      </c>
      <c r="BM186" t="s">
        <v>4085</v>
      </c>
      <c r="BN186" t="s">
        <v>74</v>
      </c>
      <c r="BO186" t="s">
        <v>74</v>
      </c>
      <c r="BP186" t="s">
        <v>74</v>
      </c>
      <c r="BQ186" t="s">
        <v>74</v>
      </c>
      <c r="BR186" t="s">
        <v>104</v>
      </c>
      <c r="BS186" t="s">
        <v>4086</v>
      </c>
      <c r="BT186" t="str">
        <f>HYPERLINK("https%3A%2F%2Fwww.webofscience.com%2Fwos%2Fwoscc%2Ffull-record%2FWOS:000588398800022","View Full Record in Web of Science")</f>
        <v>View Full Record in Web of Science</v>
      </c>
    </row>
    <row r="187" spans="1:72" x14ac:dyDescent="0.15">
      <c r="A187" t="s">
        <v>72</v>
      </c>
      <c r="B187" t="s">
        <v>4087</v>
      </c>
      <c r="C187" t="s">
        <v>74</v>
      </c>
      <c r="D187" t="s">
        <v>74</v>
      </c>
      <c r="E187" t="s">
        <v>74</v>
      </c>
      <c r="F187" t="s">
        <v>4088</v>
      </c>
      <c r="G187" t="s">
        <v>74</v>
      </c>
      <c r="H187" t="s">
        <v>74</v>
      </c>
      <c r="I187" t="s">
        <v>4089</v>
      </c>
      <c r="J187" t="s">
        <v>4067</v>
      </c>
      <c r="K187" t="s">
        <v>74</v>
      </c>
      <c r="L187" t="s">
        <v>74</v>
      </c>
      <c r="M187" t="s">
        <v>78</v>
      </c>
      <c r="N187" t="s">
        <v>79</v>
      </c>
      <c r="O187" t="s">
        <v>74</v>
      </c>
      <c r="P187" t="s">
        <v>74</v>
      </c>
      <c r="Q187" t="s">
        <v>74</v>
      </c>
      <c r="R187" t="s">
        <v>74</v>
      </c>
      <c r="S187" t="s">
        <v>74</v>
      </c>
      <c r="T187" t="s">
        <v>4090</v>
      </c>
      <c r="U187" t="s">
        <v>4091</v>
      </c>
      <c r="V187" t="s">
        <v>4092</v>
      </c>
      <c r="W187" t="s">
        <v>4093</v>
      </c>
      <c r="X187" t="s">
        <v>4094</v>
      </c>
      <c r="Y187" t="s">
        <v>4095</v>
      </c>
      <c r="Z187" t="s">
        <v>4096</v>
      </c>
      <c r="AA187" t="s">
        <v>4097</v>
      </c>
      <c r="AB187" t="s">
        <v>4098</v>
      </c>
      <c r="AC187" t="s">
        <v>4099</v>
      </c>
      <c r="AD187" t="s">
        <v>4100</v>
      </c>
      <c r="AE187" t="s">
        <v>4101</v>
      </c>
      <c r="AF187" t="s">
        <v>74</v>
      </c>
      <c r="AG187">
        <v>63</v>
      </c>
      <c r="AH187">
        <v>19</v>
      </c>
      <c r="AI187">
        <v>20</v>
      </c>
      <c r="AJ187">
        <v>0</v>
      </c>
      <c r="AK187">
        <v>8</v>
      </c>
      <c r="AL187" t="s">
        <v>1710</v>
      </c>
      <c r="AM187" t="s">
        <v>609</v>
      </c>
      <c r="AN187" t="s">
        <v>1711</v>
      </c>
      <c r="AO187" t="s">
        <v>4079</v>
      </c>
      <c r="AP187" t="s">
        <v>4080</v>
      </c>
      <c r="AQ187" t="s">
        <v>74</v>
      </c>
      <c r="AR187" t="s">
        <v>4081</v>
      </c>
      <c r="AS187" t="s">
        <v>4082</v>
      </c>
      <c r="AT187" t="s">
        <v>4000</v>
      </c>
      <c r="AU187">
        <v>2020</v>
      </c>
      <c r="AV187">
        <v>125</v>
      </c>
      <c r="AW187">
        <v>20</v>
      </c>
      <c r="AX187" t="s">
        <v>74</v>
      </c>
      <c r="AY187" t="s">
        <v>74</v>
      </c>
      <c r="AZ187" t="s">
        <v>74</v>
      </c>
      <c r="BA187" t="s">
        <v>74</v>
      </c>
      <c r="BB187" t="s">
        <v>74</v>
      </c>
      <c r="BC187" t="s">
        <v>74</v>
      </c>
      <c r="BD187" t="s">
        <v>4102</v>
      </c>
      <c r="BE187" t="s">
        <v>4103</v>
      </c>
      <c r="BF187" t="str">
        <f>HYPERLINK("http://dx.doi.org/10.1029/2020JD033214","http://dx.doi.org/10.1029/2020JD033214")</f>
        <v>http://dx.doi.org/10.1029/2020JD033214</v>
      </c>
      <c r="BG187" t="s">
        <v>74</v>
      </c>
      <c r="BH187" t="s">
        <v>74</v>
      </c>
      <c r="BI187">
        <v>18</v>
      </c>
      <c r="BJ187" t="s">
        <v>800</v>
      </c>
      <c r="BK187" t="s">
        <v>100</v>
      </c>
      <c r="BL187" t="s">
        <v>800</v>
      </c>
      <c r="BM187" t="s">
        <v>4085</v>
      </c>
      <c r="BN187" t="s">
        <v>74</v>
      </c>
      <c r="BO187" t="s">
        <v>1259</v>
      </c>
      <c r="BP187" t="s">
        <v>74</v>
      </c>
      <c r="BQ187" t="s">
        <v>74</v>
      </c>
      <c r="BR187" t="s">
        <v>104</v>
      </c>
      <c r="BS187" t="s">
        <v>4104</v>
      </c>
      <c r="BT187" t="str">
        <f>HYPERLINK("https%3A%2F%2Fwww.webofscience.com%2Fwos%2Fwoscc%2Ffull-record%2FWOS:000588398800003","View Full Record in Web of Science")</f>
        <v>View Full Record in Web of Science</v>
      </c>
    </row>
    <row r="188" spans="1:72" x14ac:dyDescent="0.15">
      <c r="A188" t="s">
        <v>72</v>
      </c>
      <c r="B188" t="s">
        <v>4105</v>
      </c>
      <c r="C188" t="s">
        <v>74</v>
      </c>
      <c r="D188" t="s">
        <v>74</v>
      </c>
      <c r="E188" t="s">
        <v>74</v>
      </c>
      <c r="F188" t="s">
        <v>4106</v>
      </c>
      <c r="G188" t="s">
        <v>74</v>
      </c>
      <c r="H188" t="s">
        <v>74</v>
      </c>
      <c r="I188" t="s">
        <v>4107</v>
      </c>
      <c r="J188" t="s">
        <v>4108</v>
      </c>
      <c r="K188" t="s">
        <v>74</v>
      </c>
      <c r="L188" t="s">
        <v>74</v>
      </c>
      <c r="M188" t="s">
        <v>78</v>
      </c>
      <c r="N188" t="s">
        <v>79</v>
      </c>
      <c r="O188" t="s">
        <v>74</v>
      </c>
      <c r="P188" t="s">
        <v>74</v>
      </c>
      <c r="Q188" t="s">
        <v>74</v>
      </c>
      <c r="R188" t="s">
        <v>74</v>
      </c>
      <c r="S188" t="s">
        <v>74</v>
      </c>
      <c r="T188" t="s">
        <v>74</v>
      </c>
      <c r="U188" t="s">
        <v>4109</v>
      </c>
      <c r="V188" t="s">
        <v>4110</v>
      </c>
      <c r="W188" t="s">
        <v>4111</v>
      </c>
      <c r="X188" t="s">
        <v>4112</v>
      </c>
      <c r="Y188" t="s">
        <v>4113</v>
      </c>
      <c r="Z188" t="s">
        <v>4114</v>
      </c>
      <c r="AA188" t="s">
        <v>4115</v>
      </c>
      <c r="AB188" t="s">
        <v>4116</v>
      </c>
      <c r="AC188" t="s">
        <v>4117</v>
      </c>
      <c r="AD188" t="s">
        <v>4118</v>
      </c>
      <c r="AE188" t="s">
        <v>4119</v>
      </c>
      <c r="AF188" t="s">
        <v>74</v>
      </c>
      <c r="AG188">
        <v>16</v>
      </c>
      <c r="AH188">
        <v>3</v>
      </c>
      <c r="AI188">
        <v>3</v>
      </c>
      <c r="AJ188">
        <v>0</v>
      </c>
      <c r="AK188">
        <v>1</v>
      </c>
      <c r="AL188" t="s">
        <v>91</v>
      </c>
      <c r="AM188" t="s">
        <v>92</v>
      </c>
      <c r="AN188" t="s">
        <v>93</v>
      </c>
      <c r="AO188" t="s">
        <v>4120</v>
      </c>
      <c r="AP188" t="s">
        <v>4121</v>
      </c>
      <c r="AQ188" t="s">
        <v>74</v>
      </c>
      <c r="AR188" t="s">
        <v>4122</v>
      </c>
      <c r="AS188" t="s">
        <v>4123</v>
      </c>
      <c r="AT188" t="s">
        <v>4000</v>
      </c>
      <c r="AU188">
        <v>2020</v>
      </c>
      <c r="AV188">
        <v>13</v>
      </c>
      <c r="AW188">
        <v>10</v>
      </c>
      <c r="AX188" t="s">
        <v>74</v>
      </c>
      <c r="AY188" t="s">
        <v>74</v>
      </c>
      <c r="AZ188" t="s">
        <v>74</v>
      </c>
      <c r="BA188" t="s">
        <v>74</v>
      </c>
      <c r="BB188">
        <v>5715</v>
      </c>
      <c r="BC188">
        <v>5723</v>
      </c>
      <c r="BD188" t="s">
        <v>74</v>
      </c>
      <c r="BE188" t="s">
        <v>4124</v>
      </c>
      <c r="BF188" t="str">
        <f>HYPERLINK("http://dx.doi.org/10.5194/amt-13-5715-2020","http://dx.doi.org/10.5194/amt-13-5715-2020")</f>
        <v>http://dx.doi.org/10.5194/amt-13-5715-2020</v>
      </c>
      <c r="BG188" t="s">
        <v>74</v>
      </c>
      <c r="BH188" t="s">
        <v>74</v>
      </c>
      <c r="BI188">
        <v>9</v>
      </c>
      <c r="BJ188" t="s">
        <v>800</v>
      </c>
      <c r="BK188" t="s">
        <v>100</v>
      </c>
      <c r="BL188" t="s">
        <v>800</v>
      </c>
      <c r="BM188" t="s">
        <v>4125</v>
      </c>
      <c r="BN188" t="s">
        <v>74</v>
      </c>
      <c r="BO188" t="s">
        <v>677</v>
      </c>
      <c r="BP188" t="s">
        <v>74</v>
      </c>
      <c r="BQ188" t="s">
        <v>74</v>
      </c>
      <c r="BR188" t="s">
        <v>104</v>
      </c>
      <c r="BS188" t="s">
        <v>4126</v>
      </c>
      <c r="BT188" t="str">
        <f>HYPERLINK("https%3A%2F%2Fwww.webofscience.com%2Fwos%2Fwoscc%2Ffull-record%2FWOS:000586736600001","View Full Record in Web of Science")</f>
        <v>View Full Record in Web of Science</v>
      </c>
    </row>
    <row r="189" spans="1:72" x14ac:dyDescent="0.15">
      <c r="A189" t="s">
        <v>72</v>
      </c>
      <c r="B189" t="s">
        <v>4127</v>
      </c>
      <c r="C189" t="s">
        <v>74</v>
      </c>
      <c r="D189" t="s">
        <v>74</v>
      </c>
      <c r="E189" t="s">
        <v>74</v>
      </c>
      <c r="F189" t="s">
        <v>4128</v>
      </c>
      <c r="G189" t="s">
        <v>74</v>
      </c>
      <c r="H189" t="s">
        <v>74</v>
      </c>
      <c r="I189" t="s">
        <v>4129</v>
      </c>
      <c r="J189" t="s">
        <v>77</v>
      </c>
      <c r="K189" t="s">
        <v>74</v>
      </c>
      <c r="L189" t="s">
        <v>74</v>
      </c>
      <c r="M189" t="s">
        <v>78</v>
      </c>
      <c r="N189" t="s">
        <v>79</v>
      </c>
      <c r="O189" t="s">
        <v>74</v>
      </c>
      <c r="P189" t="s">
        <v>74</v>
      </c>
      <c r="Q189" t="s">
        <v>74</v>
      </c>
      <c r="R189" t="s">
        <v>74</v>
      </c>
      <c r="S189" t="s">
        <v>74</v>
      </c>
      <c r="T189" t="s">
        <v>74</v>
      </c>
      <c r="U189" t="s">
        <v>4130</v>
      </c>
      <c r="V189" t="s">
        <v>4131</v>
      </c>
      <c r="W189" t="s">
        <v>4132</v>
      </c>
      <c r="X189" t="s">
        <v>4133</v>
      </c>
      <c r="Y189" t="s">
        <v>4134</v>
      </c>
      <c r="Z189" t="s">
        <v>4135</v>
      </c>
      <c r="AA189" t="s">
        <v>4136</v>
      </c>
      <c r="AB189" t="s">
        <v>4137</v>
      </c>
      <c r="AC189" t="s">
        <v>4138</v>
      </c>
      <c r="AD189" t="s">
        <v>4139</v>
      </c>
      <c r="AE189" t="s">
        <v>4140</v>
      </c>
      <c r="AF189" t="s">
        <v>74</v>
      </c>
      <c r="AG189">
        <v>60</v>
      </c>
      <c r="AH189">
        <v>9</v>
      </c>
      <c r="AI189">
        <v>10</v>
      </c>
      <c r="AJ189">
        <v>1</v>
      </c>
      <c r="AK189">
        <v>7</v>
      </c>
      <c r="AL189" t="s">
        <v>91</v>
      </c>
      <c r="AM189" t="s">
        <v>92</v>
      </c>
      <c r="AN189" t="s">
        <v>93</v>
      </c>
      <c r="AO189" t="s">
        <v>94</v>
      </c>
      <c r="AP189" t="s">
        <v>95</v>
      </c>
      <c r="AQ189" t="s">
        <v>74</v>
      </c>
      <c r="AR189" t="s">
        <v>77</v>
      </c>
      <c r="AS189" t="s">
        <v>96</v>
      </c>
      <c r="AT189" t="s">
        <v>4000</v>
      </c>
      <c r="AU189">
        <v>2020</v>
      </c>
      <c r="AV189">
        <v>14</v>
      </c>
      <c r="AW189">
        <v>10</v>
      </c>
      <c r="AX189" t="s">
        <v>74</v>
      </c>
      <c r="AY189" t="s">
        <v>74</v>
      </c>
      <c r="AZ189" t="s">
        <v>74</v>
      </c>
      <c r="BA189" t="s">
        <v>74</v>
      </c>
      <c r="BB189">
        <v>3537</v>
      </c>
      <c r="BC189">
        <v>3550</v>
      </c>
      <c r="BD189" t="s">
        <v>74</v>
      </c>
      <c r="BE189" t="s">
        <v>4141</v>
      </c>
      <c r="BF189" t="str">
        <f>HYPERLINK("http://dx.doi.org/10.5194/tc-14-3537-2020","http://dx.doi.org/10.5194/tc-14-3537-2020")</f>
        <v>http://dx.doi.org/10.5194/tc-14-3537-2020</v>
      </c>
      <c r="BG189" t="s">
        <v>74</v>
      </c>
      <c r="BH189" t="s">
        <v>74</v>
      </c>
      <c r="BI189">
        <v>14</v>
      </c>
      <c r="BJ189" t="s">
        <v>99</v>
      </c>
      <c r="BK189" t="s">
        <v>100</v>
      </c>
      <c r="BL189" t="s">
        <v>101</v>
      </c>
      <c r="BM189" t="s">
        <v>4142</v>
      </c>
      <c r="BN189" t="s">
        <v>74</v>
      </c>
      <c r="BO189" t="s">
        <v>677</v>
      </c>
      <c r="BP189" t="s">
        <v>74</v>
      </c>
      <c r="BQ189" t="s">
        <v>74</v>
      </c>
      <c r="BR189" t="s">
        <v>104</v>
      </c>
      <c r="BS189" t="s">
        <v>4143</v>
      </c>
      <c r="BT189" t="str">
        <f>HYPERLINK("https%3A%2F%2Fwww.webofscience.com%2Fwos%2Fwoscc%2Ffull-record%2FWOS:000586742400001","View Full Record in Web of Science")</f>
        <v>View Full Record in Web of Science</v>
      </c>
    </row>
    <row r="190" spans="1:72" x14ac:dyDescent="0.15">
      <c r="A190" t="s">
        <v>72</v>
      </c>
      <c r="B190" t="s">
        <v>4144</v>
      </c>
      <c r="C190" t="s">
        <v>74</v>
      </c>
      <c r="D190" t="s">
        <v>74</v>
      </c>
      <c r="E190" t="s">
        <v>74</v>
      </c>
      <c r="F190" t="s">
        <v>4145</v>
      </c>
      <c r="G190" t="s">
        <v>74</v>
      </c>
      <c r="H190" t="s">
        <v>74</v>
      </c>
      <c r="I190" t="s">
        <v>4146</v>
      </c>
      <c r="J190" t="s">
        <v>77</v>
      </c>
      <c r="K190" t="s">
        <v>74</v>
      </c>
      <c r="L190" t="s">
        <v>74</v>
      </c>
      <c r="M190" t="s">
        <v>78</v>
      </c>
      <c r="N190" t="s">
        <v>79</v>
      </c>
      <c r="O190" t="s">
        <v>74</v>
      </c>
      <c r="P190" t="s">
        <v>74</v>
      </c>
      <c r="Q190" t="s">
        <v>74</v>
      </c>
      <c r="R190" t="s">
        <v>74</v>
      </c>
      <c r="S190" t="s">
        <v>74</v>
      </c>
      <c r="T190" t="s">
        <v>74</v>
      </c>
      <c r="U190" t="s">
        <v>4147</v>
      </c>
      <c r="V190" t="s">
        <v>4148</v>
      </c>
      <c r="W190" t="s">
        <v>4149</v>
      </c>
      <c r="X190" t="s">
        <v>4150</v>
      </c>
      <c r="Y190" t="s">
        <v>4151</v>
      </c>
      <c r="Z190" t="s">
        <v>4152</v>
      </c>
      <c r="AA190" t="s">
        <v>4153</v>
      </c>
      <c r="AB190" t="s">
        <v>4154</v>
      </c>
      <c r="AC190" t="s">
        <v>4155</v>
      </c>
      <c r="AD190" t="s">
        <v>4156</v>
      </c>
      <c r="AE190" t="s">
        <v>4157</v>
      </c>
      <c r="AF190" t="s">
        <v>74</v>
      </c>
      <c r="AG190">
        <v>42</v>
      </c>
      <c r="AH190">
        <v>17</v>
      </c>
      <c r="AI190">
        <v>18</v>
      </c>
      <c r="AJ190">
        <v>4</v>
      </c>
      <c r="AK190">
        <v>23</v>
      </c>
      <c r="AL190" t="s">
        <v>91</v>
      </c>
      <c r="AM190" t="s">
        <v>92</v>
      </c>
      <c r="AN190" t="s">
        <v>93</v>
      </c>
      <c r="AO190" t="s">
        <v>94</v>
      </c>
      <c r="AP190" t="s">
        <v>95</v>
      </c>
      <c r="AQ190" t="s">
        <v>74</v>
      </c>
      <c r="AR190" t="s">
        <v>77</v>
      </c>
      <c r="AS190" t="s">
        <v>96</v>
      </c>
      <c r="AT190" t="s">
        <v>4000</v>
      </c>
      <c r="AU190">
        <v>2020</v>
      </c>
      <c r="AV190">
        <v>14</v>
      </c>
      <c r="AW190">
        <v>10</v>
      </c>
      <c r="AX190" t="s">
        <v>74</v>
      </c>
      <c r="AY190" t="s">
        <v>74</v>
      </c>
      <c r="AZ190" t="s">
        <v>74</v>
      </c>
      <c r="BA190" t="s">
        <v>74</v>
      </c>
      <c r="BB190">
        <v>3551</v>
      </c>
      <c r="BC190">
        <v>3564</v>
      </c>
      <c r="BD190" t="s">
        <v>74</v>
      </c>
      <c r="BE190" t="s">
        <v>4158</v>
      </c>
      <c r="BF190" t="str">
        <f>HYPERLINK("http://dx.doi.org/10.5194/tc-14-3551-2020","http://dx.doi.org/10.5194/tc-14-3551-2020")</f>
        <v>http://dx.doi.org/10.5194/tc-14-3551-2020</v>
      </c>
      <c r="BG190" t="s">
        <v>74</v>
      </c>
      <c r="BH190" t="s">
        <v>74</v>
      </c>
      <c r="BI190">
        <v>14</v>
      </c>
      <c r="BJ190" t="s">
        <v>99</v>
      </c>
      <c r="BK190" t="s">
        <v>100</v>
      </c>
      <c r="BL190" t="s">
        <v>101</v>
      </c>
      <c r="BM190" t="s">
        <v>4142</v>
      </c>
      <c r="BN190" t="s">
        <v>74</v>
      </c>
      <c r="BO190" t="s">
        <v>2113</v>
      </c>
      <c r="BP190" t="s">
        <v>74</v>
      </c>
      <c r="BQ190" t="s">
        <v>74</v>
      </c>
      <c r="BR190" t="s">
        <v>104</v>
      </c>
      <c r="BS190" t="s">
        <v>4159</v>
      </c>
      <c r="BT190" t="str">
        <f>HYPERLINK("https%3A%2F%2Fwww.webofscience.com%2Fwos%2Fwoscc%2Ffull-record%2FWOS:000586742400002","View Full Record in Web of Science")</f>
        <v>View Full Record in Web of Science</v>
      </c>
    </row>
    <row r="191" spans="1:72" x14ac:dyDescent="0.15">
      <c r="A191" t="s">
        <v>72</v>
      </c>
      <c r="B191" t="s">
        <v>4160</v>
      </c>
      <c r="C191" t="s">
        <v>74</v>
      </c>
      <c r="D191" t="s">
        <v>74</v>
      </c>
      <c r="E191" t="s">
        <v>74</v>
      </c>
      <c r="F191" t="s">
        <v>4161</v>
      </c>
      <c r="G191" t="s">
        <v>74</v>
      </c>
      <c r="H191" t="s">
        <v>74</v>
      </c>
      <c r="I191" t="s">
        <v>4162</v>
      </c>
      <c r="J191" t="s">
        <v>901</v>
      </c>
      <c r="K191" t="s">
        <v>74</v>
      </c>
      <c r="L191" t="s">
        <v>74</v>
      </c>
      <c r="M191" t="s">
        <v>78</v>
      </c>
      <c r="N191" t="s">
        <v>79</v>
      </c>
      <c r="O191" t="s">
        <v>74</v>
      </c>
      <c r="P191" t="s">
        <v>74</v>
      </c>
      <c r="Q191" t="s">
        <v>74</v>
      </c>
      <c r="R191" t="s">
        <v>74</v>
      </c>
      <c r="S191" t="s">
        <v>74</v>
      </c>
      <c r="T191" t="s">
        <v>4163</v>
      </c>
      <c r="U191" t="s">
        <v>4164</v>
      </c>
      <c r="V191" t="s">
        <v>4165</v>
      </c>
      <c r="W191" t="s">
        <v>4166</v>
      </c>
      <c r="X191" t="s">
        <v>4167</v>
      </c>
      <c r="Y191" t="s">
        <v>4168</v>
      </c>
      <c r="Z191" t="s">
        <v>4169</v>
      </c>
      <c r="AA191" t="s">
        <v>4170</v>
      </c>
      <c r="AB191" t="s">
        <v>4171</v>
      </c>
      <c r="AC191" t="s">
        <v>4172</v>
      </c>
      <c r="AD191" t="s">
        <v>4173</v>
      </c>
      <c r="AE191" t="s">
        <v>4174</v>
      </c>
      <c r="AF191" t="s">
        <v>74</v>
      </c>
      <c r="AG191">
        <v>140</v>
      </c>
      <c r="AH191">
        <v>20</v>
      </c>
      <c r="AI191">
        <v>20</v>
      </c>
      <c r="AJ191">
        <v>4</v>
      </c>
      <c r="AK191">
        <v>37</v>
      </c>
      <c r="AL191" t="s">
        <v>866</v>
      </c>
      <c r="AM191" t="s">
        <v>867</v>
      </c>
      <c r="AN191" t="s">
        <v>868</v>
      </c>
      <c r="AO191" t="s">
        <v>74</v>
      </c>
      <c r="AP191" t="s">
        <v>914</v>
      </c>
      <c r="AQ191" t="s">
        <v>74</v>
      </c>
      <c r="AR191" t="s">
        <v>915</v>
      </c>
      <c r="AS191" t="s">
        <v>916</v>
      </c>
      <c r="AT191" t="s">
        <v>4000</v>
      </c>
      <c r="AU191">
        <v>2020</v>
      </c>
      <c r="AV191">
        <v>7</v>
      </c>
      <c r="AW191" t="s">
        <v>74</v>
      </c>
      <c r="AX191" t="s">
        <v>74</v>
      </c>
      <c r="AY191" t="s">
        <v>74</v>
      </c>
      <c r="AZ191" t="s">
        <v>74</v>
      </c>
      <c r="BA191" t="s">
        <v>74</v>
      </c>
      <c r="BB191" t="s">
        <v>74</v>
      </c>
      <c r="BC191" t="s">
        <v>74</v>
      </c>
      <c r="BD191">
        <v>577098</v>
      </c>
      <c r="BE191" t="s">
        <v>4175</v>
      </c>
      <c r="BF191" t="str">
        <f>HYPERLINK("http://dx.doi.org/10.3389/fmars.2020.577098","http://dx.doi.org/10.3389/fmars.2020.577098")</f>
        <v>http://dx.doi.org/10.3389/fmars.2020.577098</v>
      </c>
      <c r="BG191" t="s">
        <v>74</v>
      </c>
      <c r="BH191" t="s">
        <v>74</v>
      </c>
      <c r="BI191">
        <v>23</v>
      </c>
      <c r="BJ191" t="s">
        <v>918</v>
      </c>
      <c r="BK191" t="s">
        <v>100</v>
      </c>
      <c r="BL191" t="s">
        <v>919</v>
      </c>
      <c r="BM191" t="s">
        <v>4176</v>
      </c>
      <c r="BN191" t="s">
        <v>74</v>
      </c>
      <c r="BO191" t="s">
        <v>2113</v>
      </c>
      <c r="BP191" t="s">
        <v>74</v>
      </c>
      <c r="BQ191" t="s">
        <v>74</v>
      </c>
      <c r="BR191" t="s">
        <v>104</v>
      </c>
      <c r="BS191" t="s">
        <v>4177</v>
      </c>
      <c r="BT191" t="str">
        <f>HYPERLINK("https%3A%2F%2Fwww.webofscience.com%2Fwos%2Fwoscc%2Ffull-record%2FWOS:000585735100001","View Full Record in Web of Science")</f>
        <v>View Full Record in Web of Science</v>
      </c>
    </row>
    <row r="192" spans="1:72" x14ac:dyDescent="0.15">
      <c r="A192" t="s">
        <v>72</v>
      </c>
      <c r="B192" t="s">
        <v>4178</v>
      </c>
      <c r="C192" t="s">
        <v>74</v>
      </c>
      <c r="D192" t="s">
        <v>74</v>
      </c>
      <c r="E192" t="s">
        <v>74</v>
      </c>
      <c r="F192" t="s">
        <v>4179</v>
      </c>
      <c r="G192" t="s">
        <v>74</v>
      </c>
      <c r="H192" t="s">
        <v>74</v>
      </c>
      <c r="I192" t="s">
        <v>4180</v>
      </c>
      <c r="J192" t="s">
        <v>4181</v>
      </c>
      <c r="K192" t="s">
        <v>74</v>
      </c>
      <c r="L192" t="s">
        <v>74</v>
      </c>
      <c r="M192" t="s">
        <v>78</v>
      </c>
      <c r="N192" t="s">
        <v>79</v>
      </c>
      <c r="O192" t="s">
        <v>74</v>
      </c>
      <c r="P192" t="s">
        <v>74</v>
      </c>
      <c r="Q192" t="s">
        <v>74</v>
      </c>
      <c r="R192" t="s">
        <v>74</v>
      </c>
      <c r="S192" t="s">
        <v>74</v>
      </c>
      <c r="T192" t="s">
        <v>4182</v>
      </c>
      <c r="U192" t="s">
        <v>4183</v>
      </c>
      <c r="V192" t="s">
        <v>4184</v>
      </c>
      <c r="W192" t="s">
        <v>4185</v>
      </c>
      <c r="X192" t="s">
        <v>4186</v>
      </c>
      <c r="Y192" t="s">
        <v>4187</v>
      </c>
      <c r="Z192" t="s">
        <v>4188</v>
      </c>
      <c r="AA192" t="s">
        <v>4189</v>
      </c>
      <c r="AB192" t="s">
        <v>4190</v>
      </c>
      <c r="AC192" t="s">
        <v>4191</v>
      </c>
      <c r="AD192" t="s">
        <v>4192</v>
      </c>
      <c r="AE192" t="s">
        <v>4193</v>
      </c>
      <c r="AF192" t="s">
        <v>74</v>
      </c>
      <c r="AG192">
        <v>86</v>
      </c>
      <c r="AH192">
        <v>4</v>
      </c>
      <c r="AI192">
        <v>4</v>
      </c>
      <c r="AJ192">
        <v>0</v>
      </c>
      <c r="AK192">
        <v>3</v>
      </c>
      <c r="AL192" t="s">
        <v>692</v>
      </c>
      <c r="AM192" t="s">
        <v>693</v>
      </c>
      <c r="AN192" t="s">
        <v>694</v>
      </c>
      <c r="AO192" t="s">
        <v>4194</v>
      </c>
      <c r="AP192" t="s">
        <v>4195</v>
      </c>
      <c r="AQ192" t="s">
        <v>74</v>
      </c>
      <c r="AR192" t="s">
        <v>4196</v>
      </c>
      <c r="AS192" t="s">
        <v>4197</v>
      </c>
      <c r="AT192" t="s">
        <v>1097</v>
      </c>
      <c r="AU192">
        <v>2021</v>
      </c>
      <c r="AV192">
        <v>33</v>
      </c>
      <c r="AW192">
        <v>11</v>
      </c>
      <c r="AX192" t="s">
        <v>74</v>
      </c>
      <c r="AY192" t="s">
        <v>74</v>
      </c>
      <c r="AZ192" t="s">
        <v>74</v>
      </c>
      <c r="BA192" t="s">
        <v>74</v>
      </c>
      <c r="BB192">
        <v>2854</v>
      </c>
      <c r="BC192">
        <v>2864</v>
      </c>
      <c r="BD192" t="s">
        <v>74</v>
      </c>
      <c r="BE192" t="s">
        <v>4198</v>
      </c>
      <c r="BF192" t="str">
        <f>HYPERLINK("http://dx.doi.org/10.1080/08912963.2020.1832089","http://dx.doi.org/10.1080/08912963.2020.1832089")</f>
        <v>http://dx.doi.org/10.1080/08912963.2020.1832089</v>
      </c>
      <c r="BG192" t="s">
        <v>74</v>
      </c>
      <c r="BH192" t="s">
        <v>3429</v>
      </c>
      <c r="BI192">
        <v>11</v>
      </c>
      <c r="BJ192" t="s">
        <v>4199</v>
      </c>
      <c r="BK192" t="s">
        <v>100</v>
      </c>
      <c r="BL192" t="s">
        <v>4200</v>
      </c>
      <c r="BM192" t="s">
        <v>4201</v>
      </c>
      <c r="BN192" t="s">
        <v>74</v>
      </c>
      <c r="BO192" t="s">
        <v>74</v>
      </c>
      <c r="BP192" t="s">
        <v>74</v>
      </c>
      <c r="BQ192" t="s">
        <v>74</v>
      </c>
      <c r="BR192" t="s">
        <v>104</v>
      </c>
      <c r="BS192" t="s">
        <v>4202</v>
      </c>
      <c r="BT192" t="str">
        <f>HYPERLINK("https%3A%2F%2Fwww.webofscience.com%2Fwos%2Fwoscc%2Ffull-record%2FWOS:000583828300001","View Full Record in Web of Science")</f>
        <v>View Full Record in Web of Science</v>
      </c>
    </row>
    <row r="193" spans="1:72" x14ac:dyDescent="0.15">
      <c r="A193" t="s">
        <v>72</v>
      </c>
      <c r="B193" t="s">
        <v>4203</v>
      </c>
      <c r="C193" t="s">
        <v>74</v>
      </c>
      <c r="D193" t="s">
        <v>74</v>
      </c>
      <c r="E193" t="s">
        <v>74</v>
      </c>
      <c r="F193" t="s">
        <v>4204</v>
      </c>
      <c r="G193" t="s">
        <v>74</v>
      </c>
      <c r="H193" t="s">
        <v>74</v>
      </c>
      <c r="I193" t="s">
        <v>4205</v>
      </c>
      <c r="J193" t="s">
        <v>4206</v>
      </c>
      <c r="K193" t="s">
        <v>74</v>
      </c>
      <c r="L193" t="s">
        <v>74</v>
      </c>
      <c r="M193" t="s">
        <v>78</v>
      </c>
      <c r="N193" t="s">
        <v>79</v>
      </c>
      <c r="O193" t="s">
        <v>74</v>
      </c>
      <c r="P193" t="s">
        <v>74</v>
      </c>
      <c r="Q193" t="s">
        <v>74</v>
      </c>
      <c r="R193" t="s">
        <v>74</v>
      </c>
      <c r="S193" t="s">
        <v>74</v>
      </c>
      <c r="T193" t="s">
        <v>4207</v>
      </c>
      <c r="U193" t="s">
        <v>4208</v>
      </c>
      <c r="V193" t="s">
        <v>4209</v>
      </c>
      <c r="W193" t="s">
        <v>4210</v>
      </c>
      <c r="X193" t="s">
        <v>4211</v>
      </c>
      <c r="Y193" t="s">
        <v>4212</v>
      </c>
      <c r="Z193" t="s">
        <v>4213</v>
      </c>
      <c r="AA193" t="s">
        <v>4214</v>
      </c>
      <c r="AB193" t="s">
        <v>4215</v>
      </c>
      <c r="AC193" t="s">
        <v>4216</v>
      </c>
      <c r="AD193" t="s">
        <v>4217</v>
      </c>
      <c r="AE193" t="s">
        <v>4218</v>
      </c>
      <c r="AF193" t="s">
        <v>74</v>
      </c>
      <c r="AG193">
        <v>89</v>
      </c>
      <c r="AH193">
        <v>32</v>
      </c>
      <c r="AI193">
        <v>33</v>
      </c>
      <c r="AJ193">
        <v>5</v>
      </c>
      <c r="AK193">
        <v>21</v>
      </c>
      <c r="AL193" t="s">
        <v>482</v>
      </c>
      <c r="AM193" t="s">
        <v>483</v>
      </c>
      <c r="AN193" t="s">
        <v>484</v>
      </c>
      <c r="AO193" t="s">
        <v>4219</v>
      </c>
      <c r="AP193" t="s">
        <v>4220</v>
      </c>
      <c r="AQ193" t="s">
        <v>74</v>
      </c>
      <c r="AR193" t="s">
        <v>4221</v>
      </c>
      <c r="AS193" t="s">
        <v>4222</v>
      </c>
      <c r="AT193" t="s">
        <v>252</v>
      </c>
      <c r="AU193">
        <v>2021</v>
      </c>
      <c r="AV193">
        <v>56</v>
      </c>
      <c r="AW193" t="s">
        <v>4223</v>
      </c>
      <c r="AX193" t="s">
        <v>74</v>
      </c>
      <c r="AY193" t="s">
        <v>74</v>
      </c>
      <c r="AZ193" t="s">
        <v>74</v>
      </c>
      <c r="BA193" t="s">
        <v>74</v>
      </c>
      <c r="BB193">
        <v>155</v>
      </c>
      <c r="BC193">
        <v>187</v>
      </c>
      <c r="BD193" t="s">
        <v>74</v>
      </c>
      <c r="BE193" t="s">
        <v>4224</v>
      </c>
      <c r="BF193" t="str">
        <f>HYPERLINK("http://dx.doi.org/10.1007/s00382-020-05471-4","http://dx.doi.org/10.1007/s00382-020-05471-4")</f>
        <v>http://dx.doi.org/10.1007/s00382-020-05471-4</v>
      </c>
      <c r="BG193" t="s">
        <v>74</v>
      </c>
      <c r="BH193" t="s">
        <v>3429</v>
      </c>
      <c r="BI193">
        <v>33</v>
      </c>
      <c r="BJ193" t="s">
        <v>800</v>
      </c>
      <c r="BK193" t="s">
        <v>100</v>
      </c>
      <c r="BL193" t="s">
        <v>800</v>
      </c>
      <c r="BM193" t="s">
        <v>4225</v>
      </c>
      <c r="BN193" t="s">
        <v>74</v>
      </c>
      <c r="BO193" t="s">
        <v>1876</v>
      </c>
      <c r="BP193" t="s">
        <v>74</v>
      </c>
      <c r="BQ193" t="s">
        <v>74</v>
      </c>
      <c r="BR193" t="s">
        <v>104</v>
      </c>
      <c r="BS193" t="s">
        <v>4226</v>
      </c>
      <c r="BT193" t="str">
        <f>HYPERLINK("https%3A%2F%2Fwww.webofscience.com%2Fwos%2Fwoscc%2Ffull-record%2FWOS:000584623900002","View Full Record in Web of Science")</f>
        <v>View Full Record in Web of Science</v>
      </c>
    </row>
    <row r="194" spans="1:72" x14ac:dyDescent="0.15">
      <c r="A194" t="s">
        <v>72</v>
      </c>
      <c r="B194" t="s">
        <v>4227</v>
      </c>
      <c r="C194" t="s">
        <v>74</v>
      </c>
      <c r="D194" t="s">
        <v>74</v>
      </c>
      <c r="E194" t="s">
        <v>74</v>
      </c>
      <c r="F194" t="s">
        <v>4228</v>
      </c>
      <c r="G194" t="s">
        <v>74</v>
      </c>
      <c r="H194" t="s">
        <v>74</v>
      </c>
      <c r="I194" t="s">
        <v>4229</v>
      </c>
      <c r="J194" t="s">
        <v>901</v>
      </c>
      <c r="K194" t="s">
        <v>74</v>
      </c>
      <c r="L194" t="s">
        <v>74</v>
      </c>
      <c r="M194" t="s">
        <v>78</v>
      </c>
      <c r="N194" t="s">
        <v>79</v>
      </c>
      <c r="O194" t="s">
        <v>74</v>
      </c>
      <c r="P194" t="s">
        <v>74</v>
      </c>
      <c r="Q194" t="s">
        <v>74</v>
      </c>
      <c r="R194" t="s">
        <v>74</v>
      </c>
      <c r="S194" t="s">
        <v>74</v>
      </c>
      <c r="T194" t="s">
        <v>4230</v>
      </c>
      <c r="U194" t="s">
        <v>4231</v>
      </c>
      <c r="V194" t="s">
        <v>4232</v>
      </c>
      <c r="W194" t="s">
        <v>4233</v>
      </c>
      <c r="X194" t="s">
        <v>4234</v>
      </c>
      <c r="Y194" t="s">
        <v>4235</v>
      </c>
      <c r="Z194" t="s">
        <v>4236</v>
      </c>
      <c r="AA194" t="s">
        <v>4237</v>
      </c>
      <c r="AB194" t="s">
        <v>4238</v>
      </c>
      <c r="AC194" t="s">
        <v>4239</v>
      </c>
      <c r="AD194" t="s">
        <v>4240</v>
      </c>
      <c r="AE194" t="s">
        <v>4241</v>
      </c>
      <c r="AF194" t="s">
        <v>74</v>
      </c>
      <c r="AG194">
        <v>88</v>
      </c>
      <c r="AH194">
        <v>98</v>
      </c>
      <c r="AI194">
        <v>102</v>
      </c>
      <c r="AJ194">
        <v>27</v>
      </c>
      <c r="AK194">
        <v>118</v>
      </c>
      <c r="AL194" t="s">
        <v>866</v>
      </c>
      <c r="AM194" t="s">
        <v>867</v>
      </c>
      <c r="AN194" t="s">
        <v>868</v>
      </c>
      <c r="AO194" t="s">
        <v>74</v>
      </c>
      <c r="AP194" t="s">
        <v>914</v>
      </c>
      <c r="AQ194" t="s">
        <v>74</v>
      </c>
      <c r="AR194" t="s">
        <v>915</v>
      </c>
      <c r="AS194" t="s">
        <v>916</v>
      </c>
      <c r="AT194" t="s">
        <v>4000</v>
      </c>
      <c r="AU194">
        <v>2020</v>
      </c>
      <c r="AV194">
        <v>7</v>
      </c>
      <c r="AW194" t="s">
        <v>74</v>
      </c>
      <c r="AX194" t="s">
        <v>74</v>
      </c>
      <c r="AY194" t="s">
        <v>74</v>
      </c>
      <c r="AZ194" t="s">
        <v>74</v>
      </c>
      <c r="BA194" t="s">
        <v>74</v>
      </c>
      <c r="BB194" t="s">
        <v>74</v>
      </c>
      <c r="BC194" t="s">
        <v>74</v>
      </c>
      <c r="BD194">
        <v>571720</v>
      </c>
      <c r="BE194" t="s">
        <v>4242</v>
      </c>
      <c r="BF194" t="str">
        <f>HYPERLINK("http://dx.doi.org/10.3389/fmars.2020.571720","http://dx.doi.org/10.3389/fmars.2020.571720")</f>
        <v>http://dx.doi.org/10.3389/fmars.2020.571720</v>
      </c>
      <c r="BG194" t="s">
        <v>74</v>
      </c>
      <c r="BH194" t="s">
        <v>74</v>
      </c>
      <c r="BI194">
        <v>22</v>
      </c>
      <c r="BJ194" t="s">
        <v>918</v>
      </c>
      <c r="BK194" t="s">
        <v>100</v>
      </c>
      <c r="BL194" t="s">
        <v>919</v>
      </c>
      <c r="BM194" t="s">
        <v>4243</v>
      </c>
      <c r="BN194" t="s">
        <v>74</v>
      </c>
      <c r="BO194" t="s">
        <v>4244</v>
      </c>
      <c r="BP194" t="s">
        <v>417</v>
      </c>
      <c r="BQ194" t="s">
        <v>418</v>
      </c>
      <c r="BR194" t="s">
        <v>104</v>
      </c>
      <c r="BS194" t="s">
        <v>4245</v>
      </c>
      <c r="BT194" t="str">
        <f>HYPERLINK("https%3A%2F%2Fwww.webofscience.com%2Fwos%2Fwoscc%2Ffull-record%2FWOS:000585734500001","View Full Record in Web of Science")</f>
        <v>View Full Record in Web of Science</v>
      </c>
    </row>
    <row r="195" spans="1:72" x14ac:dyDescent="0.15">
      <c r="A195" t="s">
        <v>72</v>
      </c>
      <c r="B195" t="s">
        <v>4246</v>
      </c>
      <c r="C195" t="s">
        <v>74</v>
      </c>
      <c r="D195" t="s">
        <v>74</v>
      </c>
      <c r="E195" t="s">
        <v>74</v>
      </c>
      <c r="F195" t="s">
        <v>4247</v>
      </c>
      <c r="G195" t="s">
        <v>74</v>
      </c>
      <c r="H195" t="s">
        <v>74</v>
      </c>
      <c r="I195" t="s">
        <v>4248</v>
      </c>
      <c r="J195" t="s">
        <v>4249</v>
      </c>
      <c r="K195" t="s">
        <v>74</v>
      </c>
      <c r="L195" t="s">
        <v>74</v>
      </c>
      <c r="M195" t="s">
        <v>78</v>
      </c>
      <c r="N195" t="s">
        <v>79</v>
      </c>
      <c r="O195" t="s">
        <v>74</v>
      </c>
      <c r="P195" t="s">
        <v>74</v>
      </c>
      <c r="Q195" t="s">
        <v>74</v>
      </c>
      <c r="R195" t="s">
        <v>74</v>
      </c>
      <c r="S195" t="s">
        <v>74</v>
      </c>
      <c r="T195" t="s">
        <v>74</v>
      </c>
      <c r="U195" t="s">
        <v>4250</v>
      </c>
      <c r="V195" t="s">
        <v>4251</v>
      </c>
      <c r="W195" t="s">
        <v>4252</v>
      </c>
      <c r="X195" t="s">
        <v>4253</v>
      </c>
      <c r="Y195" t="s">
        <v>4254</v>
      </c>
      <c r="Z195" t="s">
        <v>4255</v>
      </c>
      <c r="AA195" t="s">
        <v>4256</v>
      </c>
      <c r="AB195" t="s">
        <v>4257</v>
      </c>
      <c r="AC195" t="s">
        <v>4258</v>
      </c>
      <c r="AD195" t="s">
        <v>4258</v>
      </c>
      <c r="AE195" t="s">
        <v>4259</v>
      </c>
      <c r="AF195" t="s">
        <v>74</v>
      </c>
      <c r="AG195">
        <v>115</v>
      </c>
      <c r="AH195">
        <v>89</v>
      </c>
      <c r="AI195">
        <v>98</v>
      </c>
      <c r="AJ195">
        <v>4</v>
      </c>
      <c r="AK195">
        <v>78</v>
      </c>
      <c r="AL195" t="s">
        <v>321</v>
      </c>
      <c r="AM195" t="s">
        <v>322</v>
      </c>
      <c r="AN195" t="s">
        <v>323</v>
      </c>
      <c r="AO195" t="s">
        <v>4260</v>
      </c>
      <c r="AP195" t="s">
        <v>4261</v>
      </c>
      <c r="AQ195" t="s">
        <v>74</v>
      </c>
      <c r="AR195" t="s">
        <v>4262</v>
      </c>
      <c r="AS195" t="s">
        <v>4263</v>
      </c>
      <c r="AT195" t="s">
        <v>1212</v>
      </c>
      <c r="AU195">
        <v>2020</v>
      </c>
      <c r="AV195">
        <v>10</v>
      </c>
      <c r="AW195">
        <v>11</v>
      </c>
      <c r="AX195" t="s">
        <v>74</v>
      </c>
      <c r="AY195" t="s">
        <v>74</v>
      </c>
      <c r="AZ195" t="s">
        <v>74</v>
      </c>
      <c r="BA195" t="s">
        <v>74</v>
      </c>
      <c r="BB195">
        <v>983</v>
      </c>
      <c r="BC195">
        <v>992</v>
      </c>
      <c r="BD195" t="s">
        <v>74</v>
      </c>
      <c r="BE195" t="s">
        <v>4264</v>
      </c>
      <c r="BF195" t="str">
        <f>HYPERLINK("http://dx.doi.org/10.1038/s41558-020-00940-4","http://dx.doi.org/10.1038/s41558-020-00940-4")</f>
        <v>http://dx.doi.org/10.1038/s41558-020-00940-4</v>
      </c>
      <c r="BG195" t="s">
        <v>74</v>
      </c>
      <c r="BH195" t="s">
        <v>3429</v>
      </c>
      <c r="BI195">
        <v>10</v>
      </c>
      <c r="BJ195" t="s">
        <v>4265</v>
      </c>
      <c r="BK195" t="s">
        <v>255</v>
      </c>
      <c r="BL195" t="s">
        <v>1028</v>
      </c>
      <c r="BM195" t="s">
        <v>4266</v>
      </c>
      <c r="BN195" t="s">
        <v>74</v>
      </c>
      <c r="BO195" t="s">
        <v>4267</v>
      </c>
      <c r="BP195" t="s">
        <v>74</v>
      </c>
      <c r="BQ195" t="s">
        <v>74</v>
      </c>
      <c r="BR195" t="s">
        <v>104</v>
      </c>
      <c r="BS195" t="s">
        <v>4268</v>
      </c>
      <c r="BT195" t="str">
        <f>HYPERLINK("https%3A%2F%2Fwww.webofscience.com%2Fwos%2Fwoscc%2Ffull-record%2FWOS:000584590600005","View Full Record in Web of Science")</f>
        <v>View Full Record in Web of Science</v>
      </c>
    </row>
    <row r="196" spans="1:72" x14ac:dyDescent="0.15">
      <c r="A196" t="s">
        <v>72</v>
      </c>
      <c r="B196" t="s">
        <v>4269</v>
      </c>
      <c r="C196" t="s">
        <v>74</v>
      </c>
      <c r="D196" t="s">
        <v>74</v>
      </c>
      <c r="E196" t="s">
        <v>74</v>
      </c>
      <c r="F196" t="s">
        <v>4270</v>
      </c>
      <c r="G196" t="s">
        <v>74</v>
      </c>
      <c r="H196" t="s">
        <v>74</v>
      </c>
      <c r="I196" t="s">
        <v>4271</v>
      </c>
      <c r="J196" t="s">
        <v>309</v>
      </c>
      <c r="K196" t="s">
        <v>74</v>
      </c>
      <c r="L196" t="s">
        <v>74</v>
      </c>
      <c r="M196" t="s">
        <v>78</v>
      </c>
      <c r="N196" t="s">
        <v>79</v>
      </c>
      <c r="O196" t="s">
        <v>74</v>
      </c>
      <c r="P196" t="s">
        <v>74</v>
      </c>
      <c r="Q196" t="s">
        <v>74</v>
      </c>
      <c r="R196" t="s">
        <v>74</v>
      </c>
      <c r="S196" t="s">
        <v>74</v>
      </c>
      <c r="T196" t="s">
        <v>74</v>
      </c>
      <c r="U196" t="s">
        <v>74</v>
      </c>
      <c r="V196" t="s">
        <v>4272</v>
      </c>
      <c r="W196" t="s">
        <v>4273</v>
      </c>
      <c r="X196" t="s">
        <v>4274</v>
      </c>
      <c r="Y196" t="s">
        <v>4275</v>
      </c>
      <c r="Z196" t="s">
        <v>4276</v>
      </c>
      <c r="AA196" t="s">
        <v>4277</v>
      </c>
      <c r="AB196" t="s">
        <v>4278</v>
      </c>
      <c r="AC196" t="s">
        <v>4279</v>
      </c>
      <c r="AD196" t="s">
        <v>4279</v>
      </c>
      <c r="AE196" t="s">
        <v>4280</v>
      </c>
      <c r="AF196" t="s">
        <v>74</v>
      </c>
      <c r="AG196">
        <v>77</v>
      </c>
      <c r="AH196">
        <v>18</v>
      </c>
      <c r="AI196">
        <v>18</v>
      </c>
      <c r="AJ196">
        <v>2</v>
      </c>
      <c r="AK196">
        <v>8</v>
      </c>
      <c r="AL196" t="s">
        <v>321</v>
      </c>
      <c r="AM196" t="s">
        <v>322</v>
      </c>
      <c r="AN196" t="s">
        <v>323</v>
      </c>
      <c r="AO196" t="s">
        <v>324</v>
      </c>
      <c r="AP196" t="s">
        <v>74</v>
      </c>
      <c r="AQ196" t="s">
        <v>74</v>
      </c>
      <c r="AR196" t="s">
        <v>325</v>
      </c>
      <c r="AS196" t="s">
        <v>326</v>
      </c>
      <c r="AT196" t="s">
        <v>4281</v>
      </c>
      <c r="AU196">
        <v>2020</v>
      </c>
      <c r="AV196">
        <v>10</v>
      </c>
      <c r="AW196">
        <v>1</v>
      </c>
      <c r="AX196" t="s">
        <v>74</v>
      </c>
      <c r="AY196" t="s">
        <v>74</v>
      </c>
      <c r="AZ196" t="s">
        <v>74</v>
      </c>
      <c r="BA196" t="s">
        <v>74</v>
      </c>
      <c r="BB196" t="s">
        <v>74</v>
      </c>
      <c r="BC196" t="s">
        <v>74</v>
      </c>
      <c r="BD196">
        <v>18274</v>
      </c>
      <c r="BE196" t="s">
        <v>4282</v>
      </c>
      <c r="BF196" t="str">
        <f>HYPERLINK("http://dx.doi.org/10.1038/s41598-020-75370-5","http://dx.doi.org/10.1038/s41598-020-75370-5")</f>
        <v>http://dx.doi.org/10.1038/s41598-020-75370-5</v>
      </c>
      <c r="BG196" t="s">
        <v>74</v>
      </c>
      <c r="BH196" t="s">
        <v>74</v>
      </c>
      <c r="BI196">
        <v>14</v>
      </c>
      <c r="BJ196" t="s">
        <v>329</v>
      </c>
      <c r="BK196" t="s">
        <v>100</v>
      </c>
      <c r="BL196" t="s">
        <v>330</v>
      </c>
      <c r="BM196" t="s">
        <v>4283</v>
      </c>
      <c r="BN196">
        <v>33106590</v>
      </c>
      <c r="BO196" t="s">
        <v>2113</v>
      </c>
      <c r="BP196" t="s">
        <v>74</v>
      </c>
      <c r="BQ196" t="s">
        <v>74</v>
      </c>
      <c r="BR196" t="s">
        <v>104</v>
      </c>
      <c r="BS196" t="s">
        <v>4284</v>
      </c>
      <c r="BT196" t="str">
        <f>HYPERLINK("https%3A%2F%2Fwww.webofscience.com%2Fwos%2Fwoscc%2Ffull-record%2FWOS:000615370600006","View Full Record in Web of Science")</f>
        <v>View Full Record in Web of Science</v>
      </c>
    </row>
    <row r="197" spans="1:72" x14ac:dyDescent="0.15">
      <c r="A197" t="s">
        <v>72</v>
      </c>
      <c r="B197" t="s">
        <v>4285</v>
      </c>
      <c r="C197" t="s">
        <v>74</v>
      </c>
      <c r="D197" t="s">
        <v>74</v>
      </c>
      <c r="E197" t="s">
        <v>74</v>
      </c>
      <c r="F197" t="s">
        <v>4286</v>
      </c>
      <c r="G197" t="s">
        <v>74</v>
      </c>
      <c r="H197" t="s">
        <v>74</v>
      </c>
      <c r="I197" t="s">
        <v>4287</v>
      </c>
      <c r="J197" t="s">
        <v>309</v>
      </c>
      <c r="K197" t="s">
        <v>74</v>
      </c>
      <c r="L197" t="s">
        <v>74</v>
      </c>
      <c r="M197" t="s">
        <v>78</v>
      </c>
      <c r="N197" t="s">
        <v>79</v>
      </c>
      <c r="O197" t="s">
        <v>74</v>
      </c>
      <c r="P197" t="s">
        <v>74</v>
      </c>
      <c r="Q197" t="s">
        <v>74</v>
      </c>
      <c r="R197" t="s">
        <v>74</v>
      </c>
      <c r="S197" t="s">
        <v>74</v>
      </c>
      <c r="T197" t="s">
        <v>74</v>
      </c>
      <c r="U197" t="s">
        <v>74</v>
      </c>
      <c r="V197" t="s">
        <v>4288</v>
      </c>
      <c r="W197" t="s">
        <v>4289</v>
      </c>
      <c r="X197" t="s">
        <v>4290</v>
      </c>
      <c r="Y197" t="s">
        <v>4291</v>
      </c>
      <c r="Z197" t="s">
        <v>4292</v>
      </c>
      <c r="AA197" t="s">
        <v>74</v>
      </c>
      <c r="AB197" t="s">
        <v>4293</v>
      </c>
      <c r="AC197" t="s">
        <v>4294</v>
      </c>
      <c r="AD197" t="s">
        <v>4295</v>
      </c>
      <c r="AE197" t="s">
        <v>4296</v>
      </c>
      <c r="AF197" t="s">
        <v>74</v>
      </c>
      <c r="AG197">
        <v>63</v>
      </c>
      <c r="AH197">
        <v>2</v>
      </c>
      <c r="AI197">
        <v>2</v>
      </c>
      <c r="AJ197">
        <v>4</v>
      </c>
      <c r="AK197">
        <v>9</v>
      </c>
      <c r="AL197" t="s">
        <v>321</v>
      </c>
      <c r="AM197" t="s">
        <v>322</v>
      </c>
      <c r="AN197" t="s">
        <v>323</v>
      </c>
      <c r="AO197" t="s">
        <v>324</v>
      </c>
      <c r="AP197" t="s">
        <v>74</v>
      </c>
      <c r="AQ197" t="s">
        <v>74</v>
      </c>
      <c r="AR197" t="s">
        <v>325</v>
      </c>
      <c r="AS197" t="s">
        <v>326</v>
      </c>
      <c r="AT197" t="s">
        <v>4281</v>
      </c>
      <c r="AU197">
        <v>2020</v>
      </c>
      <c r="AV197">
        <v>10</v>
      </c>
      <c r="AW197">
        <v>1</v>
      </c>
      <c r="AX197" t="s">
        <v>74</v>
      </c>
      <c r="AY197" t="s">
        <v>74</v>
      </c>
      <c r="AZ197" t="s">
        <v>74</v>
      </c>
      <c r="BA197" t="s">
        <v>74</v>
      </c>
      <c r="BB197" t="s">
        <v>74</v>
      </c>
      <c r="BC197" t="s">
        <v>74</v>
      </c>
      <c r="BD197">
        <v>18286</v>
      </c>
      <c r="BE197" t="s">
        <v>4297</v>
      </c>
      <c r="BF197" t="str">
        <f>HYPERLINK("http://dx.doi.org/10.1038/s41598-020-75248-6","http://dx.doi.org/10.1038/s41598-020-75248-6")</f>
        <v>http://dx.doi.org/10.1038/s41598-020-75248-6</v>
      </c>
      <c r="BG197" t="s">
        <v>74</v>
      </c>
      <c r="BH197" t="s">
        <v>74</v>
      </c>
      <c r="BI197">
        <v>11</v>
      </c>
      <c r="BJ197" t="s">
        <v>329</v>
      </c>
      <c r="BK197" t="s">
        <v>100</v>
      </c>
      <c r="BL197" t="s">
        <v>330</v>
      </c>
      <c r="BM197" t="s">
        <v>4283</v>
      </c>
      <c r="BN197">
        <v>33106519</v>
      </c>
      <c r="BO197" t="s">
        <v>332</v>
      </c>
      <c r="BP197" t="s">
        <v>74</v>
      </c>
      <c r="BQ197" t="s">
        <v>74</v>
      </c>
      <c r="BR197" t="s">
        <v>104</v>
      </c>
      <c r="BS197" t="s">
        <v>4298</v>
      </c>
      <c r="BT197" t="str">
        <f>HYPERLINK("https%3A%2F%2Fwww.webofscience.com%2Fwos%2Fwoscc%2Ffull-record%2FWOS:000615370600018","View Full Record in Web of Science")</f>
        <v>View Full Record in Web of Science</v>
      </c>
    </row>
    <row r="198" spans="1:72" x14ac:dyDescent="0.15">
      <c r="A198" t="s">
        <v>72</v>
      </c>
      <c r="B198" t="s">
        <v>4299</v>
      </c>
      <c r="C198" t="s">
        <v>74</v>
      </c>
      <c r="D198" t="s">
        <v>74</v>
      </c>
      <c r="E198" t="s">
        <v>74</v>
      </c>
      <c r="F198" t="s">
        <v>4300</v>
      </c>
      <c r="G198" t="s">
        <v>74</v>
      </c>
      <c r="H198" t="s">
        <v>74</v>
      </c>
      <c r="I198" t="s">
        <v>4301</v>
      </c>
      <c r="J198" t="s">
        <v>4302</v>
      </c>
      <c r="K198" t="s">
        <v>74</v>
      </c>
      <c r="L198" t="s">
        <v>74</v>
      </c>
      <c r="M198" t="s">
        <v>78</v>
      </c>
      <c r="N198" t="s">
        <v>79</v>
      </c>
      <c r="O198" t="s">
        <v>74</v>
      </c>
      <c r="P198" t="s">
        <v>74</v>
      </c>
      <c r="Q198" t="s">
        <v>74</v>
      </c>
      <c r="R198" t="s">
        <v>74</v>
      </c>
      <c r="S198" t="s">
        <v>74</v>
      </c>
      <c r="T198" t="s">
        <v>4303</v>
      </c>
      <c r="U198" t="s">
        <v>4304</v>
      </c>
      <c r="V198" t="s">
        <v>4305</v>
      </c>
      <c r="W198" t="s">
        <v>4306</v>
      </c>
      <c r="X198" t="s">
        <v>4307</v>
      </c>
      <c r="Y198" t="s">
        <v>4308</v>
      </c>
      <c r="Z198" t="s">
        <v>4309</v>
      </c>
      <c r="AA198" t="s">
        <v>4310</v>
      </c>
      <c r="AB198" t="s">
        <v>4311</v>
      </c>
      <c r="AC198" t="s">
        <v>4312</v>
      </c>
      <c r="AD198" t="s">
        <v>4313</v>
      </c>
      <c r="AE198" t="s">
        <v>4314</v>
      </c>
      <c r="AF198" t="s">
        <v>74</v>
      </c>
      <c r="AG198">
        <v>18</v>
      </c>
      <c r="AH198">
        <v>4</v>
      </c>
      <c r="AI198">
        <v>5</v>
      </c>
      <c r="AJ198">
        <v>2</v>
      </c>
      <c r="AK198">
        <v>11</v>
      </c>
      <c r="AL198" t="s">
        <v>4315</v>
      </c>
      <c r="AM198" t="s">
        <v>123</v>
      </c>
      <c r="AN198" t="s">
        <v>4316</v>
      </c>
      <c r="AO198" t="s">
        <v>4317</v>
      </c>
      <c r="AP198" t="s">
        <v>4318</v>
      </c>
      <c r="AQ198" t="s">
        <v>74</v>
      </c>
      <c r="AR198" t="s">
        <v>4319</v>
      </c>
      <c r="AS198" t="s">
        <v>4320</v>
      </c>
      <c r="AT198" t="s">
        <v>2623</v>
      </c>
      <c r="AU198">
        <v>2021</v>
      </c>
      <c r="AV198">
        <v>37</v>
      </c>
      <c r="AW198">
        <v>1</v>
      </c>
      <c r="AX198" t="s">
        <v>74</v>
      </c>
      <c r="AY198" t="s">
        <v>74</v>
      </c>
      <c r="AZ198" t="s">
        <v>74</v>
      </c>
      <c r="BA198" t="s">
        <v>74</v>
      </c>
      <c r="BB198">
        <v>140</v>
      </c>
      <c r="BC198">
        <v>144</v>
      </c>
      <c r="BD198" t="s">
        <v>74</v>
      </c>
      <c r="BE198" t="s">
        <v>4321</v>
      </c>
      <c r="BF198" t="str">
        <f>HYPERLINK("http://dx.doi.org/10.1111/jai.14126","http://dx.doi.org/10.1111/jai.14126")</f>
        <v>http://dx.doi.org/10.1111/jai.14126</v>
      </c>
      <c r="BG198" t="s">
        <v>74</v>
      </c>
      <c r="BH198" t="s">
        <v>3429</v>
      </c>
      <c r="BI198">
        <v>5</v>
      </c>
      <c r="BJ198" t="s">
        <v>4322</v>
      </c>
      <c r="BK198" t="s">
        <v>100</v>
      </c>
      <c r="BL198" t="s">
        <v>4322</v>
      </c>
      <c r="BM198" t="s">
        <v>4323</v>
      </c>
      <c r="BN198" t="s">
        <v>74</v>
      </c>
      <c r="BO198" t="s">
        <v>2486</v>
      </c>
      <c r="BP198" t="s">
        <v>74</v>
      </c>
      <c r="BQ198" t="s">
        <v>74</v>
      </c>
      <c r="BR198" t="s">
        <v>104</v>
      </c>
      <c r="BS198" t="s">
        <v>4324</v>
      </c>
      <c r="BT198" t="str">
        <f>HYPERLINK("https%3A%2F%2Fwww.webofscience.com%2Fwos%2Fwoscc%2Ffull-record%2FWOS:000583733400001","View Full Record in Web of Science")</f>
        <v>View Full Record in Web of Science</v>
      </c>
    </row>
    <row r="199" spans="1:72" x14ac:dyDescent="0.15">
      <c r="A199" t="s">
        <v>72</v>
      </c>
      <c r="B199" t="s">
        <v>4325</v>
      </c>
      <c r="C199" t="s">
        <v>74</v>
      </c>
      <c r="D199" t="s">
        <v>74</v>
      </c>
      <c r="E199" t="s">
        <v>74</v>
      </c>
      <c r="F199" t="s">
        <v>4326</v>
      </c>
      <c r="G199" t="s">
        <v>74</v>
      </c>
      <c r="H199" t="s">
        <v>74</v>
      </c>
      <c r="I199" t="s">
        <v>4327</v>
      </c>
      <c r="J199" t="s">
        <v>4328</v>
      </c>
      <c r="K199" t="s">
        <v>74</v>
      </c>
      <c r="L199" t="s">
        <v>74</v>
      </c>
      <c r="M199" t="s">
        <v>78</v>
      </c>
      <c r="N199" t="s">
        <v>79</v>
      </c>
      <c r="O199" t="s">
        <v>74</v>
      </c>
      <c r="P199" t="s">
        <v>74</v>
      </c>
      <c r="Q199" t="s">
        <v>74</v>
      </c>
      <c r="R199" t="s">
        <v>74</v>
      </c>
      <c r="S199" t="s">
        <v>74</v>
      </c>
      <c r="T199" t="s">
        <v>74</v>
      </c>
      <c r="U199" t="s">
        <v>4329</v>
      </c>
      <c r="V199" t="s">
        <v>4330</v>
      </c>
      <c r="W199" t="s">
        <v>4331</v>
      </c>
      <c r="X199" t="s">
        <v>4332</v>
      </c>
      <c r="Y199" t="s">
        <v>4333</v>
      </c>
      <c r="Z199" t="s">
        <v>4334</v>
      </c>
      <c r="AA199" t="s">
        <v>4335</v>
      </c>
      <c r="AB199" t="s">
        <v>4336</v>
      </c>
      <c r="AC199" t="s">
        <v>4337</v>
      </c>
      <c r="AD199" t="s">
        <v>4338</v>
      </c>
      <c r="AE199" t="s">
        <v>4339</v>
      </c>
      <c r="AF199" t="s">
        <v>74</v>
      </c>
      <c r="AG199">
        <v>49</v>
      </c>
      <c r="AH199">
        <v>32</v>
      </c>
      <c r="AI199">
        <v>36</v>
      </c>
      <c r="AJ199">
        <v>16</v>
      </c>
      <c r="AK199">
        <v>92</v>
      </c>
      <c r="AL199" t="s">
        <v>413</v>
      </c>
      <c r="AM199" t="s">
        <v>322</v>
      </c>
      <c r="AN199" t="s">
        <v>323</v>
      </c>
      <c r="AO199" t="s">
        <v>4340</v>
      </c>
      <c r="AP199" t="s">
        <v>4341</v>
      </c>
      <c r="AQ199" t="s">
        <v>74</v>
      </c>
      <c r="AR199" t="s">
        <v>4342</v>
      </c>
      <c r="AS199" t="s">
        <v>4343</v>
      </c>
      <c r="AT199" t="s">
        <v>1212</v>
      </c>
      <c r="AU199">
        <v>2020</v>
      </c>
      <c r="AV199">
        <v>13</v>
      </c>
      <c r="AW199">
        <v>11</v>
      </c>
      <c r="AX199" t="s">
        <v>74</v>
      </c>
      <c r="AY199" t="s">
        <v>74</v>
      </c>
      <c r="AZ199" t="s">
        <v>74</v>
      </c>
      <c r="BA199" t="s">
        <v>74</v>
      </c>
      <c r="BB199">
        <v>729</v>
      </c>
      <c r="BC199" t="s">
        <v>614</v>
      </c>
      <c r="BD199" t="s">
        <v>74</v>
      </c>
      <c r="BE199" t="s">
        <v>4344</v>
      </c>
      <c r="BF199" t="str">
        <f>HYPERLINK("http://dx.doi.org/10.1038/s41561-020-00651-7","http://dx.doi.org/10.1038/s41561-020-00651-7")</f>
        <v>http://dx.doi.org/10.1038/s41561-020-00651-7</v>
      </c>
      <c r="BG199" t="s">
        <v>74</v>
      </c>
      <c r="BH199" t="s">
        <v>3429</v>
      </c>
      <c r="BI199">
        <v>10</v>
      </c>
      <c r="BJ199" t="s">
        <v>534</v>
      </c>
      <c r="BK199" t="s">
        <v>100</v>
      </c>
      <c r="BL199" t="s">
        <v>535</v>
      </c>
      <c r="BM199" t="s">
        <v>4345</v>
      </c>
      <c r="BN199" t="s">
        <v>74</v>
      </c>
      <c r="BO199" t="s">
        <v>701</v>
      </c>
      <c r="BP199" t="s">
        <v>74</v>
      </c>
      <c r="BQ199" t="s">
        <v>74</v>
      </c>
      <c r="BR199" t="s">
        <v>104</v>
      </c>
      <c r="BS199" t="s">
        <v>4346</v>
      </c>
      <c r="BT199" t="str">
        <f>HYPERLINK("https%3A%2F%2Fwww.webofscience.com%2Fwos%2Fwoscc%2Ffull-record%2FWOS:000584045200003","View Full Record in Web of Science")</f>
        <v>View Full Record in Web of Science</v>
      </c>
    </row>
    <row r="200" spans="1:72" x14ac:dyDescent="0.15">
      <c r="A200" t="s">
        <v>72</v>
      </c>
      <c r="B200" t="s">
        <v>4347</v>
      </c>
      <c r="C200" t="s">
        <v>74</v>
      </c>
      <c r="D200" t="s">
        <v>74</v>
      </c>
      <c r="E200" t="s">
        <v>74</v>
      </c>
      <c r="F200" t="s">
        <v>4348</v>
      </c>
      <c r="G200" t="s">
        <v>74</v>
      </c>
      <c r="H200" t="s">
        <v>74</v>
      </c>
      <c r="I200" t="s">
        <v>4349</v>
      </c>
      <c r="J200" t="s">
        <v>4350</v>
      </c>
      <c r="K200" t="s">
        <v>74</v>
      </c>
      <c r="L200" t="s">
        <v>74</v>
      </c>
      <c r="M200" t="s">
        <v>78</v>
      </c>
      <c r="N200" t="s">
        <v>79</v>
      </c>
      <c r="O200" t="s">
        <v>74</v>
      </c>
      <c r="P200" t="s">
        <v>74</v>
      </c>
      <c r="Q200" t="s">
        <v>74</v>
      </c>
      <c r="R200" t="s">
        <v>74</v>
      </c>
      <c r="S200" t="s">
        <v>74</v>
      </c>
      <c r="T200" t="s">
        <v>4351</v>
      </c>
      <c r="U200" t="s">
        <v>4352</v>
      </c>
      <c r="V200" t="s">
        <v>4353</v>
      </c>
      <c r="W200" t="s">
        <v>4354</v>
      </c>
      <c r="X200" t="s">
        <v>4355</v>
      </c>
      <c r="Y200" t="s">
        <v>4356</v>
      </c>
      <c r="Z200" t="s">
        <v>4357</v>
      </c>
      <c r="AA200" t="s">
        <v>4358</v>
      </c>
      <c r="AB200" t="s">
        <v>4359</v>
      </c>
      <c r="AC200" t="s">
        <v>4360</v>
      </c>
      <c r="AD200" t="s">
        <v>4361</v>
      </c>
      <c r="AE200" t="s">
        <v>4362</v>
      </c>
      <c r="AF200" t="s">
        <v>74</v>
      </c>
      <c r="AG200">
        <v>66</v>
      </c>
      <c r="AH200">
        <v>18</v>
      </c>
      <c r="AI200">
        <v>19</v>
      </c>
      <c r="AJ200">
        <v>6</v>
      </c>
      <c r="AK200">
        <v>39</v>
      </c>
      <c r="AL200" t="s">
        <v>482</v>
      </c>
      <c r="AM200" t="s">
        <v>554</v>
      </c>
      <c r="AN200" t="s">
        <v>555</v>
      </c>
      <c r="AO200" t="s">
        <v>4363</v>
      </c>
      <c r="AP200" t="s">
        <v>4364</v>
      </c>
      <c r="AQ200" t="s">
        <v>74</v>
      </c>
      <c r="AR200" t="s">
        <v>4350</v>
      </c>
      <c r="AS200" t="s">
        <v>4365</v>
      </c>
      <c r="AT200" t="s">
        <v>462</v>
      </c>
      <c r="AU200">
        <v>2021</v>
      </c>
      <c r="AV200">
        <v>50</v>
      </c>
      <c r="AW200">
        <v>3</v>
      </c>
      <c r="AX200" t="s">
        <v>74</v>
      </c>
      <c r="AY200" t="s">
        <v>74</v>
      </c>
      <c r="AZ200" t="s">
        <v>489</v>
      </c>
      <c r="BA200" t="s">
        <v>74</v>
      </c>
      <c r="BB200">
        <v>544</v>
      </c>
      <c r="BC200">
        <v>559</v>
      </c>
      <c r="BD200" t="s">
        <v>74</v>
      </c>
      <c r="BE200" t="s">
        <v>4366</v>
      </c>
      <c r="BF200" t="str">
        <f>HYPERLINK("http://dx.doi.org/10.1007/s13280-020-01404-x","http://dx.doi.org/10.1007/s13280-020-01404-x")</f>
        <v>http://dx.doi.org/10.1007/s13280-020-01404-x</v>
      </c>
      <c r="BG200" t="s">
        <v>74</v>
      </c>
      <c r="BH200" t="s">
        <v>3429</v>
      </c>
      <c r="BI200">
        <v>16</v>
      </c>
      <c r="BJ200" t="s">
        <v>945</v>
      </c>
      <c r="BK200" t="s">
        <v>100</v>
      </c>
      <c r="BL200" t="s">
        <v>946</v>
      </c>
      <c r="BM200" t="s">
        <v>4367</v>
      </c>
      <c r="BN200">
        <v>33098531</v>
      </c>
      <c r="BO200" t="s">
        <v>1980</v>
      </c>
      <c r="BP200" t="s">
        <v>74</v>
      </c>
      <c r="BQ200" t="s">
        <v>74</v>
      </c>
      <c r="BR200" t="s">
        <v>104</v>
      </c>
      <c r="BS200" t="s">
        <v>4368</v>
      </c>
      <c r="BT200" t="str">
        <f>HYPERLINK("https%3A%2F%2Fwww.webofscience.com%2Fwos%2Fwoscc%2Ffull-record%2FWOS:000583510100001","View Full Record in Web of Science")</f>
        <v>View Full Record in Web of Science</v>
      </c>
    </row>
    <row r="201" spans="1:72" x14ac:dyDescent="0.15">
      <c r="A201" t="s">
        <v>72</v>
      </c>
      <c r="B201" t="s">
        <v>4369</v>
      </c>
      <c r="C201" t="s">
        <v>74</v>
      </c>
      <c r="D201" t="s">
        <v>74</v>
      </c>
      <c r="E201" t="s">
        <v>74</v>
      </c>
      <c r="F201" t="s">
        <v>4370</v>
      </c>
      <c r="G201" t="s">
        <v>74</v>
      </c>
      <c r="H201" t="s">
        <v>74</v>
      </c>
      <c r="I201" t="s">
        <v>4371</v>
      </c>
      <c r="J201" t="s">
        <v>4372</v>
      </c>
      <c r="K201" t="s">
        <v>74</v>
      </c>
      <c r="L201" t="s">
        <v>74</v>
      </c>
      <c r="M201" t="s">
        <v>78</v>
      </c>
      <c r="N201" t="s">
        <v>79</v>
      </c>
      <c r="O201" t="s">
        <v>74</v>
      </c>
      <c r="P201" t="s">
        <v>74</v>
      </c>
      <c r="Q201" t="s">
        <v>74</v>
      </c>
      <c r="R201" t="s">
        <v>74</v>
      </c>
      <c r="S201" t="s">
        <v>74</v>
      </c>
      <c r="T201" t="s">
        <v>4373</v>
      </c>
      <c r="U201" t="s">
        <v>4374</v>
      </c>
      <c r="V201" t="s">
        <v>4375</v>
      </c>
      <c r="W201" t="s">
        <v>4376</v>
      </c>
      <c r="X201" t="s">
        <v>4377</v>
      </c>
      <c r="Y201" t="s">
        <v>4378</v>
      </c>
      <c r="Z201" t="s">
        <v>4379</v>
      </c>
      <c r="AA201" t="s">
        <v>74</v>
      </c>
      <c r="AB201" t="s">
        <v>4380</v>
      </c>
      <c r="AC201" t="s">
        <v>4381</v>
      </c>
      <c r="AD201" t="s">
        <v>4381</v>
      </c>
      <c r="AE201" t="s">
        <v>4382</v>
      </c>
      <c r="AF201" t="s">
        <v>74</v>
      </c>
      <c r="AG201">
        <v>43</v>
      </c>
      <c r="AH201">
        <v>3</v>
      </c>
      <c r="AI201">
        <v>3</v>
      </c>
      <c r="AJ201">
        <v>3</v>
      </c>
      <c r="AK201">
        <v>23</v>
      </c>
      <c r="AL201" t="s">
        <v>482</v>
      </c>
      <c r="AM201" t="s">
        <v>554</v>
      </c>
      <c r="AN201" t="s">
        <v>555</v>
      </c>
      <c r="AO201" t="s">
        <v>4383</v>
      </c>
      <c r="AP201" t="s">
        <v>4384</v>
      </c>
      <c r="AQ201" t="s">
        <v>74</v>
      </c>
      <c r="AR201" t="s">
        <v>4385</v>
      </c>
      <c r="AS201" t="s">
        <v>4386</v>
      </c>
      <c r="AT201" t="s">
        <v>4387</v>
      </c>
      <c r="AU201">
        <v>2020</v>
      </c>
      <c r="AV201">
        <v>192</v>
      </c>
      <c r="AW201">
        <v>11</v>
      </c>
      <c r="AX201" t="s">
        <v>74</v>
      </c>
      <c r="AY201" t="s">
        <v>74</v>
      </c>
      <c r="AZ201" t="s">
        <v>74</v>
      </c>
      <c r="BA201" t="s">
        <v>74</v>
      </c>
      <c r="BB201" t="s">
        <v>74</v>
      </c>
      <c r="BC201" t="s">
        <v>74</v>
      </c>
      <c r="BD201">
        <v>725</v>
      </c>
      <c r="BE201" t="s">
        <v>4388</v>
      </c>
      <c r="BF201" t="str">
        <f>HYPERLINK("http://dx.doi.org/10.1007/s10661-020-08682-8","http://dx.doi.org/10.1007/s10661-020-08682-8")</f>
        <v>http://dx.doi.org/10.1007/s10661-020-08682-8</v>
      </c>
      <c r="BG201" t="s">
        <v>74</v>
      </c>
      <c r="BH201" t="s">
        <v>74</v>
      </c>
      <c r="BI201">
        <v>15</v>
      </c>
      <c r="BJ201" t="s">
        <v>283</v>
      </c>
      <c r="BK201" t="s">
        <v>100</v>
      </c>
      <c r="BL201" t="s">
        <v>284</v>
      </c>
      <c r="BM201" t="s">
        <v>4389</v>
      </c>
      <c r="BN201">
        <v>33098455</v>
      </c>
      <c r="BO201" t="s">
        <v>74</v>
      </c>
      <c r="BP201" t="s">
        <v>74</v>
      </c>
      <c r="BQ201" t="s">
        <v>74</v>
      </c>
      <c r="BR201" t="s">
        <v>104</v>
      </c>
      <c r="BS201" t="s">
        <v>4390</v>
      </c>
      <c r="BT201" t="str">
        <f>HYPERLINK("https%3A%2F%2Fwww.webofscience.com%2Fwos%2Fwoscc%2Ffull-record%2FWOS:000587294000001","View Full Record in Web of Science")</f>
        <v>View Full Record in Web of Science</v>
      </c>
    </row>
    <row r="202" spans="1:72" x14ac:dyDescent="0.15">
      <c r="A202" t="s">
        <v>72</v>
      </c>
      <c r="B202" t="s">
        <v>4391</v>
      </c>
      <c r="C202" t="s">
        <v>74</v>
      </c>
      <c r="D202" t="s">
        <v>74</v>
      </c>
      <c r="E202" t="s">
        <v>74</v>
      </c>
      <c r="F202" t="s">
        <v>4392</v>
      </c>
      <c r="G202" t="s">
        <v>74</v>
      </c>
      <c r="H202" t="s">
        <v>74</v>
      </c>
      <c r="I202" t="s">
        <v>4393</v>
      </c>
      <c r="J202" t="s">
        <v>4394</v>
      </c>
      <c r="K202" t="s">
        <v>74</v>
      </c>
      <c r="L202" t="s">
        <v>74</v>
      </c>
      <c r="M202" t="s">
        <v>78</v>
      </c>
      <c r="N202" t="s">
        <v>79</v>
      </c>
      <c r="O202" t="s">
        <v>74</v>
      </c>
      <c r="P202" t="s">
        <v>74</v>
      </c>
      <c r="Q202" t="s">
        <v>74</v>
      </c>
      <c r="R202" t="s">
        <v>74</v>
      </c>
      <c r="S202" t="s">
        <v>74</v>
      </c>
      <c r="T202" t="s">
        <v>4395</v>
      </c>
      <c r="U202" t="s">
        <v>4396</v>
      </c>
      <c r="V202" t="s">
        <v>4397</v>
      </c>
      <c r="W202" t="s">
        <v>4398</v>
      </c>
      <c r="X202" t="s">
        <v>4399</v>
      </c>
      <c r="Y202" t="s">
        <v>4400</v>
      </c>
      <c r="Z202" t="s">
        <v>4401</v>
      </c>
      <c r="AA202" t="s">
        <v>74</v>
      </c>
      <c r="AB202" t="s">
        <v>4402</v>
      </c>
      <c r="AC202" t="s">
        <v>4403</v>
      </c>
      <c r="AD202" t="s">
        <v>4404</v>
      </c>
      <c r="AE202" t="s">
        <v>4405</v>
      </c>
      <c r="AF202" t="s">
        <v>74</v>
      </c>
      <c r="AG202">
        <v>37</v>
      </c>
      <c r="AH202">
        <v>1</v>
      </c>
      <c r="AI202">
        <v>1</v>
      </c>
      <c r="AJ202">
        <v>3</v>
      </c>
      <c r="AK202">
        <v>17</v>
      </c>
      <c r="AL202" t="s">
        <v>581</v>
      </c>
      <c r="AM202" t="s">
        <v>582</v>
      </c>
      <c r="AN202" t="s">
        <v>583</v>
      </c>
      <c r="AO202" t="s">
        <v>4406</v>
      </c>
      <c r="AP202" t="s">
        <v>4407</v>
      </c>
      <c r="AQ202" t="s">
        <v>74</v>
      </c>
      <c r="AR202" t="s">
        <v>4408</v>
      </c>
      <c r="AS202" t="s">
        <v>4409</v>
      </c>
      <c r="AT202" t="s">
        <v>720</v>
      </c>
      <c r="AU202">
        <v>2020</v>
      </c>
      <c r="AV202">
        <v>70</v>
      </c>
      <c r="AW202">
        <v>12</v>
      </c>
      <c r="AX202" t="s">
        <v>74</v>
      </c>
      <c r="AY202" t="s">
        <v>74</v>
      </c>
      <c r="AZ202" t="s">
        <v>74</v>
      </c>
      <c r="BA202" t="s">
        <v>74</v>
      </c>
      <c r="BB202">
        <v>1587</v>
      </c>
      <c r="BC202">
        <v>1601</v>
      </c>
      <c r="BD202" t="s">
        <v>74</v>
      </c>
      <c r="BE202" t="s">
        <v>4410</v>
      </c>
      <c r="BF202" t="str">
        <f>HYPERLINK("http://dx.doi.org/10.1007/s10236-020-01415-y","http://dx.doi.org/10.1007/s10236-020-01415-y")</f>
        <v>http://dx.doi.org/10.1007/s10236-020-01415-y</v>
      </c>
      <c r="BG202" t="s">
        <v>74</v>
      </c>
      <c r="BH202" t="s">
        <v>3429</v>
      </c>
      <c r="BI202">
        <v>15</v>
      </c>
      <c r="BJ202" t="s">
        <v>1283</v>
      </c>
      <c r="BK202" t="s">
        <v>100</v>
      </c>
      <c r="BL202" t="s">
        <v>1283</v>
      </c>
      <c r="BM202" t="s">
        <v>4411</v>
      </c>
      <c r="BN202" t="s">
        <v>74</v>
      </c>
      <c r="BO202" t="s">
        <v>74</v>
      </c>
      <c r="BP202" t="s">
        <v>74</v>
      </c>
      <c r="BQ202" t="s">
        <v>74</v>
      </c>
      <c r="BR202" t="s">
        <v>104</v>
      </c>
      <c r="BS202" t="s">
        <v>4412</v>
      </c>
      <c r="BT202" t="str">
        <f>HYPERLINK("https%3A%2F%2Fwww.webofscience.com%2Fwos%2Fwoscc%2Ffull-record%2FWOS:000583498600001","View Full Record in Web of Science")</f>
        <v>View Full Record in Web of Science</v>
      </c>
    </row>
    <row r="203" spans="1:72" x14ac:dyDescent="0.15">
      <c r="A203" t="s">
        <v>72</v>
      </c>
      <c r="B203" t="s">
        <v>4413</v>
      </c>
      <c r="C203" t="s">
        <v>74</v>
      </c>
      <c r="D203" t="s">
        <v>74</v>
      </c>
      <c r="E203" t="s">
        <v>74</v>
      </c>
      <c r="F203" t="s">
        <v>4414</v>
      </c>
      <c r="G203" t="s">
        <v>74</v>
      </c>
      <c r="H203" t="s">
        <v>74</v>
      </c>
      <c r="I203" t="s">
        <v>4415</v>
      </c>
      <c r="J203" t="s">
        <v>4416</v>
      </c>
      <c r="K203" t="s">
        <v>74</v>
      </c>
      <c r="L203" t="s">
        <v>74</v>
      </c>
      <c r="M203" t="s">
        <v>78</v>
      </c>
      <c r="N203" t="s">
        <v>138</v>
      </c>
      <c r="O203" t="s">
        <v>74</v>
      </c>
      <c r="P203" t="s">
        <v>74</v>
      </c>
      <c r="Q203" t="s">
        <v>74</v>
      </c>
      <c r="R203" t="s">
        <v>74</v>
      </c>
      <c r="S203" t="s">
        <v>74</v>
      </c>
      <c r="T203" t="s">
        <v>4417</v>
      </c>
      <c r="U203" t="s">
        <v>4418</v>
      </c>
      <c r="V203" t="s">
        <v>4419</v>
      </c>
      <c r="W203" t="s">
        <v>4420</v>
      </c>
      <c r="X203" t="s">
        <v>4421</v>
      </c>
      <c r="Y203" t="s">
        <v>4422</v>
      </c>
      <c r="Z203" t="s">
        <v>4423</v>
      </c>
      <c r="AA203" t="s">
        <v>74</v>
      </c>
      <c r="AB203" t="s">
        <v>4424</v>
      </c>
      <c r="AC203" t="s">
        <v>4425</v>
      </c>
      <c r="AD203" t="s">
        <v>4426</v>
      </c>
      <c r="AE203" t="s">
        <v>4427</v>
      </c>
      <c r="AF203" t="s">
        <v>74</v>
      </c>
      <c r="AG203">
        <v>88</v>
      </c>
      <c r="AH203">
        <v>5</v>
      </c>
      <c r="AI203">
        <v>5</v>
      </c>
      <c r="AJ203">
        <v>1</v>
      </c>
      <c r="AK203">
        <v>15</v>
      </c>
      <c r="AL203" t="s">
        <v>692</v>
      </c>
      <c r="AM203" t="s">
        <v>693</v>
      </c>
      <c r="AN203" t="s">
        <v>694</v>
      </c>
      <c r="AO203" t="s">
        <v>4428</v>
      </c>
      <c r="AP203" t="s">
        <v>4429</v>
      </c>
      <c r="AQ203" t="s">
        <v>74</v>
      </c>
      <c r="AR203" t="s">
        <v>4430</v>
      </c>
      <c r="AS203" t="s">
        <v>4431</v>
      </c>
      <c r="AT203" t="s">
        <v>4432</v>
      </c>
      <c r="AU203">
        <v>2021</v>
      </c>
      <c r="AV203">
        <v>64</v>
      </c>
      <c r="AW203">
        <v>1</v>
      </c>
      <c r="AX203" t="s">
        <v>74</v>
      </c>
      <c r="AY203" t="s">
        <v>74</v>
      </c>
      <c r="AZ203" t="s">
        <v>74</v>
      </c>
      <c r="BA203" t="s">
        <v>74</v>
      </c>
      <c r="BB203">
        <v>1</v>
      </c>
      <c r="BC203">
        <v>20</v>
      </c>
      <c r="BD203" t="s">
        <v>74</v>
      </c>
      <c r="BE203" t="s">
        <v>4433</v>
      </c>
      <c r="BF203" t="str">
        <f>HYPERLINK("http://dx.doi.org/10.1080/00288306.2020.1811354","http://dx.doi.org/10.1080/00288306.2020.1811354")</f>
        <v>http://dx.doi.org/10.1080/00288306.2020.1811354</v>
      </c>
      <c r="BG203" t="s">
        <v>74</v>
      </c>
      <c r="BH203" t="s">
        <v>3429</v>
      </c>
      <c r="BI203">
        <v>20</v>
      </c>
      <c r="BJ203" t="s">
        <v>4434</v>
      </c>
      <c r="BK203" t="s">
        <v>100</v>
      </c>
      <c r="BL203" t="s">
        <v>535</v>
      </c>
      <c r="BM203" t="s">
        <v>4435</v>
      </c>
      <c r="BN203" t="s">
        <v>74</v>
      </c>
      <c r="BO203" t="s">
        <v>74</v>
      </c>
      <c r="BP203" t="s">
        <v>74</v>
      </c>
      <c r="BQ203" t="s">
        <v>74</v>
      </c>
      <c r="BR203" t="s">
        <v>104</v>
      </c>
      <c r="BS203" t="s">
        <v>4436</v>
      </c>
      <c r="BT203" t="str">
        <f>HYPERLINK("https%3A%2F%2Fwww.webofscience.com%2Fwos%2Fwoscc%2Ffull-record%2FWOS:000582476300001","View Full Record in Web of Science")</f>
        <v>View Full Record in Web of Science</v>
      </c>
    </row>
    <row r="204" spans="1:72" x14ac:dyDescent="0.15">
      <c r="A204" t="s">
        <v>72</v>
      </c>
      <c r="B204" t="s">
        <v>4437</v>
      </c>
      <c r="C204" t="s">
        <v>74</v>
      </c>
      <c r="D204" t="s">
        <v>74</v>
      </c>
      <c r="E204" t="s">
        <v>74</v>
      </c>
      <c r="F204" t="s">
        <v>4438</v>
      </c>
      <c r="G204" t="s">
        <v>74</v>
      </c>
      <c r="H204" t="s">
        <v>74</v>
      </c>
      <c r="I204" t="s">
        <v>4439</v>
      </c>
      <c r="J204" t="s">
        <v>4440</v>
      </c>
      <c r="K204" t="s">
        <v>74</v>
      </c>
      <c r="L204" t="s">
        <v>74</v>
      </c>
      <c r="M204" t="s">
        <v>78</v>
      </c>
      <c r="N204" t="s">
        <v>3481</v>
      </c>
      <c r="O204" t="s">
        <v>74</v>
      </c>
      <c r="P204" t="s">
        <v>74</v>
      </c>
      <c r="Q204" t="s">
        <v>74</v>
      </c>
      <c r="R204" t="s">
        <v>74</v>
      </c>
      <c r="S204" t="s">
        <v>74</v>
      </c>
      <c r="T204" t="s">
        <v>74</v>
      </c>
      <c r="U204" t="s">
        <v>74</v>
      </c>
      <c r="V204" t="s">
        <v>4441</v>
      </c>
      <c r="W204" t="s">
        <v>4442</v>
      </c>
      <c r="X204" t="s">
        <v>4443</v>
      </c>
      <c r="Y204" t="s">
        <v>4444</v>
      </c>
      <c r="Z204" t="s">
        <v>4445</v>
      </c>
      <c r="AA204" t="s">
        <v>4446</v>
      </c>
      <c r="AB204" t="s">
        <v>4447</v>
      </c>
      <c r="AC204" t="s">
        <v>4448</v>
      </c>
      <c r="AD204" t="s">
        <v>4449</v>
      </c>
      <c r="AE204" t="s">
        <v>4450</v>
      </c>
      <c r="AF204" t="s">
        <v>74</v>
      </c>
      <c r="AG204">
        <v>15</v>
      </c>
      <c r="AH204">
        <v>9</v>
      </c>
      <c r="AI204">
        <v>10</v>
      </c>
      <c r="AJ204">
        <v>1</v>
      </c>
      <c r="AK204">
        <v>5</v>
      </c>
      <c r="AL204" t="s">
        <v>4451</v>
      </c>
      <c r="AM204" t="s">
        <v>4452</v>
      </c>
      <c r="AN204" t="s">
        <v>4453</v>
      </c>
      <c r="AO204" t="s">
        <v>4454</v>
      </c>
      <c r="AP204" t="s">
        <v>4455</v>
      </c>
      <c r="AQ204" t="s">
        <v>74</v>
      </c>
      <c r="AR204" t="s">
        <v>4440</v>
      </c>
      <c r="AS204" t="s">
        <v>4456</v>
      </c>
      <c r="AT204" t="s">
        <v>4457</v>
      </c>
      <c r="AU204">
        <v>2020</v>
      </c>
      <c r="AV204">
        <v>3</v>
      </c>
      <c r="AW204">
        <v>4</v>
      </c>
      <c r="AX204" t="s">
        <v>74</v>
      </c>
      <c r="AY204" t="s">
        <v>74</v>
      </c>
      <c r="AZ204" t="s">
        <v>74</v>
      </c>
      <c r="BA204" t="s">
        <v>74</v>
      </c>
      <c r="BB204">
        <v>415</v>
      </c>
      <c r="BC204">
        <v>419</v>
      </c>
      <c r="BD204" t="s">
        <v>74</v>
      </c>
      <c r="BE204" t="s">
        <v>4458</v>
      </c>
      <c r="BF204" t="str">
        <f>HYPERLINK("http://dx.doi.org/10.1016/j.oneear.2020.09.009","http://dx.doi.org/10.1016/j.oneear.2020.09.009")</f>
        <v>http://dx.doi.org/10.1016/j.oneear.2020.09.009</v>
      </c>
      <c r="BG204" t="s">
        <v>74</v>
      </c>
      <c r="BH204" t="s">
        <v>74</v>
      </c>
      <c r="BI204">
        <v>5</v>
      </c>
      <c r="BJ204" t="s">
        <v>4459</v>
      </c>
      <c r="BK204" t="s">
        <v>255</v>
      </c>
      <c r="BL204" t="s">
        <v>4460</v>
      </c>
      <c r="BM204" t="s">
        <v>4461</v>
      </c>
      <c r="BN204" t="s">
        <v>74</v>
      </c>
      <c r="BO204" t="s">
        <v>1188</v>
      </c>
      <c r="BP204" t="s">
        <v>74</v>
      </c>
      <c r="BQ204" t="s">
        <v>74</v>
      </c>
      <c r="BR204" t="s">
        <v>104</v>
      </c>
      <c r="BS204" t="s">
        <v>4462</v>
      </c>
      <c r="BT204" t="str">
        <f>HYPERLINK("https%3A%2F%2Fwww.webofscience.com%2Fwos%2Fwoscc%2Ffull-record%2FWOS:000646423500009","View Full Record in Web of Science")</f>
        <v>View Full Record in Web of Science</v>
      </c>
    </row>
    <row r="205" spans="1:72" x14ac:dyDescent="0.15">
      <c r="A205" t="s">
        <v>72</v>
      </c>
      <c r="B205" t="s">
        <v>4463</v>
      </c>
      <c r="C205" t="s">
        <v>74</v>
      </c>
      <c r="D205" t="s">
        <v>74</v>
      </c>
      <c r="E205" t="s">
        <v>74</v>
      </c>
      <c r="F205" t="s">
        <v>4464</v>
      </c>
      <c r="G205" t="s">
        <v>74</v>
      </c>
      <c r="H205" t="s">
        <v>74</v>
      </c>
      <c r="I205" t="s">
        <v>4465</v>
      </c>
      <c r="J205" t="s">
        <v>4466</v>
      </c>
      <c r="K205" t="s">
        <v>74</v>
      </c>
      <c r="L205" t="s">
        <v>74</v>
      </c>
      <c r="M205" t="s">
        <v>78</v>
      </c>
      <c r="N205" t="s">
        <v>79</v>
      </c>
      <c r="O205" t="s">
        <v>74</v>
      </c>
      <c r="P205" t="s">
        <v>74</v>
      </c>
      <c r="Q205" t="s">
        <v>74</v>
      </c>
      <c r="R205" t="s">
        <v>74</v>
      </c>
      <c r="S205" t="s">
        <v>74</v>
      </c>
      <c r="T205" t="s">
        <v>74</v>
      </c>
      <c r="U205" t="s">
        <v>4467</v>
      </c>
      <c r="V205" t="s">
        <v>4468</v>
      </c>
      <c r="W205" t="s">
        <v>4469</v>
      </c>
      <c r="X205" t="s">
        <v>4470</v>
      </c>
      <c r="Y205" t="s">
        <v>4471</v>
      </c>
      <c r="Z205" t="s">
        <v>4472</v>
      </c>
      <c r="AA205" t="s">
        <v>4473</v>
      </c>
      <c r="AB205" t="s">
        <v>4474</v>
      </c>
      <c r="AC205" t="s">
        <v>4475</v>
      </c>
      <c r="AD205" t="s">
        <v>4476</v>
      </c>
      <c r="AE205" t="s">
        <v>4477</v>
      </c>
      <c r="AF205" t="s">
        <v>74</v>
      </c>
      <c r="AG205">
        <v>104</v>
      </c>
      <c r="AH205">
        <v>3</v>
      </c>
      <c r="AI205">
        <v>3</v>
      </c>
      <c r="AJ205">
        <v>1</v>
      </c>
      <c r="AK205">
        <v>9</v>
      </c>
      <c r="AL205" t="s">
        <v>4478</v>
      </c>
      <c r="AM205" t="s">
        <v>4479</v>
      </c>
      <c r="AN205" t="s">
        <v>4480</v>
      </c>
      <c r="AO205" t="s">
        <v>4481</v>
      </c>
      <c r="AP205" t="s">
        <v>4482</v>
      </c>
      <c r="AQ205" t="s">
        <v>74</v>
      </c>
      <c r="AR205" t="s">
        <v>4483</v>
      </c>
      <c r="AS205" t="s">
        <v>4484</v>
      </c>
      <c r="AT205" t="s">
        <v>252</v>
      </c>
      <c r="AU205">
        <v>2021</v>
      </c>
      <c r="AV205">
        <v>178</v>
      </c>
      <c r="AW205">
        <v>1</v>
      </c>
      <c r="AX205" t="s">
        <v>74</v>
      </c>
      <c r="AY205" t="s">
        <v>74</v>
      </c>
      <c r="AZ205" t="s">
        <v>74</v>
      </c>
      <c r="BA205" t="s">
        <v>74</v>
      </c>
      <c r="BB205" t="s">
        <v>74</v>
      </c>
      <c r="BC205" t="s">
        <v>74</v>
      </c>
      <c r="BD205" t="s">
        <v>4485</v>
      </c>
      <c r="BE205" t="s">
        <v>4486</v>
      </c>
      <c r="BF205" t="str">
        <f>HYPERLINK("http://dx.doi.org/10.1144/jgs2020-062","http://dx.doi.org/10.1144/jgs2020-062")</f>
        <v>http://dx.doi.org/10.1144/jgs2020-062</v>
      </c>
      <c r="BG205" t="s">
        <v>74</v>
      </c>
      <c r="BH205" t="s">
        <v>3429</v>
      </c>
      <c r="BI205">
        <v>17</v>
      </c>
      <c r="BJ205" t="s">
        <v>534</v>
      </c>
      <c r="BK205" t="s">
        <v>100</v>
      </c>
      <c r="BL205" t="s">
        <v>535</v>
      </c>
      <c r="BM205" t="s">
        <v>4487</v>
      </c>
      <c r="BN205" t="s">
        <v>74</v>
      </c>
      <c r="BO205" t="s">
        <v>1794</v>
      </c>
      <c r="BP205" t="s">
        <v>74</v>
      </c>
      <c r="BQ205" t="s">
        <v>74</v>
      </c>
      <c r="BR205" t="s">
        <v>104</v>
      </c>
      <c r="BS205" t="s">
        <v>4488</v>
      </c>
      <c r="BT205" t="str">
        <f>HYPERLINK("https%3A%2F%2Fwww.webofscience.com%2Fwos%2Fwoscc%2Ffull-record%2FWOS:000583905600001","View Full Record in Web of Science")</f>
        <v>View Full Record in Web of Science</v>
      </c>
    </row>
    <row r="206" spans="1:72" x14ac:dyDescent="0.15">
      <c r="A206" t="s">
        <v>72</v>
      </c>
      <c r="B206" t="s">
        <v>4489</v>
      </c>
      <c r="C206" t="s">
        <v>74</v>
      </c>
      <c r="D206" t="s">
        <v>74</v>
      </c>
      <c r="E206" t="s">
        <v>74</v>
      </c>
      <c r="F206" t="s">
        <v>4490</v>
      </c>
      <c r="G206" t="s">
        <v>74</v>
      </c>
      <c r="H206" t="s">
        <v>74</v>
      </c>
      <c r="I206" t="s">
        <v>4491</v>
      </c>
      <c r="J206" t="s">
        <v>4492</v>
      </c>
      <c r="K206" t="s">
        <v>74</v>
      </c>
      <c r="L206" t="s">
        <v>74</v>
      </c>
      <c r="M206" t="s">
        <v>78</v>
      </c>
      <c r="N206" t="s">
        <v>79</v>
      </c>
      <c r="O206" t="s">
        <v>74</v>
      </c>
      <c r="P206" t="s">
        <v>74</v>
      </c>
      <c r="Q206" t="s">
        <v>74</v>
      </c>
      <c r="R206" t="s">
        <v>74</v>
      </c>
      <c r="S206" t="s">
        <v>74</v>
      </c>
      <c r="T206" t="s">
        <v>4493</v>
      </c>
      <c r="U206" t="s">
        <v>4494</v>
      </c>
      <c r="V206" t="s">
        <v>4495</v>
      </c>
      <c r="W206" t="s">
        <v>4496</v>
      </c>
      <c r="X206" t="s">
        <v>4497</v>
      </c>
      <c r="Y206" t="s">
        <v>4498</v>
      </c>
      <c r="Z206" t="s">
        <v>4499</v>
      </c>
      <c r="AA206" t="s">
        <v>4500</v>
      </c>
      <c r="AB206" t="s">
        <v>4501</v>
      </c>
      <c r="AC206" t="s">
        <v>4502</v>
      </c>
      <c r="AD206" t="s">
        <v>4503</v>
      </c>
      <c r="AE206" t="s">
        <v>4504</v>
      </c>
      <c r="AF206" t="s">
        <v>74</v>
      </c>
      <c r="AG206">
        <v>39</v>
      </c>
      <c r="AH206">
        <v>5</v>
      </c>
      <c r="AI206">
        <v>5</v>
      </c>
      <c r="AJ206">
        <v>0</v>
      </c>
      <c r="AK206">
        <v>10</v>
      </c>
      <c r="AL206" t="s">
        <v>219</v>
      </c>
      <c r="AM206" t="s">
        <v>220</v>
      </c>
      <c r="AN206" t="s">
        <v>221</v>
      </c>
      <c r="AO206" t="s">
        <v>4505</v>
      </c>
      <c r="AP206" t="s">
        <v>4506</v>
      </c>
      <c r="AQ206" t="s">
        <v>74</v>
      </c>
      <c r="AR206" t="s">
        <v>4507</v>
      </c>
      <c r="AS206" t="s">
        <v>4508</v>
      </c>
      <c r="AT206" t="s">
        <v>252</v>
      </c>
      <c r="AU206">
        <v>2021</v>
      </c>
      <c r="AV206">
        <v>98</v>
      </c>
      <c r="AW206">
        <v>1</v>
      </c>
      <c r="AX206" t="s">
        <v>74</v>
      </c>
      <c r="AY206" t="s">
        <v>74</v>
      </c>
      <c r="AZ206" t="s">
        <v>74</v>
      </c>
      <c r="BA206" t="s">
        <v>74</v>
      </c>
      <c r="BB206">
        <v>287</v>
      </c>
      <c r="BC206">
        <v>291</v>
      </c>
      <c r="BD206" t="s">
        <v>74</v>
      </c>
      <c r="BE206" t="s">
        <v>4509</v>
      </c>
      <c r="BF206" t="str">
        <f>HYPERLINK("http://dx.doi.org/10.1111/jfb.14579","http://dx.doi.org/10.1111/jfb.14579")</f>
        <v>http://dx.doi.org/10.1111/jfb.14579</v>
      </c>
      <c r="BG206" t="s">
        <v>74</v>
      </c>
      <c r="BH206" t="s">
        <v>3429</v>
      </c>
      <c r="BI206">
        <v>5</v>
      </c>
      <c r="BJ206" t="s">
        <v>4322</v>
      </c>
      <c r="BK206" t="s">
        <v>100</v>
      </c>
      <c r="BL206" t="s">
        <v>4322</v>
      </c>
      <c r="BM206" t="s">
        <v>4510</v>
      </c>
      <c r="BN206">
        <v>33090461</v>
      </c>
      <c r="BO206" t="s">
        <v>376</v>
      </c>
      <c r="BP206" t="s">
        <v>74</v>
      </c>
      <c r="BQ206" t="s">
        <v>74</v>
      </c>
      <c r="BR206" t="s">
        <v>104</v>
      </c>
      <c r="BS206" t="s">
        <v>4511</v>
      </c>
      <c r="BT206" t="str">
        <f>HYPERLINK("https%3A%2F%2Fwww.webofscience.com%2Fwos%2Fwoscc%2Ffull-record%2FWOS:000581618400001","View Full Record in Web of Science")</f>
        <v>View Full Record in Web of Science</v>
      </c>
    </row>
    <row r="207" spans="1:72" x14ac:dyDescent="0.15">
      <c r="A207" t="s">
        <v>72</v>
      </c>
      <c r="B207" t="s">
        <v>4512</v>
      </c>
      <c r="C207" t="s">
        <v>74</v>
      </c>
      <c r="D207" t="s">
        <v>74</v>
      </c>
      <c r="E207" t="s">
        <v>74</v>
      </c>
      <c r="F207" t="s">
        <v>4513</v>
      </c>
      <c r="G207" t="s">
        <v>74</v>
      </c>
      <c r="H207" t="s">
        <v>74</v>
      </c>
      <c r="I207" t="s">
        <v>4514</v>
      </c>
      <c r="J207" t="s">
        <v>4046</v>
      </c>
      <c r="K207" t="s">
        <v>74</v>
      </c>
      <c r="L207" t="s">
        <v>74</v>
      </c>
      <c r="M207" t="s">
        <v>78</v>
      </c>
      <c r="N207" t="s">
        <v>79</v>
      </c>
      <c r="O207" t="s">
        <v>74</v>
      </c>
      <c r="P207" t="s">
        <v>74</v>
      </c>
      <c r="Q207" t="s">
        <v>74</v>
      </c>
      <c r="R207" t="s">
        <v>74</v>
      </c>
      <c r="S207" t="s">
        <v>74</v>
      </c>
      <c r="T207" t="s">
        <v>4515</v>
      </c>
      <c r="U207" t="s">
        <v>4516</v>
      </c>
      <c r="V207" t="s">
        <v>4517</v>
      </c>
      <c r="W207" t="s">
        <v>4518</v>
      </c>
      <c r="X207" t="s">
        <v>4519</v>
      </c>
      <c r="Y207" t="s">
        <v>4520</v>
      </c>
      <c r="Z207" t="s">
        <v>4521</v>
      </c>
      <c r="AA207" t="s">
        <v>74</v>
      </c>
      <c r="AB207" t="s">
        <v>4522</v>
      </c>
      <c r="AC207" t="s">
        <v>4523</v>
      </c>
      <c r="AD207" t="s">
        <v>4524</v>
      </c>
      <c r="AE207" t="s">
        <v>4525</v>
      </c>
      <c r="AF207" t="s">
        <v>74</v>
      </c>
      <c r="AG207">
        <v>52</v>
      </c>
      <c r="AH207">
        <v>9</v>
      </c>
      <c r="AI207">
        <v>9</v>
      </c>
      <c r="AJ207">
        <v>1</v>
      </c>
      <c r="AK207">
        <v>20</v>
      </c>
      <c r="AL207" t="s">
        <v>866</v>
      </c>
      <c r="AM207" t="s">
        <v>867</v>
      </c>
      <c r="AN207" t="s">
        <v>868</v>
      </c>
      <c r="AO207" t="s">
        <v>74</v>
      </c>
      <c r="AP207" t="s">
        <v>4058</v>
      </c>
      <c r="AQ207" t="s">
        <v>74</v>
      </c>
      <c r="AR207" t="s">
        <v>4059</v>
      </c>
      <c r="AS207" t="s">
        <v>4060</v>
      </c>
      <c r="AT207" t="s">
        <v>4457</v>
      </c>
      <c r="AU207">
        <v>2020</v>
      </c>
      <c r="AV207">
        <v>11</v>
      </c>
      <c r="AW207" t="s">
        <v>74</v>
      </c>
      <c r="AX207" t="s">
        <v>74</v>
      </c>
      <c r="AY207" t="s">
        <v>74</v>
      </c>
      <c r="AZ207" t="s">
        <v>74</v>
      </c>
      <c r="BA207" t="s">
        <v>74</v>
      </c>
      <c r="BB207" t="s">
        <v>74</v>
      </c>
      <c r="BC207" t="s">
        <v>74</v>
      </c>
      <c r="BD207">
        <v>575563</v>
      </c>
      <c r="BE207" t="s">
        <v>4526</v>
      </c>
      <c r="BF207" t="str">
        <f>HYPERLINK("http://dx.doi.org/10.3389/fmicb.2020.575563","http://dx.doi.org/10.3389/fmicb.2020.575563")</f>
        <v>http://dx.doi.org/10.3389/fmicb.2020.575563</v>
      </c>
      <c r="BG207" t="s">
        <v>74</v>
      </c>
      <c r="BH207" t="s">
        <v>74</v>
      </c>
      <c r="BI207">
        <v>10</v>
      </c>
      <c r="BJ207" t="s">
        <v>229</v>
      </c>
      <c r="BK207" t="s">
        <v>100</v>
      </c>
      <c r="BL207" t="s">
        <v>229</v>
      </c>
      <c r="BM207" t="s">
        <v>4527</v>
      </c>
      <c r="BN207">
        <v>33193189</v>
      </c>
      <c r="BO207" t="s">
        <v>2113</v>
      </c>
      <c r="BP207" t="s">
        <v>74</v>
      </c>
      <c r="BQ207" t="s">
        <v>74</v>
      </c>
      <c r="BR207" t="s">
        <v>104</v>
      </c>
      <c r="BS207" t="s">
        <v>4528</v>
      </c>
      <c r="BT207" t="str">
        <f>HYPERLINK("https%3A%2F%2Fwww.webofscience.com%2Fwos%2Fwoscc%2Ffull-record%2FWOS:000585961800001","View Full Record in Web of Science")</f>
        <v>View Full Record in Web of Science</v>
      </c>
    </row>
    <row r="208" spans="1:72" x14ac:dyDescent="0.15">
      <c r="A208" t="s">
        <v>72</v>
      </c>
      <c r="B208" t="s">
        <v>4529</v>
      </c>
      <c r="C208" t="s">
        <v>74</v>
      </c>
      <c r="D208" t="s">
        <v>74</v>
      </c>
      <c r="E208" t="s">
        <v>74</v>
      </c>
      <c r="F208" t="s">
        <v>4530</v>
      </c>
      <c r="G208" t="s">
        <v>74</v>
      </c>
      <c r="H208" t="s">
        <v>74</v>
      </c>
      <c r="I208" t="s">
        <v>4531</v>
      </c>
      <c r="J208" t="s">
        <v>309</v>
      </c>
      <c r="K208" t="s">
        <v>74</v>
      </c>
      <c r="L208" t="s">
        <v>74</v>
      </c>
      <c r="M208" t="s">
        <v>78</v>
      </c>
      <c r="N208" t="s">
        <v>79</v>
      </c>
      <c r="O208" t="s">
        <v>74</v>
      </c>
      <c r="P208" t="s">
        <v>74</v>
      </c>
      <c r="Q208" t="s">
        <v>74</v>
      </c>
      <c r="R208" t="s">
        <v>74</v>
      </c>
      <c r="S208" t="s">
        <v>74</v>
      </c>
      <c r="T208" t="s">
        <v>74</v>
      </c>
      <c r="U208" t="s">
        <v>4532</v>
      </c>
      <c r="V208" t="s">
        <v>4533</v>
      </c>
      <c r="W208" t="s">
        <v>4534</v>
      </c>
      <c r="X208" t="s">
        <v>4535</v>
      </c>
      <c r="Y208" t="s">
        <v>4536</v>
      </c>
      <c r="Z208" t="s">
        <v>4537</v>
      </c>
      <c r="AA208" t="s">
        <v>4538</v>
      </c>
      <c r="AB208" t="s">
        <v>4539</v>
      </c>
      <c r="AC208" t="s">
        <v>4540</v>
      </c>
      <c r="AD208" t="s">
        <v>4540</v>
      </c>
      <c r="AE208" t="s">
        <v>4541</v>
      </c>
      <c r="AF208" t="s">
        <v>74</v>
      </c>
      <c r="AG208">
        <v>87</v>
      </c>
      <c r="AH208">
        <v>20</v>
      </c>
      <c r="AI208">
        <v>22</v>
      </c>
      <c r="AJ208">
        <v>5</v>
      </c>
      <c r="AK208">
        <v>20</v>
      </c>
      <c r="AL208" t="s">
        <v>413</v>
      </c>
      <c r="AM208" t="s">
        <v>322</v>
      </c>
      <c r="AN208" t="s">
        <v>323</v>
      </c>
      <c r="AO208" t="s">
        <v>324</v>
      </c>
      <c r="AP208" t="s">
        <v>74</v>
      </c>
      <c r="AQ208" t="s">
        <v>74</v>
      </c>
      <c r="AR208" t="s">
        <v>325</v>
      </c>
      <c r="AS208" t="s">
        <v>326</v>
      </c>
      <c r="AT208" t="s">
        <v>4542</v>
      </c>
      <c r="AU208">
        <v>2020</v>
      </c>
      <c r="AV208">
        <v>10</v>
      </c>
      <c r="AW208">
        <v>1</v>
      </c>
      <c r="AX208" t="s">
        <v>74</v>
      </c>
      <c r="AY208" t="s">
        <v>74</v>
      </c>
      <c r="AZ208" t="s">
        <v>74</v>
      </c>
      <c r="BA208" t="s">
        <v>74</v>
      </c>
      <c r="BB208" t="s">
        <v>74</v>
      </c>
      <c r="BC208" t="s">
        <v>74</v>
      </c>
      <c r="BD208">
        <v>18023</v>
      </c>
      <c r="BE208" t="s">
        <v>4543</v>
      </c>
      <c r="BF208" t="str">
        <f>HYPERLINK("http://dx.doi.org/10.1038/s41598-020-75024-6","http://dx.doi.org/10.1038/s41598-020-75024-6")</f>
        <v>http://dx.doi.org/10.1038/s41598-020-75024-6</v>
      </c>
      <c r="BG208" t="s">
        <v>74</v>
      </c>
      <c r="BH208" t="s">
        <v>74</v>
      </c>
      <c r="BI208">
        <v>14</v>
      </c>
      <c r="BJ208" t="s">
        <v>329</v>
      </c>
      <c r="BK208" t="s">
        <v>100</v>
      </c>
      <c r="BL208" t="s">
        <v>330</v>
      </c>
      <c r="BM208" t="s">
        <v>4544</v>
      </c>
      <c r="BN208">
        <v>33093560</v>
      </c>
      <c r="BO208" t="s">
        <v>332</v>
      </c>
      <c r="BP208" t="s">
        <v>74</v>
      </c>
      <c r="BQ208" t="s">
        <v>74</v>
      </c>
      <c r="BR208" t="s">
        <v>104</v>
      </c>
      <c r="BS208" t="s">
        <v>4545</v>
      </c>
      <c r="BT208" t="str">
        <f>HYPERLINK("https%3A%2F%2Fwww.webofscience.com%2Fwos%2Fwoscc%2Ffull-record%2FWOS:000615379800016","View Full Record in Web of Science")</f>
        <v>View Full Record in Web of Science</v>
      </c>
    </row>
    <row r="209" spans="1:72" x14ac:dyDescent="0.15">
      <c r="A209" t="s">
        <v>72</v>
      </c>
      <c r="B209" t="s">
        <v>4546</v>
      </c>
      <c r="C209" t="s">
        <v>74</v>
      </c>
      <c r="D209" t="s">
        <v>74</v>
      </c>
      <c r="E209" t="s">
        <v>74</v>
      </c>
      <c r="F209" t="s">
        <v>4547</v>
      </c>
      <c r="G209" t="s">
        <v>74</v>
      </c>
      <c r="H209" t="s">
        <v>74</v>
      </c>
      <c r="I209" t="s">
        <v>4548</v>
      </c>
      <c r="J209" t="s">
        <v>3480</v>
      </c>
      <c r="K209" t="s">
        <v>74</v>
      </c>
      <c r="L209" t="s">
        <v>74</v>
      </c>
      <c r="M209" t="s">
        <v>78</v>
      </c>
      <c r="N209" t="s">
        <v>3481</v>
      </c>
      <c r="O209" t="s">
        <v>74</v>
      </c>
      <c r="P209" t="s">
        <v>74</v>
      </c>
      <c r="Q209" t="s">
        <v>74</v>
      </c>
      <c r="R209" t="s">
        <v>74</v>
      </c>
      <c r="S209" t="s">
        <v>74</v>
      </c>
      <c r="T209" t="s">
        <v>4549</v>
      </c>
      <c r="U209" t="s">
        <v>74</v>
      </c>
      <c r="V209" t="s">
        <v>74</v>
      </c>
      <c r="W209" t="s">
        <v>4550</v>
      </c>
      <c r="X209" t="s">
        <v>4551</v>
      </c>
      <c r="Y209" t="s">
        <v>4552</v>
      </c>
      <c r="Z209" t="s">
        <v>4553</v>
      </c>
      <c r="AA209" t="s">
        <v>4554</v>
      </c>
      <c r="AB209" t="s">
        <v>4555</v>
      </c>
      <c r="AC209" t="s">
        <v>74</v>
      </c>
      <c r="AD209" t="s">
        <v>74</v>
      </c>
      <c r="AE209" t="s">
        <v>74</v>
      </c>
      <c r="AF209" t="s">
        <v>74</v>
      </c>
      <c r="AG209">
        <v>10</v>
      </c>
      <c r="AH209">
        <v>10</v>
      </c>
      <c r="AI209">
        <v>12</v>
      </c>
      <c r="AJ209">
        <v>3</v>
      </c>
      <c r="AK209">
        <v>25</v>
      </c>
      <c r="AL209" t="s">
        <v>321</v>
      </c>
      <c r="AM209" t="s">
        <v>322</v>
      </c>
      <c r="AN209" t="s">
        <v>323</v>
      </c>
      <c r="AO209" t="s">
        <v>3484</v>
      </c>
      <c r="AP209" t="s">
        <v>3485</v>
      </c>
      <c r="AQ209" t="s">
        <v>74</v>
      </c>
      <c r="AR209" t="s">
        <v>3480</v>
      </c>
      <c r="AS209" t="s">
        <v>3486</v>
      </c>
      <c r="AT209" t="s">
        <v>4542</v>
      </c>
      <c r="AU209">
        <v>2020</v>
      </c>
      <c r="AV209">
        <v>586</v>
      </c>
      <c r="AW209">
        <v>7830</v>
      </c>
      <c r="AX209" t="s">
        <v>74</v>
      </c>
      <c r="AY209" t="s">
        <v>74</v>
      </c>
      <c r="AZ209" t="s">
        <v>74</v>
      </c>
      <c r="BA209" t="s">
        <v>74</v>
      </c>
      <c r="BB209">
        <v>496</v>
      </c>
      <c r="BC209">
        <v>499</v>
      </c>
      <c r="BD209" t="s">
        <v>74</v>
      </c>
      <c r="BE209" t="s">
        <v>4556</v>
      </c>
      <c r="BF209" t="str">
        <f>HYPERLINK("http://dx.doi.org/10.1038/d41586-020-02939-5","http://dx.doi.org/10.1038/d41586-020-02939-5")</f>
        <v>http://dx.doi.org/10.1038/d41586-020-02939-5</v>
      </c>
      <c r="BG209" t="s">
        <v>74</v>
      </c>
      <c r="BH209" t="s">
        <v>74</v>
      </c>
      <c r="BI209">
        <v>4</v>
      </c>
      <c r="BJ209" t="s">
        <v>329</v>
      </c>
      <c r="BK209" t="s">
        <v>255</v>
      </c>
      <c r="BL209" t="s">
        <v>330</v>
      </c>
      <c r="BM209" t="s">
        <v>4557</v>
      </c>
      <c r="BN209">
        <v>33071280</v>
      </c>
      <c r="BO209" t="s">
        <v>74</v>
      </c>
      <c r="BP209" t="s">
        <v>74</v>
      </c>
      <c r="BQ209" t="s">
        <v>74</v>
      </c>
      <c r="BR209" t="s">
        <v>104</v>
      </c>
      <c r="BS209" t="s">
        <v>4558</v>
      </c>
      <c r="BT209" t="str">
        <f>HYPERLINK("https%3A%2F%2Fwww.webofscience.com%2Fwos%2Fwoscc%2Ffull-record%2FWOS:000579073000001","View Full Record in Web of Science")</f>
        <v>View Full Record in Web of Science</v>
      </c>
    </row>
    <row r="210" spans="1:72" x14ac:dyDescent="0.15">
      <c r="A210" t="s">
        <v>72</v>
      </c>
      <c r="B210" t="s">
        <v>4559</v>
      </c>
      <c r="C210" t="s">
        <v>74</v>
      </c>
      <c r="D210" t="s">
        <v>74</v>
      </c>
      <c r="E210" t="s">
        <v>74</v>
      </c>
      <c r="F210" t="s">
        <v>4560</v>
      </c>
      <c r="G210" t="s">
        <v>74</v>
      </c>
      <c r="H210" t="s">
        <v>74</v>
      </c>
      <c r="I210" t="s">
        <v>4561</v>
      </c>
      <c r="J210" t="s">
        <v>4046</v>
      </c>
      <c r="K210" t="s">
        <v>74</v>
      </c>
      <c r="L210" t="s">
        <v>74</v>
      </c>
      <c r="M210" t="s">
        <v>78</v>
      </c>
      <c r="N210" t="s">
        <v>79</v>
      </c>
      <c r="O210" t="s">
        <v>74</v>
      </c>
      <c r="P210" t="s">
        <v>74</v>
      </c>
      <c r="Q210" t="s">
        <v>74</v>
      </c>
      <c r="R210" t="s">
        <v>74</v>
      </c>
      <c r="S210" t="s">
        <v>74</v>
      </c>
      <c r="T210" t="s">
        <v>4562</v>
      </c>
      <c r="U210" t="s">
        <v>4563</v>
      </c>
      <c r="V210" t="s">
        <v>4564</v>
      </c>
      <c r="W210" t="s">
        <v>4565</v>
      </c>
      <c r="X210" t="s">
        <v>4566</v>
      </c>
      <c r="Y210" t="s">
        <v>4567</v>
      </c>
      <c r="Z210" t="s">
        <v>4568</v>
      </c>
      <c r="AA210" t="s">
        <v>4569</v>
      </c>
      <c r="AB210" t="s">
        <v>4570</v>
      </c>
      <c r="AC210" t="s">
        <v>4571</v>
      </c>
      <c r="AD210" t="s">
        <v>4571</v>
      </c>
      <c r="AE210" t="s">
        <v>4572</v>
      </c>
      <c r="AF210" t="s">
        <v>74</v>
      </c>
      <c r="AG210">
        <v>33</v>
      </c>
      <c r="AH210">
        <v>29</v>
      </c>
      <c r="AI210">
        <v>31</v>
      </c>
      <c r="AJ210">
        <v>0</v>
      </c>
      <c r="AK210">
        <v>5</v>
      </c>
      <c r="AL210" t="s">
        <v>866</v>
      </c>
      <c r="AM210" t="s">
        <v>867</v>
      </c>
      <c r="AN210" t="s">
        <v>868</v>
      </c>
      <c r="AO210" t="s">
        <v>4058</v>
      </c>
      <c r="AP210" t="s">
        <v>74</v>
      </c>
      <c r="AQ210" t="s">
        <v>74</v>
      </c>
      <c r="AR210" t="s">
        <v>4059</v>
      </c>
      <c r="AS210" t="s">
        <v>4060</v>
      </c>
      <c r="AT210" t="s">
        <v>4542</v>
      </c>
      <c r="AU210">
        <v>2020</v>
      </c>
      <c r="AV210">
        <v>11</v>
      </c>
      <c r="AW210" t="s">
        <v>74</v>
      </c>
      <c r="AX210" t="s">
        <v>74</v>
      </c>
      <c r="AY210" t="s">
        <v>74</v>
      </c>
      <c r="AZ210" t="s">
        <v>74</v>
      </c>
      <c r="BA210" t="s">
        <v>74</v>
      </c>
      <c r="BB210" t="s">
        <v>74</v>
      </c>
      <c r="BC210" t="s">
        <v>74</v>
      </c>
      <c r="BD210">
        <v>586387</v>
      </c>
      <c r="BE210" t="s">
        <v>4573</v>
      </c>
      <c r="BF210" t="str">
        <f>HYPERLINK("http://dx.doi.org/10.3389/fmicb.2020.586387","http://dx.doi.org/10.3389/fmicb.2020.586387")</f>
        <v>http://dx.doi.org/10.3389/fmicb.2020.586387</v>
      </c>
      <c r="BG210" t="s">
        <v>74</v>
      </c>
      <c r="BH210" t="s">
        <v>74</v>
      </c>
      <c r="BI210">
        <v>12</v>
      </c>
      <c r="BJ210" t="s">
        <v>229</v>
      </c>
      <c r="BK210" t="s">
        <v>100</v>
      </c>
      <c r="BL210" t="s">
        <v>229</v>
      </c>
      <c r="BM210" t="s">
        <v>4574</v>
      </c>
      <c r="BN210">
        <v>33193237</v>
      </c>
      <c r="BO210" t="s">
        <v>332</v>
      </c>
      <c r="BP210" t="s">
        <v>74</v>
      </c>
      <c r="BQ210" t="s">
        <v>74</v>
      </c>
      <c r="BR210" t="s">
        <v>104</v>
      </c>
      <c r="BS210" t="s">
        <v>4575</v>
      </c>
      <c r="BT210" t="str">
        <f>HYPERLINK("https%3A%2F%2Fwww.webofscience.com%2Fwos%2Fwoscc%2Ffull-record%2FWOS:000585350800001","View Full Record in Web of Science")</f>
        <v>View Full Record in Web of Science</v>
      </c>
    </row>
    <row r="211" spans="1:72" x14ac:dyDescent="0.15">
      <c r="A211" t="s">
        <v>72</v>
      </c>
      <c r="B211" t="s">
        <v>4576</v>
      </c>
      <c r="C211" t="s">
        <v>74</v>
      </c>
      <c r="D211" t="s">
        <v>74</v>
      </c>
      <c r="E211" t="s">
        <v>74</v>
      </c>
      <c r="F211" t="s">
        <v>4577</v>
      </c>
      <c r="G211" t="s">
        <v>74</v>
      </c>
      <c r="H211" t="s">
        <v>74</v>
      </c>
      <c r="I211" t="s">
        <v>4578</v>
      </c>
      <c r="J211" t="s">
        <v>4579</v>
      </c>
      <c r="K211" t="s">
        <v>74</v>
      </c>
      <c r="L211" t="s">
        <v>74</v>
      </c>
      <c r="M211" t="s">
        <v>78</v>
      </c>
      <c r="N211" t="s">
        <v>79</v>
      </c>
      <c r="O211" t="s">
        <v>74</v>
      </c>
      <c r="P211" t="s">
        <v>74</v>
      </c>
      <c r="Q211" t="s">
        <v>74</v>
      </c>
      <c r="R211" t="s">
        <v>74</v>
      </c>
      <c r="S211" t="s">
        <v>74</v>
      </c>
      <c r="T211" t="s">
        <v>4580</v>
      </c>
      <c r="U211" t="s">
        <v>4581</v>
      </c>
      <c r="V211" t="s">
        <v>4582</v>
      </c>
      <c r="W211" t="s">
        <v>4583</v>
      </c>
      <c r="X211" t="s">
        <v>4584</v>
      </c>
      <c r="Y211" t="s">
        <v>4585</v>
      </c>
      <c r="Z211" t="s">
        <v>4586</v>
      </c>
      <c r="AA211" t="s">
        <v>4587</v>
      </c>
      <c r="AB211" t="s">
        <v>4588</v>
      </c>
      <c r="AC211" t="s">
        <v>4589</v>
      </c>
      <c r="AD211" t="s">
        <v>4590</v>
      </c>
      <c r="AE211" t="s">
        <v>4591</v>
      </c>
      <c r="AF211" t="s">
        <v>74</v>
      </c>
      <c r="AG211">
        <v>51</v>
      </c>
      <c r="AH211">
        <v>12</v>
      </c>
      <c r="AI211">
        <v>16</v>
      </c>
      <c r="AJ211">
        <v>2</v>
      </c>
      <c r="AK211">
        <v>15</v>
      </c>
      <c r="AL211" t="s">
        <v>219</v>
      </c>
      <c r="AM211" t="s">
        <v>220</v>
      </c>
      <c r="AN211" t="s">
        <v>221</v>
      </c>
      <c r="AO211" t="s">
        <v>4592</v>
      </c>
      <c r="AP211" t="s">
        <v>74</v>
      </c>
      <c r="AQ211" t="s">
        <v>74</v>
      </c>
      <c r="AR211" t="s">
        <v>4593</v>
      </c>
      <c r="AS211" t="s">
        <v>4594</v>
      </c>
      <c r="AT211" t="s">
        <v>2623</v>
      </c>
      <c r="AU211">
        <v>2021</v>
      </c>
      <c r="AV211">
        <v>14</v>
      </c>
      <c r="AW211">
        <v>2</v>
      </c>
      <c r="AX211" t="s">
        <v>74</v>
      </c>
      <c r="AY211" t="s">
        <v>74</v>
      </c>
      <c r="AZ211" t="s">
        <v>74</v>
      </c>
      <c r="BA211" t="s">
        <v>74</v>
      </c>
      <c r="BB211">
        <v>577</v>
      </c>
      <c r="BC211">
        <v>587</v>
      </c>
      <c r="BD211" t="s">
        <v>74</v>
      </c>
      <c r="BE211" t="s">
        <v>4595</v>
      </c>
      <c r="BF211" t="str">
        <f>HYPERLINK("http://dx.doi.org/10.1111/eva.13142","http://dx.doi.org/10.1111/eva.13142")</f>
        <v>http://dx.doi.org/10.1111/eva.13142</v>
      </c>
      <c r="BG211" t="s">
        <v>74</v>
      </c>
      <c r="BH211" t="s">
        <v>3429</v>
      </c>
      <c r="BI211">
        <v>11</v>
      </c>
      <c r="BJ211" t="s">
        <v>4596</v>
      </c>
      <c r="BK211" t="s">
        <v>100</v>
      </c>
      <c r="BL211" t="s">
        <v>4596</v>
      </c>
      <c r="BM211" t="s">
        <v>4597</v>
      </c>
      <c r="BN211">
        <v>33664796</v>
      </c>
      <c r="BO211" t="s">
        <v>397</v>
      </c>
      <c r="BP211" t="s">
        <v>74</v>
      </c>
      <c r="BQ211" t="s">
        <v>74</v>
      </c>
      <c r="BR211" t="s">
        <v>104</v>
      </c>
      <c r="BS211" t="s">
        <v>4598</v>
      </c>
      <c r="BT211" t="str">
        <f>HYPERLINK("https%3A%2F%2Fwww.webofscience.com%2Fwos%2Fwoscc%2Ffull-record%2FWOS:000580981200001","View Full Record in Web of Science")</f>
        <v>View Full Record in Web of Science</v>
      </c>
    </row>
    <row r="212" spans="1:72" x14ac:dyDescent="0.15">
      <c r="A212" t="s">
        <v>72</v>
      </c>
      <c r="B212" t="s">
        <v>4599</v>
      </c>
      <c r="C212" t="s">
        <v>74</v>
      </c>
      <c r="D212" t="s">
        <v>74</v>
      </c>
      <c r="E212" t="s">
        <v>74</v>
      </c>
      <c r="F212" t="s">
        <v>4600</v>
      </c>
      <c r="G212" t="s">
        <v>74</v>
      </c>
      <c r="H212" t="s">
        <v>74</v>
      </c>
      <c r="I212" t="s">
        <v>4601</v>
      </c>
      <c r="J212" t="s">
        <v>4602</v>
      </c>
      <c r="K212" t="s">
        <v>74</v>
      </c>
      <c r="L212" t="s">
        <v>74</v>
      </c>
      <c r="M212" t="s">
        <v>78</v>
      </c>
      <c r="N212" t="s">
        <v>79</v>
      </c>
      <c r="O212" t="s">
        <v>74</v>
      </c>
      <c r="P212" t="s">
        <v>74</v>
      </c>
      <c r="Q212" t="s">
        <v>74</v>
      </c>
      <c r="R212" t="s">
        <v>74</v>
      </c>
      <c r="S212" t="s">
        <v>74</v>
      </c>
      <c r="T212" t="s">
        <v>4603</v>
      </c>
      <c r="U212" t="s">
        <v>4604</v>
      </c>
      <c r="V212" t="s">
        <v>4605</v>
      </c>
      <c r="W212" t="s">
        <v>4606</v>
      </c>
      <c r="X212" t="s">
        <v>4607</v>
      </c>
      <c r="Y212" t="s">
        <v>4608</v>
      </c>
      <c r="Z212" t="s">
        <v>4609</v>
      </c>
      <c r="AA212" t="s">
        <v>4610</v>
      </c>
      <c r="AB212" t="s">
        <v>4611</v>
      </c>
      <c r="AC212" t="s">
        <v>4612</v>
      </c>
      <c r="AD212" t="s">
        <v>4613</v>
      </c>
      <c r="AE212" t="s">
        <v>4614</v>
      </c>
      <c r="AF212" t="s">
        <v>74</v>
      </c>
      <c r="AG212">
        <v>67</v>
      </c>
      <c r="AH212">
        <v>18</v>
      </c>
      <c r="AI212">
        <v>19</v>
      </c>
      <c r="AJ212">
        <v>0</v>
      </c>
      <c r="AK212">
        <v>24</v>
      </c>
      <c r="AL212" t="s">
        <v>482</v>
      </c>
      <c r="AM212" t="s">
        <v>554</v>
      </c>
      <c r="AN212" t="s">
        <v>555</v>
      </c>
      <c r="AO212" t="s">
        <v>4615</v>
      </c>
      <c r="AP212" t="s">
        <v>4616</v>
      </c>
      <c r="AQ212" t="s">
        <v>74</v>
      </c>
      <c r="AR212" t="s">
        <v>4617</v>
      </c>
      <c r="AS212" t="s">
        <v>4618</v>
      </c>
      <c r="AT212" t="s">
        <v>2623</v>
      </c>
      <c r="AU212">
        <v>2021</v>
      </c>
      <c r="AV212">
        <v>33</v>
      </c>
      <c r="AW212">
        <v>1</v>
      </c>
      <c r="AX212" t="s">
        <v>74</v>
      </c>
      <c r="AY212" t="s">
        <v>74</v>
      </c>
      <c r="AZ212" t="s">
        <v>489</v>
      </c>
      <c r="BA212" t="s">
        <v>74</v>
      </c>
      <c r="BB212">
        <v>603</v>
      </c>
      <c r="BC212">
        <v>616</v>
      </c>
      <c r="BD212" t="s">
        <v>74</v>
      </c>
      <c r="BE212" t="s">
        <v>4619</v>
      </c>
      <c r="BF212" t="str">
        <f>HYPERLINK("http://dx.doi.org/10.1007/s10811-020-02302-1","http://dx.doi.org/10.1007/s10811-020-02302-1")</f>
        <v>http://dx.doi.org/10.1007/s10811-020-02302-1</v>
      </c>
      <c r="BG212" t="s">
        <v>74</v>
      </c>
      <c r="BH212" t="s">
        <v>3429</v>
      </c>
      <c r="BI212">
        <v>14</v>
      </c>
      <c r="BJ212" t="s">
        <v>4620</v>
      </c>
      <c r="BK212" t="s">
        <v>100</v>
      </c>
      <c r="BL212" t="s">
        <v>4620</v>
      </c>
      <c r="BM212" t="s">
        <v>4621</v>
      </c>
      <c r="BN212" t="s">
        <v>74</v>
      </c>
      <c r="BO212" t="s">
        <v>74</v>
      </c>
      <c r="BP212" t="s">
        <v>74</v>
      </c>
      <c r="BQ212" t="s">
        <v>74</v>
      </c>
      <c r="BR212" t="s">
        <v>104</v>
      </c>
      <c r="BS212" t="s">
        <v>4622</v>
      </c>
      <c r="BT212" t="str">
        <f>HYPERLINK("https%3A%2F%2Fwww.webofscience.com%2Fwos%2Fwoscc%2Ffull-record%2FWOS:000581549000001","View Full Record in Web of Science")</f>
        <v>View Full Record in Web of Science</v>
      </c>
    </row>
    <row r="213" spans="1:72" x14ac:dyDescent="0.15">
      <c r="A213" t="s">
        <v>72</v>
      </c>
      <c r="B213" t="s">
        <v>4623</v>
      </c>
      <c r="C213" t="s">
        <v>74</v>
      </c>
      <c r="D213" t="s">
        <v>74</v>
      </c>
      <c r="E213" t="s">
        <v>74</v>
      </c>
      <c r="F213" t="s">
        <v>4624</v>
      </c>
      <c r="G213" t="s">
        <v>74</v>
      </c>
      <c r="H213" t="s">
        <v>74</v>
      </c>
      <c r="I213" t="s">
        <v>4625</v>
      </c>
      <c r="J213" t="s">
        <v>4626</v>
      </c>
      <c r="K213" t="s">
        <v>74</v>
      </c>
      <c r="L213" t="s">
        <v>74</v>
      </c>
      <c r="M213" t="s">
        <v>78</v>
      </c>
      <c r="N213" t="s">
        <v>79</v>
      </c>
      <c r="O213" t="s">
        <v>74</v>
      </c>
      <c r="P213" t="s">
        <v>74</v>
      </c>
      <c r="Q213" t="s">
        <v>74</v>
      </c>
      <c r="R213" t="s">
        <v>74</v>
      </c>
      <c r="S213" t="s">
        <v>74</v>
      </c>
      <c r="T213" t="s">
        <v>4627</v>
      </c>
      <c r="U213" t="s">
        <v>4628</v>
      </c>
      <c r="V213" t="s">
        <v>4629</v>
      </c>
      <c r="W213" t="s">
        <v>4630</v>
      </c>
      <c r="X213" t="s">
        <v>4631</v>
      </c>
      <c r="Y213" t="s">
        <v>4632</v>
      </c>
      <c r="Z213" t="s">
        <v>4633</v>
      </c>
      <c r="AA213" t="s">
        <v>4634</v>
      </c>
      <c r="AB213" t="s">
        <v>4635</v>
      </c>
      <c r="AC213" t="s">
        <v>4636</v>
      </c>
      <c r="AD213" t="s">
        <v>4637</v>
      </c>
      <c r="AE213" t="s">
        <v>4638</v>
      </c>
      <c r="AF213" t="s">
        <v>74</v>
      </c>
      <c r="AG213">
        <v>48</v>
      </c>
      <c r="AH213">
        <v>11</v>
      </c>
      <c r="AI213">
        <v>12</v>
      </c>
      <c r="AJ213">
        <v>1</v>
      </c>
      <c r="AK213">
        <v>15</v>
      </c>
      <c r="AL213" t="s">
        <v>482</v>
      </c>
      <c r="AM213" t="s">
        <v>554</v>
      </c>
      <c r="AN213" t="s">
        <v>555</v>
      </c>
      <c r="AO213" t="s">
        <v>4639</v>
      </c>
      <c r="AP213" t="s">
        <v>4640</v>
      </c>
      <c r="AQ213" t="s">
        <v>74</v>
      </c>
      <c r="AR213" t="s">
        <v>4626</v>
      </c>
      <c r="AS213" t="s">
        <v>4641</v>
      </c>
      <c r="AT213" t="s">
        <v>1212</v>
      </c>
      <c r="AU213">
        <v>2020</v>
      </c>
      <c r="AV213">
        <v>82</v>
      </c>
      <c r="AW213" t="s">
        <v>4223</v>
      </c>
      <c r="AX213" t="s">
        <v>74</v>
      </c>
      <c r="AY213" t="s">
        <v>74</v>
      </c>
      <c r="AZ213" t="s">
        <v>489</v>
      </c>
      <c r="BA213" t="s">
        <v>74</v>
      </c>
      <c r="BB213">
        <v>49</v>
      </c>
      <c r="BC213">
        <v>58</v>
      </c>
      <c r="BD213" t="s">
        <v>74</v>
      </c>
      <c r="BE213" t="s">
        <v>4642</v>
      </c>
      <c r="BF213" t="str">
        <f>HYPERLINK("http://dx.doi.org/10.1007/s13199-020-00723-7","http://dx.doi.org/10.1007/s13199-020-00723-7")</f>
        <v>http://dx.doi.org/10.1007/s13199-020-00723-7</v>
      </c>
      <c r="BG213" t="s">
        <v>74</v>
      </c>
      <c r="BH213" t="s">
        <v>3429</v>
      </c>
      <c r="BI213">
        <v>10</v>
      </c>
      <c r="BJ213" t="s">
        <v>229</v>
      </c>
      <c r="BK213" t="s">
        <v>100</v>
      </c>
      <c r="BL213" t="s">
        <v>229</v>
      </c>
      <c r="BM213" t="s">
        <v>4643</v>
      </c>
      <c r="BN213" t="s">
        <v>74</v>
      </c>
      <c r="BO213" t="s">
        <v>376</v>
      </c>
      <c r="BP213" t="s">
        <v>74</v>
      </c>
      <c r="BQ213" t="s">
        <v>74</v>
      </c>
      <c r="BR213" t="s">
        <v>104</v>
      </c>
      <c r="BS213" t="s">
        <v>4644</v>
      </c>
      <c r="BT213" t="str">
        <f>HYPERLINK("https%3A%2F%2Fwww.webofscience.com%2Fwos%2Fwoscc%2Ffull-record%2FWOS:000581554800005","View Full Record in Web of Science")</f>
        <v>View Full Record in Web of Science</v>
      </c>
    </row>
    <row r="214" spans="1:72" x14ac:dyDescent="0.15">
      <c r="A214" t="s">
        <v>72</v>
      </c>
      <c r="B214" t="s">
        <v>4645</v>
      </c>
      <c r="C214" t="s">
        <v>74</v>
      </c>
      <c r="D214" t="s">
        <v>74</v>
      </c>
      <c r="E214" t="s">
        <v>74</v>
      </c>
      <c r="F214" t="s">
        <v>4646</v>
      </c>
      <c r="G214" t="s">
        <v>74</v>
      </c>
      <c r="H214" t="s">
        <v>74</v>
      </c>
      <c r="I214" t="s">
        <v>4647</v>
      </c>
      <c r="J214" t="s">
        <v>901</v>
      </c>
      <c r="K214" t="s">
        <v>74</v>
      </c>
      <c r="L214" t="s">
        <v>74</v>
      </c>
      <c r="M214" t="s">
        <v>78</v>
      </c>
      <c r="N214" t="s">
        <v>79</v>
      </c>
      <c r="O214" t="s">
        <v>74</v>
      </c>
      <c r="P214" t="s">
        <v>74</v>
      </c>
      <c r="Q214" t="s">
        <v>74</v>
      </c>
      <c r="R214" t="s">
        <v>74</v>
      </c>
      <c r="S214" t="s">
        <v>74</v>
      </c>
      <c r="T214" t="s">
        <v>4648</v>
      </c>
      <c r="U214" t="s">
        <v>4649</v>
      </c>
      <c r="V214" t="s">
        <v>4650</v>
      </c>
      <c r="W214" t="s">
        <v>4651</v>
      </c>
      <c r="X214" t="s">
        <v>4652</v>
      </c>
      <c r="Y214" t="s">
        <v>4653</v>
      </c>
      <c r="Z214" t="s">
        <v>4654</v>
      </c>
      <c r="AA214" t="s">
        <v>4655</v>
      </c>
      <c r="AB214" t="s">
        <v>4656</v>
      </c>
      <c r="AC214" t="s">
        <v>4657</v>
      </c>
      <c r="AD214" t="s">
        <v>4658</v>
      </c>
      <c r="AE214" t="s">
        <v>4659</v>
      </c>
      <c r="AF214" t="s">
        <v>74</v>
      </c>
      <c r="AG214">
        <v>78</v>
      </c>
      <c r="AH214">
        <v>17</v>
      </c>
      <c r="AI214">
        <v>18</v>
      </c>
      <c r="AJ214">
        <v>5</v>
      </c>
      <c r="AK214">
        <v>37</v>
      </c>
      <c r="AL214" t="s">
        <v>866</v>
      </c>
      <c r="AM214" t="s">
        <v>867</v>
      </c>
      <c r="AN214" t="s">
        <v>868</v>
      </c>
      <c r="AO214" t="s">
        <v>74</v>
      </c>
      <c r="AP214" t="s">
        <v>914</v>
      </c>
      <c r="AQ214" t="s">
        <v>74</v>
      </c>
      <c r="AR214" t="s">
        <v>915</v>
      </c>
      <c r="AS214" t="s">
        <v>916</v>
      </c>
      <c r="AT214" t="s">
        <v>4660</v>
      </c>
      <c r="AU214">
        <v>2020</v>
      </c>
      <c r="AV214">
        <v>7</v>
      </c>
      <c r="AW214" t="s">
        <v>74</v>
      </c>
      <c r="AX214" t="s">
        <v>74</v>
      </c>
      <c r="AY214" t="s">
        <v>74</v>
      </c>
      <c r="AZ214" t="s">
        <v>74</v>
      </c>
      <c r="BA214" t="s">
        <v>74</v>
      </c>
      <c r="BB214" t="s">
        <v>74</v>
      </c>
      <c r="BC214" t="s">
        <v>74</v>
      </c>
      <c r="BD214">
        <v>576011</v>
      </c>
      <c r="BE214" t="s">
        <v>4661</v>
      </c>
      <c r="BF214" t="str">
        <f>HYPERLINK("http://dx.doi.org/10.3389/fmars.2020.576011","http://dx.doi.org/10.3389/fmars.2020.576011")</f>
        <v>http://dx.doi.org/10.3389/fmars.2020.576011</v>
      </c>
      <c r="BG214" t="s">
        <v>74</v>
      </c>
      <c r="BH214" t="s">
        <v>74</v>
      </c>
      <c r="BI214">
        <v>11</v>
      </c>
      <c r="BJ214" t="s">
        <v>918</v>
      </c>
      <c r="BK214" t="s">
        <v>100</v>
      </c>
      <c r="BL214" t="s">
        <v>919</v>
      </c>
      <c r="BM214" t="s">
        <v>4662</v>
      </c>
      <c r="BN214" t="s">
        <v>74</v>
      </c>
      <c r="BO214" t="s">
        <v>332</v>
      </c>
      <c r="BP214" t="s">
        <v>74</v>
      </c>
      <c r="BQ214" t="s">
        <v>74</v>
      </c>
      <c r="BR214" t="s">
        <v>104</v>
      </c>
      <c r="BS214" t="s">
        <v>4663</v>
      </c>
      <c r="BT214" t="str">
        <f>HYPERLINK("https%3A%2F%2Fwww.webofscience.com%2Fwos%2Fwoscc%2Ffull-record%2FWOS:000580605700001","View Full Record in Web of Science")</f>
        <v>View Full Record in Web of Science</v>
      </c>
    </row>
    <row r="215" spans="1:72" x14ac:dyDescent="0.15">
      <c r="A215" t="s">
        <v>72</v>
      </c>
      <c r="B215" t="s">
        <v>4664</v>
      </c>
      <c r="C215" t="s">
        <v>74</v>
      </c>
      <c r="D215" t="s">
        <v>74</v>
      </c>
      <c r="E215" t="s">
        <v>74</v>
      </c>
      <c r="F215" t="s">
        <v>4665</v>
      </c>
      <c r="G215" t="s">
        <v>74</v>
      </c>
      <c r="H215" t="s">
        <v>74</v>
      </c>
      <c r="I215" t="s">
        <v>4666</v>
      </c>
      <c r="J215" t="s">
        <v>901</v>
      </c>
      <c r="K215" t="s">
        <v>74</v>
      </c>
      <c r="L215" t="s">
        <v>74</v>
      </c>
      <c r="M215" t="s">
        <v>78</v>
      </c>
      <c r="N215" t="s">
        <v>79</v>
      </c>
      <c r="O215" t="s">
        <v>74</v>
      </c>
      <c r="P215" t="s">
        <v>74</v>
      </c>
      <c r="Q215" t="s">
        <v>74</v>
      </c>
      <c r="R215" t="s">
        <v>74</v>
      </c>
      <c r="S215" t="s">
        <v>74</v>
      </c>
      <c r="T215" t="s">
        <v>4667</v>
      </c>
      <c r="U215" t="s">
        <v>4668</v>
      </c>
      <c r="V215" t="s">
        <v>4669</v>
      </c>
      <c r="W215" t="s">
        <v>4670</v>
      </c>
      <c r="X215" t="s">
        <v>4671</v>
      </c>
      <c r="Y215" t="s">
        <v>4672</v>
      </c>
      <c r="Z215" t="s">
        <v>4673</v>
      </c>
      <c r="AA215" t="s">
        <v>4674</v>
      </c>
      <c r="AB215" t="s">
        <v>4675</v>
      </c>
      <c r="AC215" t="s">
        <v>4676</v>
      </c>
      <c r="AD215" t="s">
        <v>4677</v>
      </c>
      <c r="AE215" t="s">
        <v>4678</v>
      </c>
      <c r="AF215" t="s">
        <v>74</v>
      </c>
      <c r="AG215">
        <v>98</v>
      </c>
      <c r="AH215">
        <v>6</v>
      </c>
      <c r="AI215">
        <v>6</v>
      </c>
      <c r="AJ215">
        <v>3</v>
      </c>
      <c r="AK215">
        <v>23</v>
      </c>
      <c r="AL215" t="s">
        <v>866</v>
      </c>
      <c r="AM215" t="s">
        <v>867</v>
      </c>
      <c r="AN215" t="s">
        <v>868</v>
      </c>
      <c r="AO215" t="s">
        <v>74</v>
      </c>
      <c r="AP215" t="s">
        <v>914</v>
      </c>
      <c r="AQ215" t="s">
        <v>74</v>
      </c>
      <c r="AR215" t="s">
        <v>915</v>
      </c>
      <c r="AS215" t="s">
        <v>916</v>
      </c>
      <c r="AT215" t="s">
        <v>4660</v>
      </c>
      <c r="AU215">
        <v>2020</v>
      </c>
      <c r="AV215">
        <v>7</v>
      </c>
      <c r="AW215" t="s">
        <v>74</v>
      </c>
      <c r="AX215" t="s">
        <v>74</v>
      </c>
      <c r="AY215" t="s">
        <v>74</v>
      </c>
      <c r="AZ215" t="s">
        <v>74</v>
      </c>
      <c r="BA215" t="s">
        <v>74</v>
      </c>
      <c r="BB215" t="s">
        <v>74</v>
      </c>
      <c r="BC215" t="s">
        <v>74</v>
      </c>
      <c r="BD215">
        <v>571115</v>
      </c>
      <c r="BE215" t="s">
        <v>4679</v>
      </c>
      <c r="BF215" t="str">
        <f>HYPERLINK("http://dx.doi.org/10.3389/fmars.2020.571115","http://dx.doi.org/10.3389/fmars.2020.571115")</f>
        <v>http://dx.doi.org/10.3389/fmars.2020.571115</v>
      </c>
      <c r="BG215" t="s">
        <v>74</v>
      </c>
      <c r="BH215" t="s">
        <v>74</v>
      </c>
      <c r="BI215">
        <v>14</v>
      </c>
      <c r="BJ215" t="s">
        <v>918</v>
      </c>
      <c r="BK215" t="s">
        <v>100</v>
      </c>
      <c r="BL215" t="s">
        <v>919</v>
      </c>
      <c r="BM215" t="s">
        <v>4680</v>
      </c>
      <c r="BN215" t="s">
        <v>74</v>
      </c>
      <c r="BO215" t="s">
        <v>4681</v>
      </c>
      <c r="BP215" t="s">
        <v>74</v>
      </c>
      <c r="BQ215" t="s">
        <v>74</v>
      </c>
      <c r="BR215" t="s">
        <v>104</v>
      </c>
      <c r="BS215" t="s">
        <v>4682</v>
      </c>
      <c r="BT215" t="str">
        <f>HYPERLINK("https%3A%2F%2Fwww.webofscience.com%2Fwos%2Fwoscc%2Ffull-record%2FWOS:000580605000001","View Full Record in Web of Science")</f>
        <v>View Full Record in Web of Science</v>
      </c>
    </row>
    <row r="216" spans="1:72" x14ac:dyDescent="0.15">
      <c r="A216" t="s">
        <v>72</v>
      </c>
      <c r="B216" t="s">
        <v>4683</v>
      </c>
      <c r="C216" t="s">
        <v>74</v>
      </c>
      <c r="D216" t="s">
        <v>74</v>
      </c>
      <c r="E216" t="s">
        <v>74</v>
      </c>
      <c r="F216" t="s">
        <v>4684</v>
      </c>
      <c r="G216" t="s">
        <v>74</v>
      </c>
      <c r="H216" t="s">
        <v>74</v>
      </c>
      <c r="I216" t="s">
        <v>4685</v>
      </c>
      <c r="J216" t="s">
        <v>780</v>
      </c>
      <c r="K216" t="s">
        <v>74</v>
      </c>
      <c r="L216" t="s">
        <v>74</v>
      </c>
      <c r="M216" t="s">
        <v>78</v>
      </c>
      <c r="N216" t="s">
        <v>79</v>
      </c>
      <c r="O216" t="s">
        <v>74</v>
      </c>
      <c r="P216" t="s">
        <v>74</v>
      </c>
      <c r="Q216" t="s">
        <v>74</v>
      </c>
      <c r="R216" t="s">
        <v>74</v>
      </c>
      <c r="S216" t="s">
        <v>74</v>
      </c>
      <c r="T216" t="s">
        <v>4686</v>
      </c>
      <c r="U216" t="s">
        <v>4687</v>
      </c>
      <c r="V216" t="s">
        <v>4688</v>
      </c>
      <c r="W216" t="s">
        <v>4689</v>
      </c>
      <c r="X216" t="s">
        <v>4690</v>
      </c>
      <c r="Y216" t="s">
        <v>4691</v>
      </c>
      <c r="Z216" t="s">
        <v>4692</v>
      </c>
      <c r="AA216" t="s">
        <v>4693</v>
      </c>
      <c r="AB216" t="s">
        <v>4694</v>
      </c>
      <c r="AC216" t="s">
        <v>4695</v>
      </c>
      <c r="AD216" t="s">
        <v>4696</v>
      </c>
      <c r="AE216" t="s">
        <v>4697</v>
      </c>
      <c r="AF216" t="s">
        <v>74</v>
      </c>
      <c r="AG216">
        <v>39</v>
      </c>
      <c r="AH216">
        <v>3</v>
      </c>
      <c r="AI216">
        <v>3</v>
      </c>
      <c r="AJ216">
        <v>0</v>
      </c>
      <c r="AK216">
        <v>11</v>
      </c>
      <c r="AL216" t="s">
        <v>219</v>
      </c>
      <c r="AM216" t="s">
        <v>220</v>
      </c>
      <c r="AN216" t="s">
        <v>221</v>
      </c>
      <c r="AO216" t="s">
        <v>793</v>
      </c>
      <c r="AP216" t="s">
        <v>794</v>
      </c>
      <c r="AQ216" t="s">
        <v>74</v>
      </c>
      <c r="AR216" t="s">
        <v>795</v>
      </c>
      <c r="AS216" t="s">
        <v>796</v>
      </c>
      <c r="AT216" t="s">
        <v>252</v>
      </c>
      <c r="AU216">
        <v>2021</v>
      </c>
      <c r="AV216">
        <v>41</v>
      </c>
      <c r="AW216" t="s">
        <v>74</v>
      </c>
      <c r="AX216" t="s">
        <v>74</v>
      </c>
      <c r="AY216">
        <v>1</v>
      </c>
      <c r="AZ216" t="s">
        <v>74</v>
      </c>
      <c r="BA216" t="s">
        <v>74</v>
      </c>
      <c r="BB216" t="s">
        <v>4698</v>
      </c>
      <c r="BC216" t="s">
        <v>4699</v>
      </c>
      <c r="BD216" t="s">
        <v>74</v>
      </c>
      <c r="BE216" t="s">
        <v>4700</v>
      </c>
      <c r="BF216" t="str">
        <f>HYPERLINK("http://dx.doi.org/10.1002/joc.6874","http://dx.doi.org/10.1002/joc.6874")</f>
        <v>http://dx.doi.org/10.1002/joc.6874</v>
      </c>
      <c r="BG216" t="s">
        <v>74</v>
      </c>
      <c r="BH216" t="s">
        <v>3429</v>
      </c>
      <c r="BI216">
        <v>17</v>
      </c>
      <c r="BJ216" t="s">
        <v>800</v>
      </c>
      <c r="BK216" t="s">
        <v>100</v>
      </c>
      <c r="BL216" t="s">
        <v>800</v>
      </c>
      <c r="BM216" t="s">
        <v>801</v>
      </c>
      <c r="BN216" t="s">
        <v>74</v>
      </c>
      <c r="BO216" t="s">
        <v>3476</v>
      </c>
      <c r="BP216" t="s">
        <v>74</v>
      </c>
      <c r="BQ216" t="s">
        <v>74</v>
      </c>
      <c r="BR216" t="s">
        <v>104</v>
      </c>
      <c r="BS216" t="s">
        <v>4701</v>
      </c>
      <c r="BT216" t="str">
        <f>HYPERLINK("https%3A%2F%2Fwww.webofscience.com%2Fwos%2Fwoscc%2Ffull-record%2FWOS:000580488200001","View Full Record in Web of Science")</f>
        <v>View Full Record in Web of Science</v>
      </c>
    </row>
    <row r="217" spans="1:72" x14ac:dyDescent="0.15">
      <c r="A217" t="s">
        <v>72</v>
      </c>
      <c r="B217" t="s">
        <v>4702</v>
      </c>
      <c r="C217" t="s">
        <v>74</v>
      </c>
      <c r="D217" t="s">
        <v>74</v>
      </c>
      <c r="E217" t="s">
        <v>74</v>
      </c>
      <c r="F217" t="s">
        <v>4703</v>
      </c>
      <c r="G217" t="s">
        <v>74</v>
      </c>
      <c r="H217" t="s">
        <v>74</v>
      </c>
      <c r="I217" t="s">
        <v>4704</v>
      </c>
      <c r="J217" t="s">
        <v>4705</v>
      </c>
      <c r="K217" t="s">
        <v>74</v>
      </c>
      <c r="L217" t="s">
        <v>74</v>
      </c>
      <c r="M217" t="s">
        <v>78</v>
      </c>
      <c r="N217" t="s">
        <v>79</v>
      </c>
      <c r="O217" t="s">
        <v>74</v>
      </c>
      <c r="P217" t="s">
        <v>74</v>
      </c>
      <c r="Q217" t="s">
        <v>74</v>
      </c>
      <c r="R217" t="s">
        <v>74</v>
      </c>
      <c r="S217" t="s">
        <v>74</v>
      </c>
      <c r="T217" t="s">
        <v>4706</v>
      </c>
      <c r="U217" t="s">
        <v>4707</v>
      </c>
      <c r="V217" t="s">
        <v>4708</v>
      </c>
      <c r="W217" t="s">
        <v>4709</v>
      </c>
      <c r="X217" t="s">
        <v>4710</v>
      </c>
      <c r="Y217" t="s">
        <v>4711</v>
      </c>
      <c r="Z217" t="s">
        <v>4712</v>
      </c>
      <c r="AA217" t="s">
        <v>74</v>
      </c>
      <c r="AB217" t="s">
        <v>4713</v>
      </c>
      <c r="AC217" t="s">
        <v>4714</v>
      </c>
      <c r="AD217" t="s">
        <v>4715</v>
      </c>
      <c r="AE217" t="s">
        <v>4716</v>
      </c>
      <c r="AF217" t="s">
        <v>74</v>
      </c>
      <c r="AG217">
        <v>48</v>
      </c>
      <c r="AH217">
        <v>12</v>
      </c>
      <c r="AI217">
        <v>12</v>
      </c>
      <c r="AJ217">
        <v>7</v>
      </c>
      <c r="AK217">
        <v>63</v>
      </c>
      <c r="AL217" t="s">
        <v>219</v>
      </c>
      <c r="AM217" t="s">
        <v>220</v>
      </c>
      <c r="AN217" t="s">
        <v>221</v>
      </c>
      <c r="AO217" t="s">
        <v>4717</v>
      </c>
      <c r="AP217" t="s">
        <v>4718</v>
      </c>
      <c r="AQ217" t="s">
        <v>74</v>
      </c>
      <c r="AR217" t="s">
        <v>4719</v>
      </c>
      <c r="AS217" t="s">
        <v>4720</v>
      </c>
      <c r="AT217" t="s">
        <v>720</v>
      </c>
      <c r="AU217">
        <v>2020</v>
      </c>
      <c r="AV217">
        <v>228</v>
      </c>
      <c r="AW217">
        <v>6</v>
      </c>
      <c r="AX217" t="s">
        <v>74</v>
      </c>
      <c r="AY217" t="s">
        <v>74</v>
      </c>
      <c r="AZ217" t="s">
        <v>74</v>
      </c>
      <c r="BA217" t="s">
        <v>74</v>
      </c>
      <c r="BB217">
        <v>1710</v>
      </c>
      <c r="BC217">
        <v>1716</v>
      </c>
      <c r="BD217" t="s">
        <v>74</v>
      </c>
      <c r="BE217" t="s">
        <v>4721</v>
      </c>
      <c r="BF217" t="str">
        <f>HYPERLINK("http://dx.doi.org/10.1111/nph.16806","http://dx.doi.org/10.1111/nph.16806")</f>
        <v>http://dx.doi.org/10.1111/nph.16806</v>
      </c>
      <c r="BG217" t="s">
        <v>74</v>
      </c>
      <c r="BH217" t="s">
        <v>3429</v>
      </c>
      <c r="BI217">
        <v>7</v>
      </c>
      <c r="BJ217" t="s">
        <v>176</v>
      </c>
      <c r="BK217" t="s">
        <v>100</v>
      </c>
      <c r="BL217" t="s">
        <v>176</v>
      </c>
      <c r="BM217" t="s">
        <v>4722</v>
      </c>
      <c r="BN217">
        <v>32654139</v>
      </c>
      <c r="BO217" t="s">
        <v>1188</v>
      </c>
      <c r="BP217" t="s">
        <v>74</v>
      </c>
      <c r="BQ217" t="s">
        <v>74</v>
      </c>
      <c r="BR217" t="s">
        <v>104</v>
      </c>
      <c r="BS217" t="s">
        <v>4723</v>
      </c>
      <c r="BT217" t="str">
        <f>HYPERLINK("https%3A%2F%2Fwww.webofscience.com%2Fwos%2Fwoscc%2Ffull-record%2FWOS:000579878200001","View Full Record in Web of Science")</f>
        <v>View Full Record in Web of Science</v>
      </c>
    </row>
    <row r="218" spans="1:72" x14ac:dyDescent="0.15">
      <c r="A218" t="s">
        <v>72</v>
      </c>
      <c r="B218" t="s">
        <v>4724</v>
      </c>
      <c r="C218" t="s">
        <v>74</v>
      </c>
      <c r="D218" t="s">
        <v>74</v>
      </c>
      <c r="E218" t="s">
        <v>74</v>
      </c>
      <c r="F218" t="s">
        <v>4725</v>
      </c>
      <c r="G218" t="s">
        <v>74</v>
      </c>
      <c r="H218" t="s">
        <v>74</v>
      </c>
      <c r="I218" t="s">
        <v>4726</v>
      </c>
      <c r="J218" t="s">
        <v>925</v>
      </c>
      <c r="K218" t="s">
        <v>74</v>
      </c>
      <c r="L218" t="s">
        <v>74</v>
      </c>
      <c r="M218" t="s">
        <v>78</v>
      </c>
      <c r="N218" t="s">
        <v>79</v>
      </c>
      <c r="O218" t="s">
        <v>74</v>
      </c>
      <c r="P218" t="s">
        <v>74</v>
      </c>
      <c r="Q218" t="s">
        <v>74</v>
      </c>
      <c r="R218" t="s">
        <v>74</v>
      </c>
      <c r="S218" t="s">
        <v>74</v>
      </c>
      <c r="T218" t="s">
        <v>74</v>
      </c>
      <c r="U218" t="s">
        <v>4727</v>
      </c>
      <c r="V218" t="s">
        <v>4728</v>
      </c>
      <c r="W218" t="s">
        <v>4729</v>
      </c>
      <c r="X218" t="s">
        <v>4730</v>
      </c>
      <c r="Y218" t="s">
        <v>4731</v>
      </c>
      <c r="Z218" t="s">
        <v>4732</v>
      </c>
      <c r="AA218" t="s">
        <v>4733</v>
      </c>
      <c r="AB218" t="s">
        <v>4734</v>
      </c>
      <c r="AC218" t="s">
        <v>4735</v>
      </c>
      <c r="AD218" t="s">
        <v>4736</v>
      </c>
      <c r="AE218" t="s">
        <v>4737</v>
      </c>
      <c r="AF218" t="s">
        <v>74</v>
      </c>
      <c r="AG218">
        <v>64</v>
      </c>
      <c r="AH218">
        <v>7</v>
      </c>
      <c r="AI218">
        <v>8</v>
      </c>
      <c r="AJ218">
        <v>9</v>
      </c>
      <c r="AK218">
        <v>42</v>
      </c>
      <c r="AL218" t="s">
        <v>937</v>
      </c>
      <c r="AM218" t="s">
        <v>609</v>
      </c>
      <c r="AN218" t="s">
        <v>938</v>
      </c>
      <c r="AO218" t="s">
        <v>939</v>
      </c>
      <c r="AP218" t="s">
        <v>940</v>
      </c>
      <c r="AQ218" t="s">
        <v>74</v>
      </c>
      <c r="AR218" t="s">
        <v>941</v>
      </c>
      <c r="AS218" t="s">
        <v>942</v>
      </c>
      <c r="AT218" t="s">
        <v>4738</v>
      </c>
      <c r="AU218">
        <v>2020</v>
      </c>
      <c r="AV218">
        <v>54</v>
      </c>
      <c r="AW218">
        <v>20</v>
      </c>
      <c r="AX218" t="s">
        <v>74</v>
      </c>
      <c r="AY218" t="s">
        <v>74</v>
      </c>
      <c r="AZ218" t="s">
        <v>74</v>
      </c>
      <c r="BA218" t="s">
        <v>74</v>
      </c>
      <c r="BB218">
        <v>13354</v>
      </c>
      <c r="BC218">
        <v>13363</v>
      </c>
      <c r="BD218" t="s">
        <v>74</v>
      </c>
      <c r="BE218" t="s">
        <v>4739</v>
      </c>
      <c r="BF218" t="str">
        <f>HYPERLINK("http://dx.doi.org/10.1021/acs.est.0c04257","http://dx.doi.org/10.1021/acs.est.0c04257")</f>
        <v>http://dx.doi.org/10.1021/acs.est.0c04257</v>
      </c>
      <c r="BG218" t="s">
        <v>74</v>
      </c>
      <c r="BH218" t="s">
        <v>74</v>
      </c>
      <c r="BI218">
        <v>10</v>
      </c>
      <c r="BJ218" t="s">
        <v>945</v>
      </c>
      <c r="BK218" t="s">
        <v>100</v>
      </c>
      <c r="BL218" t="s">
        <v>946</v>
      </c>
      <c r="BM218" t="s">
        <v>4740</v>
      </c>
      <c r="BN218">
        <v>32935983</v>
      </c>
      <c r="BO218" t="s">
        <v>74</v>
      </c>
      <c r="BP218" t="s">
        <v>74</v>
      </c>
      <c r="BQ218" t="s">
        <v>74</v>
      </c>
      <c r="BR218" t="s">
        <v>104</v>
      </c>
      <c r="BS218" t="s">
        <v>4741</v>
      </c>
      <c r="BT218" t="str">
        <f>HYPERLINK("https%3A%2F%2Fwww.webofscience.com%2Fwos%2Fwoscc%2Ffull-record%2FWOS:000584422500057","View Full Record in Web of Science")</f>
        <v>View Full Record in Web of Science</v>
      </c>
    </row>
    <row r="219" spans="1:72" x14ac:dyDescent="0.15">
      <c r="A219" t="s">
        <v>72</v>
      </c>
      <c r="B219" t="s">
        <v>4742</v>
      </c>
      <c r="C219" t="s">
        <v>74</v>
      </c>
      <c r="D219" t="s">
        <v>74</v>
      </c>
      <c r="E219" t="s">
        <v>74</v>
      </c>
      <c r="F219" t="s">
        <v>4743</v>
      </c>
      <c r="G219" t="s">
        <v>74</v>
      </c>
      <c r="H219" t="s">
        <v>74</v>
      </c>
      <c r="I219" t="s">
        <v>4744</v>
      </c>
      <c r="J219" t="s">
        <v>4745</v>
      </c>
      <c r="K219" t="s">
        <v>74</v>
      </c>
      <c r="L219" t="s">
        <v>74</v>
      </c>
      <c r="M219" t="s">
        <v>78</v>
      </c>
      <c r="N219" t="s">
        <v>79</v>
      </c>
      <c r="O219" t="s">
        <v>74</v>
      </c>
      <c r="P219" t="s">
        <v>74</v>
      </c>
      <c r="Q219" t="s">
        <v>74</v>
      </c>
      <c r="R219" t="s">
        <v>74</v>
      </c>
      <c r="S219" t="s">
        <v>74</v>
      </c>
      <c r="T219" t="s">
        <v>74</v>
      </c>
      <c r="U219" t="s">
        <v>4746</v>
      </c>
      <c r="V219" t="s">
        <v>4747</v>
      </c>
      <c r="W219" t="s">
        <v>4748</v>
      </c>
      <c r="X219" t="s">
        <v>4749</v>
      </c>
      <c r="Y219" t="s">
        <v>4750</v>
      </c>
      <c r="Z219" t="s">
        <v>4751</v>
      </c>
      <c r="AA219" t="s">
        <v>74</v>
      </c>
      <c r="AB219" t="s">
        <v>4752</v>
      </c>
      <c r="AC219" t="s">
        <v>4753</v>
      </c>
      <c r="AD219" t="s">
        <v>4754</v>
      </c>
      <c r="AE219" t="s">
        <v>4755</v>
      </c>
      <c r="AF219" t="s">
        <v>74</v>
      </c>
      <c r="AG219">
        <v>60</v>
      </c>
      <c r="AH219">
        <v>4</v>
      </c>
      <c r="AI219">
        <v>4</v>
      </c>
      <c r="AJ219">
        <v>0</v>
      </c>
      <c r="AK219">
        <v>4</v>
      </c>
      <c r="AL219" t="s">
        <v>91</v>
      </c>
      <c r="AM219" t="s">
        <v>92</v>
      </c>
      <c r="AN219" t="s">
        <v>93</v>
      </c>
      <c r="AO219" t="s">
        <v>4756</v>
      </c>
      <c r="AP219" t="s">
        <v>74</v>
      </c>
      <c r="AQ219" t="s">
        <v>74</v>
      </c>
      <c r="AR219" t="s">
        <v>4757</v>
      </c>
      <c r="AS219" t="s">
        <v>4758</v>
      </c>
      <c r="AT219" t="s">
        <v>4738</v>
      </c>
      <c r="AU219">
        <v>2020</v>
      </c>
      <c r="AV219">
        <v>16</v>
      </c>
      <c r="AW219">
        <v>5</v>
      </c>
      <c r="AX219" t="s">
        <v>74</v>
      </c>
      <c r="AY219" t="s">
        <v>74</v>
      </c>
      <c r="AZ219" t="s">
        <v>74</v>
      </c>
      <c r="BA219" t="s">
        <v>74</v>
      </c>
      <c r="BB219">
        <v>1207</v>
      </c>
      <c r="BC219">
        <v>1223</v>
      </c>
      <c r="BD219" t="s">
        <v>74</v>
      </c>
      <c r="BE219" t="s">
        <v>4759</v>
      </c>
      <c r="BF219" t="str">
        <f>HYPERLINK("http://dx.doi.org/10.5194/os-16-1207-2020","http://dx.doi.org/10.5194/os-16-1207-2020")</f>
        <v>http://dx.doi.org/10.5194/os-16-1207-2020</v>
      </c>
      <c r="BG219" t="s">
        <v>74</v>
      </c>
      <c r="BH219" t="s">
        <v>74</v>
      </c>
      <c r="BI219">
        <v>17</v>
      </c>
      <c r="BJ219" t="s">
        <v>4760</v>
      </c>
      <c r="BK219" t="s">
        <v>100</v>
      </c>
      <c r="BL219" t="s">
        <v>4760</v>
      </c>
      <c r="BM219" t="s">
        <v>4761</v>
      </c>
      <c r="BN219" t="s">
        <v>74</v>
      </c>
      <c r="BO219" t="s">
        <v>677</v>
      </c>
      <c r="BP219" t="s">
        <v>74</v>
      </c>
      <c r="BQ219" t="s">
        <v>74</v>
      </c>
      <c r="BR219" t="s">
        <v>104</v>
      </c>
      <c r="BS219" t="s">
        <v>4762</v>
      </c>
      <c r="BT219" t="str">
        <f>HYPERLINK("https%3A%2F%2Fwww.webofscience.com%2Fwos%2Fwoscc%2Ffull-record%2FWOS:000584380600001","View Full Record in Web of Science")</f>
        <v>View Full Record in Web of Science</v>
      </c>
    </row>
    <row r="220" spans="1:72" x14ac:dyDescent="0.15">
      <c r="A220" t="s">
        <v>72</v>
      </c>
      <c r="B220" t="s">
        <v>4763</v>
      </c>
      <c r="C220" t="s">
        <v>74</v>
      </c>
      <c r="D220" t="s">
        <v>74</v>
      </c>
      <c r="E220" t="s">
        <v>74</v>
      </c>
      <c r="F220" t="s">
        <v>4764</v>
      </c>
      <c r="G220" t="s">
        <v>74</v>
      </c>
      <c r="H220" t="s">
        <v>74</v>
      </c>
      <c r="I220" t="s">
        <v>4765</v>
      </c>
      <c r="J220" t="s">
        <v>4007</v>
      </c>
      <c r="K220" t="s">
        <v>74</v>
      </c>
      <c r="L220" t="s">
        <v>74</v>
      </c>
      <c r="M220" t="s">
        <v>78</v>
      </c>
      <c r="N220" t="s">
        <v>79</v>
      </c>
      <c r="O220" t="s">
        <v>74</v>
      </c>
      <c r="P220" t="s">
        <v>74</v>
      </c>
      <c r="Q220" t="s">
        <v>74</v>
      </c>
      <c r="R220" t="s">
        <v>74</v>
      </c>
      <c r="S220" t="s">
        <v>74</v>
      </c>
      <c r="T220" t="s">
        <v>4766</v>
      </c>
      <c r="U220" t="s">
        <v>4767</v>
      </c>
      <c r="V220" t="s">
        <v>4768</v>
      </c>
      <c r="W220" t="s">
        <v>4769</v>
      </c>
      <c r="X220" t="s">
        <v>4770</v>
      </c>
      <c r="Y220" t="s">
        <v>4771</v>
      </c>
      <c r="Z220" t="s">
        <v>4772</v>
      </c>
      <c r="AA220" t="s">
        <v>4773</v>
      </c>
      <c r="AB220" t="s">
        <v>4774</v>
      </c>
      <c r="AC220" t="s">
        <v>4775</v>
      </c>
      <c r="AD220" t="s">
        <v>4776</v>
      </c>
      <c r="AE220" t="s">
        <v>4777</v>
      </c>
      <c r="AF220" t="s">
        <v>74</v>
      </c>
      <c r="AG220">
        <v>59</v>
      </c>
      <c r="AH220">
        <v>24</v>
      </c>
      <c r="AI220">
        <v>26</v>
      </c>
      <c r="AJ220">
        <v>1</v>
      </c>
      <c r="AK220">
        <v>9</v>
      </c>
      <c r="AL220" t="s">
        <v>4018</v>
      </c>
      <c r="AM220" t="s">
        <v>609</v>
      </c>
      <c r="AN220" t="s">
        <v>4019</v>
      </c>
      <c r="AO220" t="s">
        <v>4020</v>
      </c>
      <c r="AP220" t="s">
        <v>4778</v>
      </c>
      <c r="AQ220" t="s">
        <v>74</v>
      </c>
      <c r="AR220" t="s">
        <v>4021</v>
      </c>
      <c r="AS220" t="s">
        <v>4022</v>
      </c>
      <c r="AT220" t="s">
        <v>4738</v>
      </c>
      <c r="AU220">
        <v>2020</v>
      </c>
      <c r="AV220">
        <v>117</v>
      </c>
      <c r="AW220">
        <v>42</v>
      </c>
      <c r="AX220" t="s">
        <v>74</v>
      </c>
      <c r="AY220" t="s">
        <v>74</v>
      </c>
      <c r="AZ220" t="s">
        <v>74</v>
      </c>
      <c r="BA220" t="s">
        <v>74</v>
      </c>
      <c r="BB220">
        <v>26061</v>
      </c>
      <c r="BC220">
        <v>26068</v>
      </c>
      <c r="BD220" t="s">
        <v>74</v>
      </c>
      <c r="BE220" t="s">
        <v>4779</v>
      </c>
      <c r="BF220" t="str">
        <f>HYPERLINK("http://dx.doi.org/10.1073/pnas.2003008117","http://dx.doi.org/10.1073/pnas.2003008117")</f>
        <v>http://dx.doi.org/10.1073/pnas.2003008117</v>
      </c>
      <c r="BG220" t="s">
        <v>74</v>
      </c>
      <c r="BH220" t="s">
        <v>74</v>
      </c>
      <c r="BI220">
        <v>8</v>
      </c>
      <c r="BJ220" t="s">
        <v>329</v>
      </c>
      <c r="BK220" t="s">
        <v>100</v>
      </c>
      <c r="BL220" t="s">
        <v>330</v>
      </c>
      <c r="BM220" t="s">
        <v>4780</v>
      </c>
      <c r="BN220">
        <v>32989145</v>
      </c>
      <c r="BO220" t="s">
        <v>4781</v>
      </c>
      <c r="BP220" t="s">
        <v>74</v>
      </c>
      <c r="BQ220" t="s">
        <v>74</v>
      </c>
      <c r="BR220" t="s">
        <v>104</v>
      </c>
      <c r="BS220" t="s">
        <v>4782</v>
      </c>
      <c r="BT220" t="str">
        <f>HYPERLINK("https%3A%2F%2Fwww.webofscience.com%2Fwos%2Fwoscc%2Ffull-record%2FWOS:000580597300020","View Full Record in Web of Science")</f>
        <v>View Full Record in Web of Science</v>
      </c>
    </row>
    <row r="221" spans="1:72" x14ac:dyDescent="0.15">
      <c r="A221" t="s">
        <v>72</v>
      </c>
      <c r="B221" t="s">
        <v>4783</v>
      </c>
      <c r="C221" t="s">
        <v>74</v>
      </c>
      <c r="D221" t="s">
        <v>74</v>
      </c>
      <c r="E221" t="s">
        <v>74</v>
      </c>
      <c r="F221" t="s">
        <v>4784</v>
      </c>
      <c r="G221" t="s">
        <v>74</v>
      </c>
      <c r="H221" t="s">
        <v>74</v>
      </c>
      <c r="I221" t="s">
        <v>4785</v>
      </c>
      <c r="J221" t="s">
        <v>1063</v>
      </c>
      <c r="K221" t="s">
        <v>74</v>
      </c>
      <c r="L221" t="s">
        <v>74</v>
      </c>
      <c r="M221" t="s">
        <v>78</v>
      </c>
      <c r="N221" t="s">
        <v>79</v>
      </c>
      <c r="O221" t="s">
        <v>74</v>
      </c>
      <c r="P221" t="s">
        <v>74</v>
      </c>
      <c r="Q221" t="s">
        <v>74</v>
      </c>
      <c r="R221" t="s">
        <v>74</v>
      </c>
      <c r="S221" t="s">
        <v>74</v>
      </c>
      <c r="T221" t="s">
        <v>4786</v>
      </c>
      <c r="U221" t="s">
        <v>4787</v>
      </c>
      <c r="V221" t="s">
        <v>4788</v>
      </c>
      <c r="W221" t="s">
        <v>4789</v>
      </c>
      <c r="X221" t="s">
        <v>4790</v>
      </c>
      <c r="Y221" t="s">
        <v>4791</v>
      </c>
      <c r="Z221" t="s">
        <v>4792</v>
      </c>
      <c r="AA221" t="s">
        <v>4793</v>
      </c>
      <c r="AB221" t="s">
        <v>4794</v>
      </c>
      <c r="AC221" t="s">
        <v>4795</v>
      </c>
      <c r="AD221" t="s">
        <v>4796</v>
      </c>
      <c r="AE221" t="s">
        <v>4797</v>
      </c>
      <c r="AF221" t="s">
        <v>74</v>
      </c>
      <c r="AG221">
        <v>69</v>
      </c>
      <c r="AH221">
        <v>3</v>
      </c>
      <c r="AI221">
        <v>3</v>
      </c>
      <c r="AJ221">
        <v>0</v>
      </c>
      <c r="AK221">
        <v>7</v>
      </c>
      <c r="AL221" t="s">
        <v>482</v>
      </c>
      <c r="AM221" t="s">
        <v>483</v>
      </c>
      <c r="AN221" t="s">
        <v>484</v>
      </c>
      <c r="AO221" t="s">
        <v>1075</v>
      </c>
      <c r="AP221" t="s">
        <v>1076</v>
      </c>
      <c r="AQ221" t="s">
        <v>74</v>
      </c>
      <c r="AR221" t="s">
        <v>1077</v>
      </c>
      <c r="AS221" t="s">
        <v>1078</v>
      </c>
      <c r="AT221" t="s">
        <v>720</v>
      </c>
      <c r="AU221">
        <v>2020</v>
      </c>
      <c r="AV221">
        <v>43</v>
      </c>
      <c r="AW221">
        <v>12</v>
      </c>
      <c r="AX221" t="s">
        <v>74</v>
      </c>
      <c r="AY221" t="s">
        <v>74</v>
      </c>
      <c r="AZ221" t="s">
        <v>74</v>
      </c>
      <c r="BA221" t="s">
        <v>74</v>
      </c>
      <c r="BB221">
        <v>2031</v>
      </c>
      <c r="BC221">
        <v>2042</v>
      </c>
      <c r="BD221" t="s">
        <v>74</v>
      </c>
      <c r="BE221" t="s">
        <v>4798</v>
      </c>
      <c r="BF221" t="str">
        <f>HYPERLINK("http://dx.doi.org/10.1007/s00300-020-02763-7","http://dx.doi.org/10.1007/s00300-020-02763-7")</f>
        <v>http://dx.doi.org/10.1007/s00300-020-02763-7</v>
      </c>
      <c r="BG221" t="s">
        <v>74</v>
      </c>
      <c r="BH221" t="s">
        <v>3429</v>
      </c>
      <c r="BI221">
        <v>12</v>
      </c>
      <c r="BJ221" t="s">
        <v>1080</v>
      </c>
      <c r="BK221" t="s">
        <v>100</v>
      </c>
      <c r="BL221" t="s">
        <v>256</v>
      </c>
      <c r="BM221" t="s">
        <v>1081</v>
      </c>
      <c r="BN221" t="s">
        <v>74</v>
      </c>
      <c r="BO221" t="s">
        <v>74</v>
      </c>
      <c r="BP221" t="s">
        <v>74</v>
      </c>
      <c r="BQ221" t="s">
        <v>74</v>
      </c>
      <c r="BR221" t="s">
        <v>104</v>
      </c>
      <c r="BS221" t="s">
        <v>4799</v>
      </c>
      <c r="BT221" t="str">
        <f>HYPERLINK("https%3A%2F%2Fwww.webofscience.com%2Fwos%2Fwoscc%2Ffull-record%2FWOS:000581086000001","View Full Record in Web of Science")</f>
        <v>View Full Record in Web of Science</v>
      </c>
    </row>
    <row r="222" spans="1:72" x14ac:dyDescent="0.15">
      <c r="A222" t="s">
        <v>72</v>
      </c>
      <c r="B222" t="s">
        <v>4800</v>
      </c>
      <c r="C222" t="s">
        <v>74</v>
      </c>
      <c r="D222" t="s">
        <v>74</v>
      </c>
      <c r="E222" t="s">
        <v>74</v>
      </c>
      <c r="F222" t="s">
        <v>4801</v>
      </c>
      <c r="G222" t="s">
        <v>74</v>
      </c>
      <c r="H222" t="s">
        <v>74</v>
      </c>
      <c r="I222" t="s">
        <v>4802</v>
      </c>
      <c r="J222" t="s">
        <v>4803</v>
      </c>
      <c r="K222" t="s">
        <v>74</v>
      </c>
      <c r="L222" t="s">
        <v>74</v>
      </c>
      <c r="M222" t="s">
        <v>78</v>
      </c>
      <c r="N222" t="s">
        <v>79</v>
      </c>
      <c r="O222" t="s">
        <v>74</v>
      </c>
      <c r="P222" t="s">
        <v>74</v>
      </c>
      <c r="Q222" t="s">
        <v>74</v>
      </c>
      <c r="R222" t="s">
        <v>74</v>
      </c>
      <c r="S222" t="s">
        <v>74</v>
      </c>
      <c r="T222" t="s">
        <v>4804</v>
      </c>
      <c r="U222" t="s">
        <v>4805</v>
      </c>
      <c r="V222" t="s">
        <v>4806</v>
      </c>
      <c r="W222" t="s">
        <v>4807</v>
      </c>
      <c r="X222" t="s">
        <v>4808</v>
      </c>
      <c r="Y222" t="s">
        <v>4809</v>
      </c>
      <c r="Z222" t="s">
        <v>4810</v>
      </c>
      <c r="AA222" t="s">
        <v>4811</v>
      </c>
      <c r="AB222" t="s">
        <v>4812</v>
      </c>
      <c r="AC222" t="s">
        <v>4813</v>
      </c>
      <c r="AD222" t="s">
        <v>4814</v>
      </c>
      <c r="AE222" t="s">
        <v>4815</v>
      </c>
      <c r="AF222" t="s">
        <v>74</v>
      </c>
      <c r="AG222">
        <v>65</v>
      </c>
      <c r="AH222">
        <v>48</v>
      </c>
      <c r="AI222">
        <v>49</v>
      </c>
      <c r="AJ222">
        <v>10</v>
      </c>
      <c r="AK222">
        <v>99</v>
      </c>
      <c r="AL222" t="s">
        <v>219</v>
      </c>
      <c r="AM222" t="s">
        <v>220</v>
      </c>
      <c r="AN222" t="s">
        <v>221</v>
      </c>
      <c r="AO222" t="s">
        <v>4816</v>
      </c>
      <c r="AP222" t="s">
        <v>4817</v>
      </c>
      <c r="AQ222" t="s">
        <v>74</v>
      </c>
      <c r="AR222" t="s">
        <v>4818</v>
      </c>
      <c r="AS222" t="s">
        <v>4819</v>
      </c>
      <c r="AT222" t="s">
        <v>252</v>
      </c>
      <c r="AU222">
        <v>2021</v>
      </c>
      <c r="AV222">
        <v>30</v>
      </c>
      <c r="AW222">
        <v>1</v>
      </c>
      <c r="AX222" t="s">
        <v>74</v>
      </c>
      <c r="AY222" t="s">
        <v>74</v>
      </c>
      <c r="AZ222" t="s">
        <v>74</v>
      </c>
      <c r="BA222" t="s">
        <v>74</v>
      </c>
      <c r="BB222">
        <v>140</v>
      </c>
      <c r="BC222">
        <v>153</v>
      </c>
      <c r="BD222" t="s">
        <v>74</v>
      </c>
      <c r="BE222" t="s">
        <v>4820</v>
      </c>
      <c r="BF222" t="str">
        <f>HYPERLINK("http://dx.doi.org/10.1111/geb.13202","http://dx.doi.org/10.1111/geb.13202")</f>
        <v>http://dx.doi.org/10.1111/geb.13202</v>
      </c>
      <c r="BG222" t="s">
        <v>74</v>
      </c>
      <c r="BH222" t="s">
        <v>3429</v>
      </c>
      <c r="BI222">
        <v>14</v>
      </c>
      <c r="BJ222" t="s">
        <v>4821</v>
      </c>
      <c r="BK222" t="s">
        <v>100</v>
      </c>
      <c r="BL222" t="s">
        <v>4822</v>
      </c>
      <c r="BM222" t="s">
        <v>4823</v>
      </c>
      <c r="BN222" t="s">
        <v>74</v>
      </c>
      <c r="BO222" t="s">
        <v>701</v>
      </c>
      <c r="BP222" t="s">
        <v>74</v>
      </c>
      <c r="BQ222" t="s">
        <v>74</v>
      </c>
      <c r="BR222" t="s">
        <v>104</v>
      </c>
      <c r="BS222" t="s">
        <v>4824</v>
      </c>
      <c r="BT222" t="str">
        <f>HYPERLINK("https%3A%2F%2Fwww.webofscience.com%2Fwos%2Fwoscc%2Ffull-record%2FWOS:000579518300001","View Full Record in Web of Science")</f>
        <v>View Full Record in Web of Science</v>
      </c>
    </row>
    <row r="223" spans="1:72" x14ac:dyDescent="0.15">
      <c r="A223" t="s">
        <v>72</v>
      </c>
      <c r="B223" t="s">
        <v>4825</v>
      </c>
      <c r="C223" t="s">
        <v>74</v>
      </c>
      <c r="D223" t="s">
        <v>74</v>
      </c>
      <c r="E223" t="s">
        <v>74</v>
      </c>
      <c r="F223" t="s">
        <v>4826</v>
      </c>
      <c r="G223" t="s">
        <v>74</v>
      </c>
      <c r="H223" t="s">
        <v>74</v>
      </c>
      <c r="I223" t="s">
        <v>4827</v>
      </c>
      <c r="J223" t="s">
        <v>263</v>
      </c>
      <c r="K223" t="s">
        <v>74</v>
      </c>
      <c r="L223" t="s">
        <v>74</v>
      </c>
      <c r="M223" t="s">
        <v>78</v>
      </c>
      <c r="N223" t="s">
        <v>79</v>
      </c>
      <c r="O223" t="s">
        <v>74</v>
      </c>
      <c r="P223" t="s">
        <v>74</v>
      </c>
      <c r="Q223" t="s">
        <v>74</v>
      </c>
      <c r="R223" t="s">
        <v>74</v>
      </c>
      <c r="S223" t="s">
        <v>74</v>
      </c>
      <c r="T223" t="s">
        <v>4828</v>
      </c>
      <c r="U223" t="s">
        <v>4829</v>
      </c>
      <c r="V223" t="s">
        <v>4830</v>
      </c>
      <c r="W223" t="s">
        <v>4831</v>
      </c>
      <c r="X223" t="s">
        <v>4832</v>
      </c>
      <c r="Y223" t="s">
        <v>4833</v>
      </c>
      <c r="Z223" t="s">
        <v>4834</v>
      </c>
      <c r="AA223" t="s">
        <v>4835</v>
      </c>
      <c r="AB223" t="s">
        <v>4836</v>
      </c>
      <c r="AC223" t="s">
        <v>4837</v>
      </c>
      <c r="AD223" t="s">
        <v>4838</v>
      </c>
      <c r="AE223" t="s">
        <v>4839</v>
      </c>
      <c r="AF223" t="s">
        <v>74</v>
      </c>
      <c r="AG223">
        <v>69</v>
      </c>
      <c r="AH223">
        <v>8</v>
      </c>
      <c r="AI223">
        <v>8</v>
      </c>
      <c r="AJ223">
        <v>2</v>
      </c>
      <c r="AK223">
        <v>91</v>
      </c>
      <c r="AL223" t="s">
        <v>275</v>
      </c>
      <c r="AM223" t="s">
        <v>276</v>
      </c>
      <c r="AN223" t="s">
        <v>277</v>
      </c>
      <c r="AO223" t="s">
        <v>278</v>
      </c>
      <c r="AP223" t="s">
        <v>279</v>
      </c>
      <c r="AQ223" t="s">
        <v>74</v>
      </c>
      <c r="AR223" t="s">
        <v>280</v>
      </c>
      <c r="AS223" t="s">
        <v>281</v>
      </c>
      <c r="AT223" t="s">
        <v>4738</v>
      </c>
      <c r="AU223">
        <v>2020</v>
      </c>
      <c r="AV223">
        <v>740</v>
      </c>
      <c r="AW223" t="s">
        <v>74</v>
      </c>
      <c r="AX223" t="s">
        <v>74</v>
      </c>
      <c r="AY223" t="s">
        <v>74</v>
      </c>
      <c r="AZ223" t="s">
        <v>74</v>
      </c>
      <c r="BA223" t="s">
        <v>74</v>
      </c>
      <c r="BB223" t="s">
        <v>74</v>
      </c>
      <c r="BC223" t="s">
        <v>74</v>
      </c>
      <c r="BD223">
        <v>140379</v>
      </c>
      <c r="BE223" t="s">
        <v>4840</v>
      </c>
      <c r="BF223" t="str">
        <f>HYPERLINK("http://dx.doi.org/10.1016/j.scitotenv.2020.140379","http://dx.doi.org/10.1016/j.scitotenv.2020.140379")</f>
        <v>http://dx.doi.org/10.1016/j.scitotenv.2020.140379</v>
      </c>
      <c r="BG223" t="s">
        <v>74</v>
      </c>
      <c r="BH223" t="s">
        <v>74</v>
      </c>
      <c r="BI223">
        <v>12</v>
      </c>
      <c r="BJ223" t="s">
        <v>283</v>
      </c>
      <c r="BK223" t="s">
        <v>100</v>
      </c>
      <c r="BL223" t="s">
        <v>284</v>
      </c>
      <c r="BM223" t="s">
        <v>4841</v>
      </c>
      <c r="BN223">
        <v>32927555</v>
      </c>
      <c r="BO223" t="s">
        <v>74</v>
      </c>
      <c r="BP223" t="s">
        <v>74</v>
      </c>
      <c r="BQ223" t="s">
        <v>74</v>
      </c>
      <c r="BR223" t="s">
        <v>104</v>
      </c>
      <c r="BS223" t="s">
        <v>4842</v>
      </c>
      <c r="BT223" t="str">
        <f>HYPERLINK("https%3A%2F%2Fwww.webofscience.com%2Fwos%2Fwoscc%2Ffull-record%2FWOS:000562379400015","View Full Record in Web of Science")</f>
        <v>View Full Record in Web of Science</v>
      </c>
    </row>
    <row r="224" spans="1:72" x14ac:dyDescent="0.15">
      <c r="A224" t="s">
        <v>72</v>
      </c>
      <c r="B224" t="s">
        <v>4843</v>
      </c>
      <c r="C224" t="s">
        <v>74</v>
      </c>
      <c r="D224" t="s">
        <v>74</v>
      </c>
      <c r="E224" t="s">
        <v>74</v>
      </c>
      <c r="F224" t="s">
        <v>4844</v>
      </c>
      <c r="G224" t="s">
        <v>74</v>
      </c>
      <c r="H224" t="s">
        <v>74</v>
      </c>
      <c r="I224" t="s">
        <v>4845</v>
      </c>
      <c r="J224" t="s">
        <v>309</v>
      </c>
      <c r="K224" t="s">
        <v>74</v>
      </c>
      <c r="L224" t="s">
        <v>74</v>
      </c>
      <c r="M224" t="s">
        <v>78</v>
      </c>
      <c r="N224" t="s">
        <v>79</v>
      </c>
      <c r="O224" t="s">
        <v>74</v>
      </c>
      <c r="P224" t="s">
        <v>74</v>
      </c>
      <c r="Q224" t="s">
        <v>74</v>
      </c>
      <c r="R224" t="s">
        <v>74</v>
      </c>
      <c r="S224" t="s">
        <v>74</v>
      </c>
      <c r="T224" t="s">
        <v>74</v>
      </c>
      <c r="U224" t="s">
        <v>4846</v>
      </c>
      <c r="V224" t="s">
        <v>4847</v>
      </c>
      <c r="W224" t="s">
        <v>4848</v>
      </c>
      <c r="X224" t="s">
        <v>4849</v>
      </c>
      <c r="Y224" t="s">
        <v>4850</v>
      </c>
      <c r="Z224" t="s">
        <v>4851</v>
      </c>
      <c r="AA224" t="s">
        <v>4852</v>
      </c>
      <c r="AB224" t="s">
        <v>4853</v>
      </c>
      <c r="AC224" t="s">
        <v>4854</v>
      </c>
      <c r="AD224" t="s">
        <v>4855</v>
      </c>
      <c r="AE224" t="s">
        <v>4856</v>
      </c>
      <c r="AF224" t="s">
        <v>74</v>
      </c>
      <c r="AG224">
        <v>113</v>
      </c>
      <c r="AH224">
        <v>17</v>
      </c>
      <c r="AI224">
        <v>18</v>
      </c>
      <c r="AJ224">
        <v>3</v>
      </c>
      <c r="AK224">
        <v>10</v>
      </c>
      <c r="AL224" t="s">
        <v>413</v>
      </c>
      <c r="AM224" t="s">
        <v>322</v>
      </c>
      <c r="AN224" t="s">
        <v>323</v>
      </c>
      <c r="AO224" t="s">
        <v>324</v>
      </c>
      <c r="AP224" t="s">
        <v>74</v>
      </c>
      <c r="AQ224" t="s">
        <v>74</v>
      </c>
      <c r="AR224" t="s">
        <v>325</v>
      </c>
      <c r="AS224" t="s">
        <v>326</v>
      </c>
      <c r="AT224" t="s">
        <v>4857</v>
      </c>
      <c r="AU224">
        <v>2020</v>
      </c>
      <c r="AV224">
        <v>10</v>
      </c>
      <c r="AW224">
        <v>1</v>
      </c>
      <c r="AX224" t="s">
        <v>74</v>
      </c>
      <c r="AY224" t="s">
        <v>74</v>
      </c>
      <c r="AZ224" t="s">
        <v>74</v>
      </c>
      <c r="BA224" t="s">
        <v>74</v>
      </c>
      <c r="BB224" t="s">
        <v>74</v>
      </c>
      <c r="BC224" t="s">
        <v>74</v>
      </c>
      <c r="BD224">
        <v>17710</v>
      </c>
      <c r="BE224" t="s">
        <v>4858</v>
      </c>
      <c r="BF224" t="str">
        <f>HYPERLINK("http://dx.doi.org/10.1038/s41598-020-73579-y","http://dx.doi.org/10.1038/s41598-020-73579-y")</f>
        <v>http://dx.doi.org/10.1038/s41598-020-73579-y</v>
      </c>
      <c r="BG224" t="s">
        <v>74</v>
      </c>
      <c r="BH224" t="s">
        <v>74</v>
      </c>
      <c r="BI224">
        <v>16</v>
      </c>
      <c r="BJ224" t="s">
        <v>329</v>
      </c>
      <c r="BK224" t="s">
        <v>100</v>
      </c>
      <c r="BL224" t="s">
        <v>330</v>
      </c>
      <c r="BM224" t="s">
        <v>4859</v>
      </c>
      <c r="BN224">
        <v>33077806</v>
      </c>
      <c r="BO224" t="s">
        <v>397</v>
      </c>
      <c r="BP224" t="s">
        <v>74</v>
      </c>
      <c r="BQ224" t="s">
        <v>74</v>
      </c>
      <c r="BR224" t="s">
        <v>104</v>
      </c>
      <c r="BS224" t="s">
        <v>4860</v>
      </c>
      <c r="BT224" t="str">
        <f>HYPERLINK("https%3A%2F%2Fwww.webofscience.com%2Fwos%2Fwoscc%2Ffull-record%2FWOS:000585197800040","View Full Record in Web of Science")</f>
        <v>View Full Record in Web of Science</v>
      </c>
    </row>
    <row r="225" spans="1:72" x14ac:dyDescent="0.15">
      <c r="A225" t="s">
        <v>72</v>
      </c>
      <c r="B225" t="s">
        <v>4861</v>
      </c>
      <c r="C225" t="s">
        <v>74</v>
      </c>
      <c r="D225" t="s">
        <v>74</v>
      </c>
      <c r="E225" t="s">
        <v>74</v>
      </c>
      <c r="F225" t="s">
        <v>4862</v>
      </c>
      <c r="G225" t="s">
        <v>74</v>
      </c>
      <c r="H225" t="s">
        <v>74</v>
      </c>
      <c r="I225" t="s">
        <v>4863</v>
      </c>
      <c r="J225" t="s">
        <v>4206</v>
      </c>
      <c r="K225" t="s">
        <v>74</v>
      </c>
      <c r="L225" t="s">
        <v>74</v>
      </c>
      <c r="M225" t="s">
        <v>78</v>
      </c>
      <c r="N225" t="s">
        <v>79</v>
      </c>
      <c r="O225" t="s">
        <v>74</v>
      </c>
      <c r="P225" t="s">
        <v>74</v>
      </c>
      <c r="Q225" t="s">
        <v>74</v>
      </c>
      <c r="R225" t="s">
        <v>74</v>
      </c>
      <c r="S225" t="s">
        <v>74</v>
      </c>
      <c r="T225" t="s">
        <v>74</v>
      </c>
      <c r="U225" t="s">
        <v>4864</v>
      </c>
      <c r="V225" t="s">
        <v>4865</v>
      </c>
      <c r="W225" t="s">
        <v>4866</v>
      </c>
      <c r="X225" t="s">
        <v>4867</v>
      </c>
      <c r="Y225" t="s">
        <v>4868</v>
      </c>
      <c r="Z225" t="s">
        <v>4869</v>
      </c>
      <c r="AA225" t="s">
        <v>4870</v>
      </c>
      <c r="AB225" t="s">
        <v>4871</v>
      </c>
      <c r="AC225" t="s">
        <v>4872</v>
      </c>
      <c r="AD225" t="s">
        <v>4873</v>
      </c>
      <c r="AE225" t="s">
        <v>4874</v>
      </c>
      <c r="AF225" t="s">
        <v>74</v>
      </c>
      <c r="AG225">
        <v>84</v>
      </c>
      <c r="AH225">
        <v>7</v>
      </c>
      <c r="AI225">
        <v>7</v>
      </c>
      <c r="AJ225">
        <v>1</v>
      </c>
      <c r="AK225">
        <v>12</v>
      </c>
      <c r="AL225" t="s">
        <v>482</v>
      </c>
      <c r="AM225" t="s">
        <v>483</v>
      </c>
      <c r="AN225" t="s">
        <v>484</v>
      </c>
      <c r="AO225" t="s">
        <v>4219</v>
      </c>
      <c r="AP225" t="s">
        <v>4220</v>
      </c>
      <c r="AQ225" t="s">
        <v>74</v>
      </c>
      <c r="AR225" t="s">
        <v>4221</v>
      </c>
      <c r="AS225" t="s">
        <v>4222</v>
      </c>
      <c r="AT225" t="s">
        <v>252</v>
      </c>
      <c r="AU225">
        <v>2021</v>
      </c>
      <c r="AV225">
        <v>56</v>
      </c>
      <c r="AW225" t="s">
        <v>4223</v>
      </c>
      <c r="AX225" t="s">
        <v>74</v>
      </c>
      <c r="AY225" t="s">
        <v>74</v>
      </c>
      <c r="AZ225" t="s">
        <v>74</v>
      </c>
      <c r="BA225" t="s">
        <v>74</v>
      </c>
      <c r="BB225">
        <v>299</v>
      </c>
      <c r="BC225">
        <v>327</v>
      </c>
      <c r="BD225" t="s">
        <v>74</v>
      </c>
      <c r="BE225" t="s">
        <v>4875</v>
      </c>
      <c r="BF225" t="str">
        <f>HYPERLINK("http://dx.doi.org/10.1007/s00382-020-05473-2","http://dx.doi.org/10.1007/s00382-020-05473-2")</f>
        <v>http://dx.doi.org/10.1007/s00382-020-05473-2</v>
      </c>
      <c r="BG225" t="s">
        <v>74</v>
      </c>
      <c r="BH225" t="s">
        <v>3429</v>
      </c>
      <c r="BI225">
        <v>29</v>
      </c>
      <c r="BJ225" t="s">
        <v>800</v>
      </c>
      <c r="BK225" t="s">
        <v>100</v>
      </c>
      <c r="BL225" t="s">
        <v>800</v>
      </c>
      <c r="BM225" t="s">
        <v>4225</v>
      </c>
      <c r="BN225" t="s">
        <v>74</v>
      </c>
      <c r="BO225" t="s">
        <v>74</v>
      </c>
      <c r="BP225" t="s">
        <v>74</v>
      </c>
      <c r="BQ225" t="s">
        <v>74</v>
      </c>
      <c r="BR225" t="s">
        <v>104</v>
      </c>
      <c r="BS225" t="s">
        <v>4876</v>
      </c>
      <c r="BT225" t="str">
        <f>HYPERLINK("https%3A%2F%2Fwww.webofscience.com%2Fwos%2Fwoscc%2Ffull-record%2FWOS:000579722800006","View Full Record in Web of Science")</f>
        <v>View Full Record in Web of Science</v>
      </c>
    </row>
    <row r="226" spans="1:72" x14ac:dyDescent="0.15">
      <c r="A226" t="s">
        <v>72</v>
      </c>
      <c r="B226" t="s">
        <v>4877</v>
      </c>
      <c r="C226" t="s">
        <v>74</v>
      </c>
      <c r="D226" t="s">
        <v>74</v>
      </c>
      <c r="E226" t="s">
        <v>74</v>
      </c>
      <c r="F226" t="s">
        <v>4878</v>
      </c>
      <c r="G226" t="s">
        <v>74</v>
      </c>
      <c r="H226" t="s">
        <v>74</v>
      </c>
      <c r="I226" t="s">
        <v>4879</v>
      </c>
      <c r="J226" t="s">
        <v>901</v>
      </c>
      <c r="K226" t="s">
        <v>74</v>
      </c>
      <c r="L226" t="s">
        <v>74</v>
      </c>
      <c r="M226" t="s">
        <v>78</v>
      </c>
      <c r="N226" t="s">
        <v>79</v>
      </c>
      <c r="O226" t="s">
        <v>74</v>
      </c>
      <c r="P226" t="s">
        <v>74</v>
      </c>
      <c r="Q226" t="s">
        <v>74</v>
      </c>
      <c r="R226" t="s">
        <v>74</v>
      </c>
      <c r="S226" t="s">
        <v>74</v>
      </c>
      <c r="T226" t="s">
        <v>4880</v>
      </c>
      <c r="U226" t="s">
        <v>4881</v>
      </c>
      <c r="V226" t="s">
        <v>4882</v>
      </c>
      <c r="W226" t="s">
        <v>4883</v>
      </c>
      <c r="X226" t="s">
        <v>4884</v>
      </c>
      <c r="Y226" t="s">
        <v>4885</v>
      </c>
      <c r="Z226" t="s">
        <v>4886</v>
      </c>
      <c r="AA226" t="s">
        <v>4887</v>
      </c>
      <c r="AB226" t="s">
        <v>74</v>
      </c>
      <c r="AC226" t="s">
        <v>4888</v>
      </c>
      <c r="AD226" t="s">
        <v>4888</v>
      </c>
      <c r="AE226" t="s">
        <v>4889</v>
      </c>
      <c r="AF226" t="s">
        <v>74</v>
      </c>
      <c r="AG226">
        <v>37</v>
      </c>
      <c r="AH226">
        <v>8</v>
      </c>
      <c r="AI226">
        <v>8</v>
      </c>
      <c r="AJ226">
        <v>1</v>
      </c>
      <c r="AK226">
        <v>11</v>
      </c>
      <c r="AL226" t="s">
        <v>866</v>
      </c>
      <c r="AM226" t="s">
        <v>867</v>
      </c>
      <c r="AN226" t="s">
        <v>868</v>
      </c>
      <c r="AO226" t="s">
        <v>74</v>
      </c>
      <c r="AP226" t="s">
        <v>914</v>
      </c>
      <c r="AQ226" t="s">
        <v>74</v>
      </c>
      <c r="AR226" t="s">
        <v>915</v>
      </c>
      <c r="AS226" t="s">
        <v>916</v>
      </c>
      <c r="AT226" t="s">
        <v>4857</v>
      </c>
      <c r="AU226">
        <v>2020</v>
      </c>
      <c r="AV226">
        <v>7</v>
      </c>
      <c r="AW226" t="s">
        <v>74</v>
      </c>
      <c r="AX226" t="s">
        <v>74</v>
      </c>
      <c r="AY226" t="s">
        <v>74</v>
      </c>
      <c r="AZ226" t="s">
        <v>74</v>
      </c>
      <c r="BA226" t="s">
        <v>74</v>
      </c>
      <c r="BB226" t="s">
        <v>74</v>
      </c>
      <c r="BC226" t="s">
        <v>74</v>
      </c>
      <c r="BD226">
        <v>571373</v>
      </c>
      <c r="BE226" t="s">
        <v>4890</v>
      </c>
      <c r="BF226" t="str">
        <f>HYPERLINK("http://dx.doi.org/10.3389/fmars.2020.571373","http://dx.doi.org/10.3389/fmars.2020.571373")</f>
        <v>http://dx.doi.org/10.3389/fmars.2020.571373</v>
      </c>
      <c r="BG226" t="s">
        <v>74</v>
      </c>
      <c r="BH226" t="s">
        <v>74</v>
      </c>
      <c r="BI226">
        <v>6</v>
      </c>
      <c r="BJ226" t="s">
        <v>918</v>
      </c>
      <c r="BK226" t="s">
        <v>255</v>
      </c>
      <c r="BL226" t="s">
        <v>919</v>
      </c>
      <c r="BM226" t="s">
        <v>4891</v>
      </c>
      <c r="BN226" t="s">
        <v>74</v>
      </c>
      <c r="BO226" t="s">
        <v>2113</v>
      </c>
      <c r="BP226" t="s">
        <v>74</v>
      </c>
      <c r="BQ226" t="s">
        <v>74</v>
      </c>
      <c r="BR226" t="s">
        <v>104</v>
      </c>
      <c r="BS226" t="s">
        <v>4892</v>
      </c>
      <c r="BT226" t="str">
        <f>HYPERLINK("https%3A%2F%2Fwww.webofscience.com%2Fwos%2Fwoscc%2Ffull-record%2FWOS:000579841900001","View Full Record in Web of Science")</f>
        <v>View Full Record in Web of Science</v>
      </c>
    </row>
    <row r="227" spans="1:72" x14ac:dyDescent="0.15">
      <c r="A227" t="s">
        <v>72</v>
      </c>
      <c r="B227" t="s">
        <v>4893</v>
      </c>
      <c r="C227" t="s">
        <v>74</v>
      </c>
      <c r="D227" t="s">
        <v>74</v>
      </c>
      <c r="E227" t="s">
        <v>74</v>
      </c>
      <c r="F227" t="s">
        <v>4894</v>
      </c>
      <c r="G227" t="s">
        <v>74</v>
      </c>
      <c r="H227" t="s">
        <v>74</v>
      </c>
      <c r="I227" t="s">
        <v>4895</v>
      </c>
      <c r="J227" t="s">
        <v>4249</v>
      </c>
      <c r="K227" t="s">
        <v>74</v>
      </c>
      <c r="L227" t="s">
        <v>74</v>
      </c>
      <c r="M227" t="s">
        <v>78</v>
      </c>
      <c r="N227" t="s">
        <v>79</v>
      </c>
      <c r="O227" t="s">
        <v>74</v>
      </c>
      <c r="P227" t="s">
        <v>74</v>
      </c>
      <c r="Q227" t="s">
        <v>74</v>
      </c>
      <c r="R227" t="s">
        <v>74</v>
      </c>
      <c r="S227" t="s">
        <v>74</v>
      </c>
      <c r="T227" t="s">
        <v>74</v>
      </c>
      <c r="U227" t="s">
        <v>4896</v>
      </c>
      <c r="V227" t="s">
        <v>4897</v>
      </c>
      <c r="W227" t="s">
        <v>4898</v>
      </c>
      <c r="X227" t="s">
        <v>4710</v>
      </c>
      <c r="Y227" t="s">
        <v>4899</v>
      </c>
      <c r="Z227" t="s">
        <v>4900</v>
      </c>
      <c r="AA227" t="s">
        <v>4901</v>
      </c>
      <c r="AB227" t="s">
        <v>4902</v>
      </c>
      <c r="AC227" t="s">
        <v>4903</v>
      </c>
      <c r="AD227" t="s">
        <v>4904</v>
      </c>
      <c r="AE227" t="s">
        <v>4905</v>
      </c>
      <c r="AF227" t="s">
        <v>74</v>
      </c>
      <c r="AG227">
        <v>38</v>
      </c>
      <c r="AH227">
        <v>15</v>
      </c>
      <c r="AI227">
        <v>15</v>
      </c>
      <c r="AJ227">
        <v>5</v>
      </c>
      <c r="AK227">
        <v>58</v>
      </c>
      <c r="AL227" t="s">
        <v>321</v>
      </c>
      <c r="AM227" t="s">
        <v>322</v>
      </c>
      <c r="AN227" t="s">
        <v>323</v>
      </c>
      <c r="AO227" t="s">
        <v>4260</v>
      </c>
      <c r="AP227" t="s">
        <v>4261</v>
      </c>
      <c r="AQ227" t="s">
        <v>74</v>
      </c>
      <c r="AR227" t="s">
        <v>4262</v>
      </c>
      <c r="AS227" t="s">
        <v>4263</v>
      </c>
      <c r="AT227" t="s">
        <v>252</v>
      </c>
      <c r="AU227">
        <v>2021</v>
      </c>
      <c r="AV227">
        <v>11</v>
      </c>
      <c r="AW227">
        <v>1</v>
      </c>
      <c r="AX227" t="s">
        <v>74</v>
      </c>
      <c r="AY227" t="s">
        <v>74</v>
      </c>
      <c r="AZ227" t="s">
        <v>74</v>
      </c>
      <c r="BA227" t="s">
        <v>74</v>
      </c>
      <c r="BB227">
        <v>52</v>
      </c>
      <c r="BC227" t="s">
        <v>614</v>
      </c>
      <c r="BD227" t="s">
        <v>74</v>
      </c>
      <c r="BE227" t="s">
        <v>4906</v>
      </c>
      <c r="BF227" t="str">
        <f>HYPERLINK("http://dx.doi.org/10.1038/s41558-020-00915-5","http://dx.doi.org/10.1038/s41558-020-00915-5")</f>
        <v>http://dx.doi.org/10.1038/s41558-020-00915-5</v>
      </c>
      <c r="BG227" t="s">
        <v>74</v>
      </c>
      <c r="BH227" t="s">
        <v>3429</v>
      </c>
      <c r="BI227">
        <v>14</v>
      </c>
      <c r="BJ227" t="s">
        <v>4265</v>
      </c>
      <c r="BK227" t="s">
        <v>255</v>
      </c>
      <c r="BL227" t="s">
        <v>1028</v>
      </c>
      <c r="BM227" t="s">
        <v>4907</v>
      </c>
      <c r="BN227" t="s">
        <v>74</v>
      </c>
      <c r="BO227" t="s">
        <v>74</v>
      </c>
      <c r="BP227" t="s">
        <v>74</v>
      </c>
      <c r="BQ227" t="s">
        <v>74</v>
      </c>
      <c r="BR227" t="s">
        <v>104</v>
      </c>
      <c r="BS227" t="s">
        <v>4908</v>
      </c>
      <c r="BT227" t="str">
        <f>HYPERLINK("https%3A%2F%2Fwww.webofscience.com%2Fwos%2Fwoscc%2Ffull-record%2FWOS:000579680500002","View Full Record in Web of Science")</f>
        <v>View Full Record in Web of Science</v>
      </c>
    </row>
    <row r="228" spans="1:72" x14ac:dyDescent="0.15">
      <c r="A228" t="s">
        <v>72</v>
      </c>
      <c r="B228" t="s">
        <v>4909</v>
      </c>
      <c r="C228" t="s">
        <v>74</v>
      </c>
      <c r="D228" t="s">
        <v>74</v>
      </c>
      <c r="E228" t="s">
        <v>74</v>
      </c>
      <c r="F228" t="s">
        <v>4910</v>
      </c>
      <c r="G228" t="s">
        <v>74</v>
      </c>
      <c r="H228" t="s">
        <v>74</v>
      </c>
      <c r="I228" t="s">
        <v>4911</v>
      </c>
      <c r="J228" t="s">
        <v>4912</v>
      </c>
      <c r="K228" t="s">
        <v>74</v>
      </c>
      <c r="L228" t="s">
        <v>74</v>
      </c>
      <c r="M228" t="s">
        <v>78</v>
      </c>
      <c r="N228" t="s">
        <v>79</v>
      </c>
      <c r="O228" t="s">
        <v>74</v>
      </c>
      <c r="P228" t="s">
        <v>74</v>
      </c>
      <c r="Q228" t="s">
        <v>74</v>
      </c>
      <c r="R228" t="s">
        <v>74</v>
      </c>
      <c r="S228" t="s">
        <v>74</v>
      </c>
      <c r="T228" t="s">
        <v>4913</v>
      </c>
      <c r="U228" t="s">
        <v>4914</v>
      </c>
      <c r="V228" t="s">
        <v>4915</v>
      </c>
      <c r="W228" t="s">
        <v>4916</v>
      </c>
      <c r="X228" t="s">
        <v>4917</v>
      </c>
      <c r="Y228" t="s">
        <v>4918</v>
      </c>
      <c r="Z228" t="s">
        <v>4919</v>
      </c>
      <c r="AA228" t="s">
        <v>4920</v>
      </c>
      <c r="AB228" t="s">
        <v>4921</v>
      </c>
      <c r="AC228" t="s">
        <v>4922</v>
      </c>
      <c r="AD228" t="s">
        <v>4923</v>
      </c>
      <c r="AE228" t="s">
        <v>4924</v>
      </c>
      <c r="AF228" t="s">
        <v>74</v>
      </c>
      <c r="AG228">
        <v>63</v>
      </c>
      <c r="AH228">
        <v>1</v>
      </c>
      <c r="AI228">
        <v>3</v>
      </c>
      <c r="AJ228">
        <v>0</v>
      </c>
      <c r="AK228">
        <v>6</v>
      </c>
      <c r="AL228" t="s">
        <v>4925</v>
      </c>
      <c r="AM228" t="s">
        <v>123</v>
      </c>
      <c r="AN228" t="s">
        <v>4926</v>
      </c>
      <c r="AO228" t="s">
        <v>4927</v>
      </c>
      <c r="AP228" t="s">
        <v>74</v>
      </c>
      <c r="AQ228" t="s">
        <v>74</v>
      </c>
      <c r="AR228" t="s">
        <v>4912</v>
      </c>
      <c r="AS228" t="s">
        <v>4928</v>
      </c>
      <c r="AT228" t="s">
        <v>4857</v>
      </c>
      <c r="AU228">
        <v>2020</v>
      </c>
      <c r="AV228">
        <v>8</v>
      </c>
      <c r="AW228" t="s">
        <v>74</v>
      </c>
      <c r="AX228" t="s">
        <v>74</v>
      </c>
      <c r="AY228" t="s">
        <v>74</v>
      </c>
      <c r="AZ228" t="s">
        <v>74</v>
      </c>
      <c r="BA228" t="s">
        <v>74</v>
      </c>
      <c r="BB228" t="s">
        <v>74</v>
      </c>
      <c r="BC228" t="s">
        <v>74</v>
      </c>
      <c r="BD228" t="s">
        <v>4929</v>
      </c>
      <c r="BE228" t="s">
        <v>4930</v>
      </c>
      <c r="BF228" t="str">
        <f>HYPERLINK("http://dx.doi.org/10.7717/peerj.10131","http://dx.doi.org/10.7717/peerj.10131")</f>
        <v>http://dx.doi.org/10.7717/peerj.10131</v>
      </c>
      <c r="BG228" t="s">
        <v>74</v>
      </c>
      <c r="BH228" t="s">
        <v>74</v>
      </c>
      <c r="BI228">
        <v>20</v>
      </c>
      <c r="BJ228" t="s">
        <v>329</v>
      </c>
      <c r="BK228" t="s">
        <v>100</v>
      </c>
      <c r="BL228" t="s">
        <v>330</v>
      </c>
      <c r="BM228" t="s">
        <v>4931</v>
      </c>
      <c r="BN228">
        <v>33133782</v>
      </c>
      <c r="BO228" t="s">
        <v>4932</v>
      </c>
      <c r="BP228" t="s">
        <v>74</v>
      </c>
      <c r="BQ228" t="s">
        <v>74</v>
      </c>
      <c r="BR228" t="s">
        <v>104</v>
      </c>
      <c r="BS228" t="s">
        <v>4933</v>
      </c>
      <c r="BT228" t="str">
        <f>HYPERLINK("https%3A%2F%2Fwww.webofscience.com%2Fwos%2Fwoscc%2Ffull-record%2FWOS:000579332800003","View Full Record in Web of Science")</f>
        <v>View Full Record in Web of Science</v>
      </c>
    </row>
    <row r="229" spans="1:72" x14ac:dyDescent="0.15">
      <c r="A229" t="s">
        <v>72</v>
      </c>
      <c r="B229" t="s">
        <v>4934</v>
      </c>
      <c r="C229" t="s">
        <v>74</v>
      </c>
      <c r="D229" t="s">
        <v>74</v>
      </c>
      <c r="E229" t="s">
        <v>74</v>
      </c>
      <c r="F229" t="s">
        <v>4935</v>
      </c>
      <c r="G229" t="s">
        <v>74</v>
      </c>
      <c r="H229" t="s">
        <v>74</v>
      </c>
      <c r="I229" t="s">
        <v>4936</v>
      </c>
      <c r="J229" t="s">
        <v>4302</v>
      </c>
      <c r="K229" t="s">
        <v>74</v>
      </c>
      <c r="L229" t="s">
        <v>74</v>
      </c>
      <c r="M229" t="s">
        <v>78</v>
      </c>
      <c r="N229" t="s">
        <v>79</v>
      </c>
      <c r="O229" t="s">
        <v>74</v>
      </c>
      <c r="P229" t="s">
        <v>74</v>
      </c>
      <c r="Q229" t="s">
        <v>74</v>
      </c>
      <c r="R229" t="s">
        <v>74</v>
      </c>
      <c r="S229" t="s">
        <v>74</v>
      </c>
      <c r="T229" t="s">
        <v>4937</v>
      </c>
      <c r="U229" t="s">
        <v>4938</v>
      </c>
      <c r="V229" t="s">
        <v>4939</v>
      </c>
      <c r="W229" t="s">
        <v>4940</v>
      </c>
      <c r="X229" t="s">
        <v>4941</v>
      </c>
      <c r="Y229" t="s">
        <v>4942</v>
      </c>
      <c r="Z229" t="s">
        <v>4943</v>
      </c>
      <c r="AA229" t="s">
        <v>4944</v>
      </c>
      <c r="AB229" t="s">
        <v>4945</v>
      </c>
      <c r="AC229" t="s">
        <v>4946</v>
      </c>
      <c r="AD229" t="s">
        <v>4947</v>
      </c>
      <c r="AE229" t="s">
        <v>4948</v>
      </c>
      <c r="AF229" t="s">
        <v>74</v>
      </c>
      <c r="AG229">
        <v>46</v>
      </c>
      <c r="AH229">
        <v>4</v>
      </c>
      <c r="AI229">
        <v>5</v>
      </c>
      <c r="AJ229">
        <v>0</v>
      </c>
      <c r="AK229">
        <v>12</v>
      </c>
      <c r="AL229" t="s">
        <v>4315</v>
      </c>
      <c r="AM229" t="s">
        <v>123</v>
      </c>
      <c r="AN229" t="s">
        <v>4316</v>
      </c>
      <c r="AO229" t="s">
        <v>4317</v>
      </c>
      <c r="AP229" t="s">
        <v>4318</v>
      </c>
      <c r="AQ229" t="s">
        <v>74</v>
      </c>
      <c r="AR229" t="s">
        <v>4319</v>
      </c>
      <c r="AS229" t="s">
        <v>4320</v>
      </c>
      <c r="AT229" t="s">
        <v>2623</v>
      </c>
      <c r="AU229">
        <v>2021</v>
      </c>
      <c r="AV229">
        <v>37</v>
      </c>
      <c r="AW229">
        <v>1</v>
      </c>
      <c r="AX229" t="s">
        <v>74</v>
      </c>
      <c r="AY229" t="s">
        <v>74</v>
      </c>
      <c r="AZ229" t="s">
        <v>74</v>
      </c>
      <c r="BA229" t="s">
        <v>74</v>
      </c>
      <c r="BB229">
        <v>38</v>
      </c>
      <c r="BC229">
        <v>52</v>
      </c>
      <c r="BD229" t="s">
        <v>74</v>
      </c>
      <c r="BE229" t="s">
        <v>4949</v>
      </c>
      <c r="BF229" t="str">
        <f>HYPERLINK("http://dx.doi.org/10.1111/jai.14122","http://dx.doi.org/10.1111/jai.14122")</f>
        <v>http://dx.doi.org/10.1111/jai.14122</v>
      </c>
      <c r="BG229" t="s">
        <v>74</v>
      </c>
      <c r="BH229" t="s">
        <v>3429</v>
      </c>
      <c r="BI229">
        <v>15</v>
      </c>
      <c r="BJ229" t="s">
        <v>4322</v>
      </c>
      <c r="BK229" t="s">
        <v>100</v>
      </c>
      <c r="BL229" t="s">
        <v>4322</v>
      </c>
      <c r="BM229" t="s">
        <v>4323</v>
      </c>
      <c r="BN229" t="s">
        <v>74</v>
      </c>
      <c r="BO229" t="s">
        <v>202</v>
      </c>
      <c r="BP229" t="s">
        <v>74</v>
      </c>
      <c r="BQ229" t="s">
        <v>74</v>
      </c>
      <c r="BR229" t="s">
        <v>104</v>
      </c>
      <c r="BS229" t="s">
        <v>4950</v>
      </c>
      <c r="BT229" t="str">
        <f>HYPERLINK("https%3A%2F%2Fwww.webofscience.com%2Fwos%2Fwoscc%2Ffull-record%2FWOS:000579112800001","View Full Record in Web of Science")</f>
        <v>View Full Record in Web of Science</v>
      </c>
    </row>
    <row r="230" spans="1:72" x14ac:dyDescent="0.15">
      <c r="A230" t="s">
        <v>72</v>
      </c>
      <c r="B230" t="s">
        <v>4951</v>
      </c>
      <c r="C230" t="s">
        <v>74</v>
      </c>
      <c r="D230" t="s">
        <v>74</v>
      </c>
      <c r="E230" t="s">
        <v>74</v>
      </c>
      <c r="F230" t="s">
        <v>4952</v>
      </c>
      <c r="G230" t="s">
        <v>74</v>
      </c>
      <c r="H230" t="s">
        <v>74</v>
      </c>
      <c r="I230" t="s">
        <v>4953</v>
      </c>
      <c r="J230" t="s">
        <v>4954</v>
      </c>
      <c r="K230" t="s">
        <v>74</v>
      </c>
      <c r="L230" t="s">
        <v>74</v>
      </c>
      <c r="M230" t="s">
        <v>78</v>
      </c>
      <c r="N230" t="s">
        <v>79</v>
      </c>
      <c r="O230" t="s">
        <v>74</v>
      </c>
      <c r="P230" t="s">
        <v>74</v>
      </c>
      <c r="Q230" t="s">
        <v>74</v>
      </c>
      <c r="R230" t="s">
        <v>74</v>
      </c>
      <c r="S230" t="s">
        <v>74</v>
      </c>
      <c r="T230" t="s">
        <v>4955</v>
      </c>
      <c r="U230" t="s">
        <v>4956</v>
      </c>
      <c r="V230" t="s">
        <v>4957</v>
      </c>
      <c r="W230" t="s">
        <v>4958</v>
      </c>
      <c r="X230" t="s">
        <v>4959</v>
      </c>
      <c r="Y230" t="s">
        <v>4960</v>
      </c>
      <c r="Z230" t="s">
        <v>4961</v>
      </c>
      <c r="AA230" t="s">
        <v>74</v>
      </c>
      <c r="AB230" t="s">
        <v>74</v>
      </c>
      <c r="AC230" t="s">
        <v>4962</v>
      </c>
      <c r="AD230" t="s">
        <v>4963</v>
      </c>
      <c r="AE230" t="s">
        <v>4964</v>
      </c>
      <c r="AF230" t="s">
        <v>74</v>
      </c>
      <c r="AG230">
        <v>52</v>
      </c>
      <c r="AH230">
        <v>23</v>
      </c>
      <c r="AI230">
        <v>26</v>
      </c>
      <c r="AJ230">
        <v>5</v>
      </c>
      <c r="AK230">
        <v>60</v>
      </c>
      <c r="AL230" t="s">
        <v>219</v>
      </c>
      <c r="AM230" t="s">
        <v>220</v>
      </c>
      <c r="AN230" t="s">
        <v>221</v>
      </c>
      <c r="AO230" t="s">
        <v>4965</v>
      </c>
      <c r="AP230" t="s">
        <v>4966</v>
      </c>
      <c r="AQ230" t="s">
        <v>74</v>
      </c>
      <c r="AR230" t="s">
        <v>4967</v>
      </c>
      <c r="AS230" t="s">
        <v>4968</v>
      </c>
      <c r="AT230" t="s">
        <v>1212</v>
      </c>
      <c r="AU230">
        <v>2020</v>
      </c>
      <c r="AV230">
        <v>85</v>
      </c>
      <c r="AW230">
        <v>11</v>
      </c>
      <c r="AX230" t="s">
        <v>74</v>
      </c>
      <c r="AY230" t="s">
        <v>74</v>
      </c>
      <c r="AZ230" t="s">
        <v>74</v>
      </c>
      <c r="BA230" t="s">
        <v>74</v>
      </c>
      <c r="BB230">
        <v>3690</v>
      </c>
      <c r="BC230">
        <v>3699</v>
      </c>
      <c r="BD230" t="s">
        <v>74</v>
      </c>
      <c r="BE230" t="s">
        <v>4969</v>
      </c>
      <c r="BF230" t="str">
        <f>HYPERLINK("http://dx.doi.org/10.1111/1750-3841.15503","http://dx.doi.org/10.1111/1750-3841.15503")</f>
        <v>http://dx.doi.org/10.1111/1750-3841.15503</v>
      </c>
      <c r="BG230" t="s">
        <v>74</v>
      </c>
      <c r="BH230" t="s">
        <v>3429</v>
      </c>
      <c r="BI230">
        <v>10</v>
      </c>
      <c r="BJ230" t="s">
        <v>3107</v>
      </c>
      <c r="BK230" t="s">
        <v>100</v>
      </c>
      <c r="BL230" t="s">
        <v>3107</v>
      </c>
      <c r="BM230" t="s">
        <v>4970</v>
      </c>
      <c r="BN230">
        <v>33073379</v>
      </c>
      <c r="BO230" t="s">
        <v>74</v>
      </c>
      <c r="BP230" t="s">
        <v>74</v>
      </c>
      <c r="BQ230" t="s">
        <v>74</v>
      </c>
      <c r="BR230" t="s">
        <v>104</v>
      </c>
      <c r="BS230" t="s">
        <v>4971</v>
      </c>
      <c r="BT230" t="str">
        <f>HYPERLINK("https%3A%2F%2Fwww.webofscience.com%2Fwos%2Fwoscc%2Ffull-record%2FWOS:000578949400001","View Full Record in Web of Science")</f>
        <v>View Full Record in Web of Science</v>
      </c>
    </row>
    <row r="231" spans="1:72" x14ac:dyDescent="0.15">
      <c r="A231" t="s">
        <v>72</v>
      </c>
      <c r="B231" t="s">
        <v>4972</v>
      </c>
      <c r="C231" t="s">
        <v>74</v>
      </c>
      <c r="D231" t="s">
        <v>74</v>
      </c>
      <c r="E231" t="s">
        <v>74</v>
      </c>
      <c r="F231" t="s">
        <v>4973</v>
      </c>
      <c r="G231" t="s">
        <v>74</v>
      </c>
      <c r="H231" t="s">
        <v>74</v>
      </c>
      <c r="I231" t="s">
        <v>4974</v>
      </c>
      <c r="J231" t="s">
        <v>4975</v>
      </c>
      <c r="K231" t="s">
        <v>74</v>
      </c>
      <c r="L231" t="s">
        <v>74</v>
      </c>
      <c r="M231" t="s">
        <v>78</v>
      </c>
      <c r="N231" t="s">
        <v>79</v>
      </c>
      <c r="O231" t="s">
        <v>74</v>
      </c>
      <c r="P231" t="s">
        <v>74</v>
      </c>
      <c r="Q231" t="s">
        <v>74</v>
      </c>
      <c r="R231" t="s">
        <v>74</v>
      </c>
      <c r="S231" t="s">
        <v>74</v>
      </c>
      <c r="T231" t="s">
        <v>4976</v>
      </c>
      <c r="U231" t="s">
        <v>74</v>
      </c>
      <c r="V231" t="s">
        <v>4977</v>
      </c>
      <c r="W231" t="s">
        <v>4978</v>
      </c>
      <c r="X231" t="s">
        <v>4979</v>
      </c>
      <c r="Y231" t="s">
        <v>4980</v>
      </c>
      <c r="Z231" t="s">
        <v>4981</v>
      </c>
      <c r="AA231" t="s">
        <v>74</v>
      </c>
      <c r="AB231" t="s">
        <v>4982</v>
      </c>
      <c r="AC231" t="s">
        <v>74</v>
      </c>
      <c r="AD231" t="s">
        <v>74</v>
      </c>
      <c r="AE231" t="s">
        <v>74</v>
      </c>
      <c r="AF231" t="s">
        <v>74</v>
      </c>
      <c r="AG231">
        <v>21</v>
      </c>
      <c r="AH231">
        <v>9</v>
      </c>
      <c r="AI231">
        <v>9</v>
      </c>
      <c r="AJ231">
        <v>45</v>
      </c>
      <c r="AK231">
        <v>249</v>
      </c>
      <c r="AL231" t="s">
        <v>4983</v>
      </c>
      <c r="AM231" t="s">
        <v>4984</v>
      </c>
      <c r="AN231" t="s">
        <v>4985</v>
      </c>
      <c r="AO231" t="s">
        <v>4986</v>
      </c>
      <c r="AP231" t="s">
        <v>4987</v>
      </c>
      <c r="AQ231" t="s">
        <v>74</v>
      </c>
      <c r="AR231" t="s">
        <v>4988</v>
      </c>
      <c r="AS231" t="s">
        <v>4989</v>
      </c>
      <c r="AT231" t="s">
        <v>252</v>
      </c>
      <c r="AU231">
        <v>2021</v>
      </c>
      <c r="AV231">
        <v>10</v>
      </c>
      <c r="AW231">
        <v>1</v>
      </c>
      <c r="AX231" t="s">
        <v>74</v>
      </c>
      <c r="AY231" t="s">
        <v>74</v>
      </c>
      <c r="AZ231" t="s">
        <v>74</v>
      </c>
      <c r="BA231" t="s">
        <v>74</v>
      </c>
      <c r="BB231" t="s">
        <v>74</v>
      </c>
      <c r="BC231" t="s">
        <v>74</v>
      </c>
      <c r="BD231" t="s">
        <v>4990</v>
      </c>
      <c r="BE231" t="s">
        <v>4991</v>
      </c>
      <c r="BF231" t="str">
        <f>HYPERLINK("http://dx.doi.org/10.1002/wene.388","http://dx.doi.org/10.1002/wene.388")</f>
        <v>http://dx.doi.org/10.1002/wene.388</v>
      </c>
      <c r="BG231" t="s">
        <v>74</v>
      </c>
      <c r="BH231" t="s">
        <v>3429</v>
      </c>
      <c r="BI231">
        <v>12</v>
      </c>
      <c r="BJ231" t="s">
        <v>4992</v>
      </c>
      <c r="BK231" t="s">
        <v>100</v>
      </c>
      <c r="BL231" t="s">
        <v>4992</v>
      </c>
      <c r="BM231" t="s">
        <v>4993</v>
      </c>
      <c r="BN231" t="s">
        <v>74</v>
      </c>
      <c r="BO231" t="s">
        <v>74</v>
      </c>
      <c r="BP231" t="s">
        <v>74</v>
      </c>
      <c r="BQ231" t="s">
        <v>74</v>
      </c>
      <c r="BR231" t="s">
        <v>104</v>
      </c>
      <c r="BS231" t="s">
        <v>4994</v>
      </c>
      <c r="BT231" t="str">
        <f>HYPERLINK("https%3A%2F%2Fwww.webofscience.com%2Fwos%2Fwoscc%2Ffull-record%2FWOS:000579574600001","View Full Record in Web of Science")</f>
        <v>View Full Record in Web of Science</v>
      </c>
    </row>
    <row r="232" spans="1:72" x14ac:dyDescent="0.15">
      <c r="A232" t="s">
        <v>72</v>
      </c>
      <c r="B232" t="s">
        <v>4995</v>
      </c>
      <c r="C232" t="s">
        <v>74</v>
      </c>
      <c r="D232" t="s">
        <v>74</v>
      </c>
      <c r="E232" t="s">
        <v>74</v>
      </c>
      <c r="F232" t="s">
        <v>4996</v>
      </c>
      <c r="G232" t="s">
        <v>74</v>
      </c>
      <c r="H232" t="s">
        <v>74</v>
      </c>
      <c r="I232" t="s">
        <v>4997</v>
      </c>
      <c r="J232" t="s">
        <v>4998</v>
      </c>
      <c r="K232" t="s">
        <v>74</v>
      </c>
      <c r="L232" t="s">
        <v>74</v>
      </c>
      <c r="M232" t="s">
        <v>78</v>
      </c>
      <c r="N232" t="s">
        <v>79</v>
      </c>
      <c r="O232" t="s">
        <v>74</v>
      </c>
      <c r="P232" t="s">
        <v>74</v>
      </c>
      <c r="Q232" t="s">
        <v>74</v>
      </c>
      <c r="R232" t="s">
        <v>74</v>
      </c>
      <c r="S232" t="s">
        <v>74</v>
      </c>
      <c r="T232" t="s">
        <v>4999</v>
      </c>
      <c r="U232" t="s">
        <v>5000</v>
      </c>
      <c r="V232" t="s">
        <v>5001</v>
      </c>
      <c r="W232" t="s">
        <v>5002</v>
      </c>
      <c r="X232" t="s">
        <v>5003</v>
      </c>
      <c r="Y232" t="s">
        <v>5004</v>
      </c>
      <c r="Z232" t="s">
        <v>5005</v>
      </c>
      <c r="AA232" t="s">
        <v>74</v>
      </c>
      <c r="AB232" t="s">
        <v>74</v>
      </c>
      <c r="AC232" t="s">
        <v>5006</v>
      </c>
      <c r="AD232" t="s">
        <v>5007</v>
      </c>
      <c r="AE232" t="s">
        <v>5008</v>
      </c>
      <c r="AF232" t="s">
        <v>74</v>
      </c>
      <c r="AG232">
        <v>38</v>
      </c>
      <c r="AH232">
        <v>1</v>
      </c>
      <c r="AI232">
        <v>1</v>
      </c>
      <c r="AJ232">
        <v>1</v>
      </c>
      <c r="AK232">
        <v>5</v>
      </c>
      <c r="AL232" t="s">
        <v>5009</v>
      </c>
      <c r="AM232" t="s">
        <v>5010</v>
      </c>
      <c r="AN232" t="s">
        <v>5011</v>
      </c>
      <c r="AO232" t="s">
        <v>5012</v>
      </c>
      <c r="AP232" t="s">
        <v>5013</v>
      </c>
      <c r="AQ232" t="s">
        <v>74</v>
      </c>
      <c r="AR232" t="s">
        <v>5014</v>
      </c>
      <c r="AS232" t="s">
        <v>5015</v>
      </c>
      <c r="AT232" t="s">
        <v>5016</v>
      </c>
      <c r="AU232">
        <v>2020</v>
      </c>
      <c r="AV232">
        <v>129</v>
      </c>
      <c r="AW232">
        <v>1</v>
      </c>
      <c r="AX232" t="s">
        <v>74</v>
      </c>
      <c r="AY232" t="s">
        <v>74</v>
      </c>
      <c r="AZ232" t="s">
        <v>74</v>
      </c>
      <c r="BA232" t="s">
        <v>74</v>
      </c>
      <c r="BB232" t="s">
        <v>74</v>
      </c>
      <c r="BC232" t="s">
        <v>74</v>
      </c>
      <c r="BD232">
        <v>214</v>
      </c>
      <c r="BE232" t="s">
        <v>5017</v>
      </c>
      <c r="BF232" t="str">
        <f>HYPERLINK("http://dx.doi.org/10.1007/s12040-020-01484-z","http://dx.doi.org/10.1007/s12040-020-01484-z")</f>
        <v>http://dx.doi.org/10.1007/s12040-020-01484-z</v>
      </c>
      <c r="BG232" t="s">
        <v>74</v>
      </c>
      <c r="BH232" t="s">
        <v>74</v>
      </c>
      <c r="BI232">
        <v>8</v>
      </c>
      <c r="BJ232" t="s">
        <v>5018</v>
      </c>
      <c r="BK232" t="s">
        <v>100</v>
      </c>
      <c r="BL232" t="s">
        <v>5019</v>
      </c>
      <c r="BM232" t="s">
        <v>5020</v>
      </c>
      <c r="BN232" t="s">
        <v>74</v>
      </c>
      <c r="BO232" t="s">
        <v>74</v>
      </c>
      <c r="BP232" t="s">
        <v>74</v>
      </c>
      <c r="BQ232" t="s">
        <v>74</v>
      </c>
      <c r="BR232" t="s">
        <v>104</v>
      </c>
      <c r="BS232" t="s">
        <v>5021</v>
      </c>
      <c r="BT232" t="str">
        <f>HYPERLINK("https%3A%2F%2Fwww.webofscience.com%2Fwos%2Fwoscc%2Ffull-record%2FWOS:000584586900002","View Full Record in Web of Science")</f>
        <v>View Full Record in Web of Science</v>
      </c>
    </row>
    <row r="233" spans="1:72" x14ac:dyDescent="0.15">
      <c r="A233" t="s">
        <v>72</v>
      </c>
      <c r="B233" t="s">
        <v>5022</v>
      </c>
      <c r="C233" t="s">
        <v>74</v>
      </c>
      <c r="D233" t="s">
        <v>74</v>
      </c>
      <c r="E233" t="s">
        <v>74</v>
      </c>
      <c r="F233" t="s">
        <v>5023</v>
      </c>
      <c r="G233" t="s">
        <v>74</v>
      </c>
      <c r="H233" t="s">
        <v>74</v>
      </c>
      <c r="I233" t="s">
        <v>5024</v>
      </c>
      <c r="J233" t="s">
        <v>1063</v>
      </c>
      <c r="K233" t="s">
        <v>74</v>
      </c>
      <c r="L233" t="s">
        <v>74</v>
      </c>
      <c r="M233" t="s">
        <v>78</v>
      </c>
      <c r="N233" t="s">
        <v>138</v>
      </c>
      <c r="O233" t="s">
        <v>74</v>
      </c>
      <c r="P233" t="s">
        <v>74</v>
      </c>
      <c r="Q233" t="s">
        <v>74</v>
      </c>
      <c r="R233" t="s">
        <v>74</v>
      </c>
      <c r="S233" t="s">
        <v>74</v>
      </c>
      <c r="T233" t="s">
        <v>5025</v>
      </c>
      <c r="U233" t="s">
        <v>5026</v>
      </c>
      <c r="V233" t="s">
        <v>5027</v>
      </c>
      <c r="W233" t="s">
        <v>5028</v>
      </c>
      <c r="X233" t="s">
        <v>5029</v>
      </c>
      <c r="Y233" t="s">
        <v>5030</v>
      </c>
      <c r="Z233" t="s">
        <v>5031</v>
      </c>
      <c r="AA233" t="s">
        <v>5032</v>
      </c>
      <c r="AB233" t="s">
        <v>5033</v>
      </c>
      <c r="AC233" t="s">
        <v>5034</v>
      </c>
      <c r="AD233" t="s">
        <v>5035</v>
      </c>
      <c r="AE233" t="s">
        <v>5036</v>
      </c>
      <c r="AF233" t="s">
        <v>74</v>
      </c>
      <c r="AG233">
        <v>65</v>
      </c>
      <c r="AH233">
        <v>23</v>
      </c>
      <c r="AI233">
        <v>26</v>
      </c>
      <c r="AJ233">
        <v>5</v>
      </c>
      <c r="AK233">
        <v>30</v>
      </c>
      <c r="AL233" t="s">
        <v>482</v>
      </c>
      <c r="AM233" t="s">
        <v>483</v>
      </c>
      <c r="AN233" t="s">
        <v>484</v>
      </c>
      <c r="AO233" t="s">
        <v>1075</v>
      </c>
      <c r="AP233" t="s">
        <v>1076</v>
      </c>
      <c r="AQ233" t="s">
        <v>74</v>
      </c>
      <c r="AR233" t="s">
        <v>1077</v>
      </c>
      <c r="AS233" t="s">
        <v>1078</v>
      </c>
      <c r="AT233" t="s">
        <v>720</v>
      </c>
      <c r="AU233">
        <v>2020</v>
      </c>
      <c r="AV233">
        <v>43</v>
      </c>
      <c r="AW233">
        <v>12</v>
      </c>
      <c r="AX233" t="s">
        <v>74</v>
      </c>
      <c r="AY233" t="s">
        <v>74</v>
      </c>
      <c r="AZ233" t="s">
        <v>74</v>
      </c>
      <c r="BA233" t="s">
        <v>74</v>
      </c>
      <c r="BB233">
        <v>1947</v>
      </c>
      <c r="BC233">
        <v>1956</v>
      </c>
      <c r="BD233" t="s">
        <v>74</v>
      </c>
      <c r="BE233" t="s">
        <v>5037</v>
      </c>
      <c r="BF233" t="str">
        <f>HYPERLINK("http://dx.doi.org/10.1007/s00300-020-02759-3","http://dx.doi.org/10.1007/s00300-020-02759-3")</f>
        <v>http://dx.doi.org/10.1007/s00300-020-02759-3</v>
      </c>
      <c r="BG233" t="s">
        <v>74</v>
      </c>
      <c r="BH233" t="s">
        <v>3429</v>
      </c>
      <c r="BI233">
        <v>10</v>
      </c>
      <c r="BJ233" t="s">
        <v>1080</v>
      </c>
      <c r="BK233" t="s">
        <v>100</v>
      </c>
      <c r="BL233" t="s">
        <v>256</v>
      </c>
      <c r="BM233" t="s">
        <v>1081</v>
      </c>
      <c r="BN233" t="s">
        <v>74</v>
      </c>
      <c r="BO233" t="s">
        <v>701</v>
      </c>
      <c r="BP233" t="s">
        <v>74</v>
      </c>
      <c r="BQ233" t="s">
        <v>74</v>
      </c>
      <c r="BR233" t="s">
        <v>104</v>
      </c>
      <c r="BS233" t="s">
        <v>5038</v>
      </c>
      <c r="BT233" t="str">
        <f>HYPERLINK("https%3A%2F%2Fwww.webofscience.com%2Fwos%2Fwoscc%2Ffull-record%2FWOS:000579635500001","View Full Record in Web of Science")</f>
        <v>View Full Record in Web of Science</v>
      </c>
    </row>
    <row r="234" spans="1:72" x14ac:dyDescent="0.15">
      <c r="A234" t="s">
        <v>72</v>
      </c>
      <c r="B234" t="s">
        <v>5039</v>
      </c>
      <c r="C234" t="s">
        <v>74</v>
      </c>
      <c r="D234" t="s">
        <v>74</v>
      </c>
      <c r="E234" t="s">
        <v>74</v>
      </c>
      <c r="F234" t="s">
        <v>5040</v>
      </c>
      <c r="G234" t="s">
        <v>74</v>
      </c>
      <c r="H234" t="s">
        <v>74</v>
      </c>
      <c r="I234" t="s">
        <v>5041</v>
      </c>
      <c r="J234" t="s">
        <v>5042</v>
      </c>
      <c r="K234" t="s">
        <v>74</v>
      </c>
      <c r="L234" t="s">
        <v>74</v>
      </c>
      <c r="M234" t="s">
        <v>78</v>
      </c>
      <c r="N234" t="s">
        <v>79</v>
      </c>
      <c r="O234" t="s">
        <v>74</v>
      </c>
      <c r="P234" t="s">
        <v>74</v>
      </c>
      <c r="Q234" t="s">
        <v>74</v>
      </c>
      <c r="R234" t="s">
        <v>74</v>
      </c>
      <c r="S234" t="s">
        <v>74</v>
      </c>
      <c r="T234" t="s">
        <v>74</v>
      </c>
      <c r="U234" t="s">
        <v>5043</v>
      </c>
      <c r="V234" t="s">
        <v>5044</v>
      </c>
      <c r="W234" t="s">
        <v>5045</v>
      </c>
      <c r="X234" t="s">
        <v>5046</v>
      </c>
      <c r="Y234" t="s">
        <v>5047</v>
      </c>
      <c r="Z234" t="s">
        <v>5048</v>
      </c>
      <c r="AA234" t="s">
        <v>5049</v>
      </c>
      <c r="AB234" t="s">
        <v>5050</v>
      </c>
      <c r="AC234" t="s">
        <v>5051</v>
      </c>
      <c r="AD234" t="s">
        <v>5052</v>
      </c>
      <c r="AE234" t="s">
        <v>5053</v>
      </c>
      <c r="AF234" t="s">
        <v>74</v>
      </c>
      <c r="AG234">
        <v>46</v>
      </c>
      <c r="AH234">
        <v>7</v>
      </c>
      <c r="AI234">
        <v>8</v>
      </c>
      <c r="AJ234">
        <v>1</v>
      </c>
      <c r="AK234">
        <v>10</v>
      </c>
      <c r="AL234" t="s">
        <v>413</v>
      </c>
      <c r="AM234" t="s">
        <v>322</v>
      </c>
      <c r="AN234" t="s">
        <v>323</v>
      </c>
      <c r="AO234" t="s">
        <v>74</v>
      </c>
      <c r="AP234" t="s">
        <v>5054</v>
      </c>
      <c r="AQ234" t="s">
        <v>74</v>
      </c>
      <c r="AR234" t="s">
        <v>5055</v>
      </c>
      <c r="AS234" t="s">
        <v>5056</v>
      </c>
      <c r="AT234" t="s">
        <v>5057</v>
      </c>
      <c r="AU234">
        <v>2020</v>
      </c>
      <c r="AV234">
        <v>3</v>
      </c>
      <c r="AW234">
        <v>1</v>
      </c>
      <c r="AX234" t="s">
        <v>74</v>
      </c>
      <c r="AY234" t="s">
        <v>74</v>
      </c>
      <c r="AZ234" t="s">
        <v>74</v>
      </c>
      <c r="BA234" t="s">
        <v>74</v>
      </c>
      <c r="BB234" t="s">
        <v>74</v>
      </c>
      <c r="BC234" t="s">
        <v>74</v>
      </c>
      <c r="BD234">
        <v>582</v>
      </c>
      <c r="BE234" t="s">
        <v>5058</v>
      </c>
      <c r="BF234" t="str">
        <f>HYPERLINK("http://dx.doi.org/10.1038/s42003-020-01310-8","http://dx.doi.org/10.1038/s42003-020-01310-8")</f>
        <v>http://dx.doi.org/10.1038/s42003-020-01310-8</v>
      </c>
      <c r="BG234" t="s">
        <v>74</v>
      </c>
      <c r="BH234" t="s">
        <v>74</v>
      </c>
      <c r="BI234">
        <v>7</v>
      </c>
      <c r="BJ234" t="s">
        <v>5059</v>
      </c>
      <c r="BK234" t="s">
        <v>100</v>
      </c>
      <c r="BL234" t="s">
        <v>5060</v>
      </c>
      <c r="BM234" t="s">
        <v>5061</v>
      </c>
      <c r="BN234">
        <v>33067525</v>
      </c>
      <c r="BO234" t="s">
        <v>5062</v>
      </c>
      <c r="BP234" t="s">
        <v>74</v>
      </c>
      <c r="BQ234" t="s">
        <v>74</v>
      </c>
      <c r="BR234" t="s">
        <v>104</v>
      </c>
      <c r="BS234" t="s">
        <v>5063</v>
      </c>
      <c r="BT234" t="str">
        <f>HYPERLINK("https%3A%2F%2Fwww.webofscience.com%2Fwos%2Fwoscc%2Ffull-record%2FWOS:000583305400007","View Full Record in Web of Science")</f>
        <v>View Full Record in Web of Science</v>
      </c>
    </row>
    <row r="235" spans="1:72" x14ac:dyDescent="0.15">
      <c r="A235" t="s">
        <v>72</v>
      </c>
      <c r="B235" t="s">
        <v>5064</v>
      </c>
      <c r="C235" t="s">
        <v>74</v>
      </c>
      <c r="D235" t="s">
        <v>74</v>
      </c>
      <c r="E235" t="s">
        <v>74</v>
      </c>
      <c r="F235" t="s">
        <v>5065</v>
      </c>
      <c r="G235" t="s">
        <v>74</v>
      </c>
      <c r="H235" t="s">
        <v>74</v>
      </c>
      <c r="I235" t="s">
        <v>5066</v>
      </c>
      <c r="J235" t="s">
        <v>5067</v>
      </c>
      <c r="K235" t="s">
        <v>74</v>
      </c>
      <c r="L235" t="s">
        <v>74</v>
      </c>
      <c r="M235" t="s">
        <v>78</v>
      </c>
      <c r="N235" t="s">
        <v>79</v>
      </c>
      <c r="O235" t="s">
        <v>74</v>
      </c>
      <c r="P235" t="s">
        <v>74</v>
      </c>
      <c r="Q235" t="s">
        <v>74</v>
      </c>
      <c r="R235" t="s">
        <v>74</v>
      </c>
      <c r="S235" t="s">
        <v>74</v>
      </c>
      <c r="T235" t="s">
        <v>5068</v>
      </c>
      <c r="U235" t="s">
        <v>5069</v>
      </c>
      <c r="V235" t="s">
        <v>5070</v>
      </c>
      <c r="W235" t="s">
        <v>5071</v>
      </c>
      <c r="X235" t="s">
        <v>5072</v>
      </c>
      <c r="Y235" t="s">
        <v>5073</v>
      </c>
      <c r="Z235" t="s">
        <v>5074</v>
      </c>
      <c r="AA235" t="s">
        <v>5075</v>
      </c>
      <c r="AB235" t="s">
        <v>5076</v>
      </c>
      <c r="AC235" t="s">
        <v>74</v>
      </c>
      <c r="AD235" t="s">
        <v>74</v>
      </c>
      <c r="AE235" t="s">
        <v>74</v>
      </c>
      <c r="AF235" t="s">
        <v>74</v>
      </c>
      <c r="AG235">
        <v>41</v>
      </c>
      <c r="AH235">
        <v>13</v>
      </c>
      <c r="AI235">
        <v>13</v>
      </c>
      <c r="AJ235">
        <v>0</v>
      </c>
      <c r="AK235">
        <v>17</v>
      </c>
      <c r="AL235" t="s">
        <v>5077</v>
      </c>
      <c r="AM235" t="s">
        <v>693</v>
      </c>
      <c r="AN235" t="s">
        <v>5078</v>
      </c>
      <c r="AO235" t="s">
        <v>5079</v>
      </c>
      <c r="AP235" t="s">
        <v>5080</v>
      </c>
      <c r="AQ235" t="s">
        <v>74</v>
      </c>
      <c r="AR235" t="s">
        <v>5081</v>
      </c>
      <c r="AS235" t="s">
        <v>5082</v>
      </c>
      <c r="AT235" t="s">
        <v>5083</v>
      </c>
      <c r="AU235">
        <v>2021</v>
      </c>
      <c r="AV235">
        <v>111</v>
      </c>
      <c r="AW235">
        <v>4</v>
      </c>
      <c r="AX235" t="s">
        <v>74</v>
      </c>
      <c r="AY235" t="s">
        <v>74</v>
      </c>
      <c r="AZ235" t="s">
        <v>74</v>
      </c>
      <c r="BA235" t="s">
        <v>74</v>
      </c>
      <c r="BB235">
        <v>1147</v>
      </c>
      <c r="BC235">
        <v>1159</v>
      </c>
      <c r="BD235" t="s">
        <v>74</v>
      </c>
      <c r="BE235" t="s">
        <v>5084</v>
      </c>
      <c r="BF235" t="str">
        <f>HYPERLINK("http://dx.doi.org/10.1080/24694452.2020.1807308","http://dx.doi.org/10.1080/24694452.2020.1807308")</f>
        <v>http://dx.doi.org/10.1080/24694452.2020.1807308</v>
      </c>
      <c r="BG235" t="s">
        <v>74</v>
      </c>
      <c r="BH235" t="s">
        <v>3429</v>
      </c>
      <c r="BI235">
        <v>13</v>
      </c>
      <c r="BJ235" t="s">
        <v>5085</v>
      </c>
      <c r="BK235" t="s">
        <v>1580</v>
      </c>
      <c r="BL235" t="s">
        <v>5085</v>
      </c>
      <c r="BM235" t="s">
        <v>5086</v>
      </c>
      <c r="BN235" t="s">
        <v>74</v>
      </c>
      <c r="BO235" t="s">
        <v>74</v>
      </c>
      <c r="BP235" t="s">
        <v>74</v>
      </c>
      <c r="BQ235" t="s">
        <v>74</v>
      </c>
      <c r="BR235" t="s">
        <v>104</v>
      </c>
      <c r="BS235" t="s">
        <v>5087</v>
      </c>
      <c r="BT235" t="str">
        <f>HYPERLINK("https%3A%2F%2Fwww.webofscience.com%2Fwos%2Fwoscc%2Ffull-record%2FWOS:000579733000001","View Full Record in Web of Science")</f>
        <v>View Full Record in Web of Science</v>
      </c>
    </row>
    <row r="236" spans="1:72" x14ac:dyDescent="0.15">
      <c r="A236" t="s">
        <v>72</v>
      </c>
      <c r="B236" t="s">
        <v>5088</v>
      </c>
      <c r="C236" t="s">
        <v>74</v>
      </c>
      <c r="D236" t="s">
        <v>74</v>
      </c>
      <c r="E236" t="s">
        <v>74</v>
      </c>
      <c r="F236" t="s">
        <v>5089</v>
      </c>
      <c r="G236" t="s">
        <v>74</v>
      </c>
      <c r="H236" t="s">
        <v>74</v>
      </c>
      <c r="I236" t="s">
        <v>5090</v>
      </c>
      <c r="J236" t="s">
        <v>901</v>
      </c>
      <c r="K236" t="s">
        <v>74</v>
      </c>
      <c r="L236" t="s">
        <v>74</v>
      </c>
      <c r="M236" t="s">
        <v>78</v>
      </c>
      <c r="N236" t="s">
        <v>79</v>
      </c>
      <c r="O236" t="s">
        <v>74</v>
      </c>
      <c r="P236" t="s">
        <v>74</v>
      </c>
      <c r="Q236" t="s">
        <v>74</v>
      </c>
      <c r="R236" t="s">
        <v>74</v>
      </c>
      <c r="S236" t="s">
        <v>74</v>
      </c>
      <c r="T236" t="s">
        <v>5091</v>
      </c>
      <c r="U236" t="s">
        <v>5092</v>
      </c>
      <c r="V236" t="s">
        <v>5093</v>
      </c>
      <c r="W236" t="s">
        <v>5094</v>
      </c>
      <c r="X236" t="s">
        <v>5095</v>
      </c>
      <c r="Y236" t="s">
        <v>5096</v>
      </c>
      <c r="Z236" t="s">
        <v>5097</v>
      </c>
      <c r="AA236" t="s">
        <v>5098</v>
      </c>
      <c r="AB236" t="s">
        <v>5099</v>
      </c>
      <c r="AC236" t="s">
        <v>5100</v>
      </c>
      <c r="AD236" t="s">
        <v>5101</v>
      </c>
      <c r="AE236" t="s">
        <v>5102</v>
      </c>
      <c r="AF236" t="s">
        <v>74</v>
      </c>
      <c r="AG236">
        <v>158</v>
      </c>
      <c r="AH236">
        <v>29</v>
      </c>
      <c r="AI236">
        <v>30</v>
      </c>
      <c r="AJ236">
        <v>3</v>
      </c>
      <c r="AK236">
        <v>28</v>
      </c>
      <c r="AL236" t="s">
        <v>866</v>
      </c>
      <c r="AM236" t="s">
        <v>867</v>
      </c>
      <c r="AN236" t="s">
        <v>868</v>
      </c>
      <c r="AO236" t="s">
        <v>74</v>
      </c>
      <c r="AP236" t="s">
        <v>914</v>
      </c>
      <c r="AQ236" t="s">
        <v>74</v>
      </c>
      <c r="AR236" t="s">
        <v>915</v>
      </c>
      <c r="AS236" t="s">
        <v>916</v>
      </c>
      <c r="AT236" t="s">
        <v>5057</v>
      </c>
      <c r="AU236">
        <v>2020</v>
      </c>
      <c r="AV236">
        <v>7</v>
      </c>
      <c r="AW236" t="s">
        <v>74</v>
      </c>
      <c r="AX236" t="s">
        <v>74</v>
      </c>
      <c r="AY236" t="s">
        <v>74</v>
      </c>
      <c r="AZ236" t="s">
        <v>74</v>
      </c>
      <c r="BA236" t="s">
        <v>74</v>
      </c>
      <c r="BB236" t="s">
        <v>74</v>
      </c>
      <c r="BC236" t="s">
        <v>74</v>
      </c>
      <c r="BD236">
        <v>567877</v>
      </c>
      <c r="BE236" t="s">
        <v>5103</v>
      </c>
      <c r="BF236" t="str">
        <f>HYPERLINK("http://dx.doi.org/10.3389/fmars.2020.567877","http://dx.doi.org/10.3389/fmars.2020.567877")</f>
        <v>http://dx.doi.org/10.3389/fmars.2020.567877</v>
      </c>
      <c r="BG236" t="s">
        <v>74</v>
      </c>
      <c r="BH236" t="s">
        <v>74</v>
      </c>
      <c r="BI236">
        <v>23</v>
      </c>
      <c r="BJ236" t="s">
        <v>918</v>
      </c>
      <c r="BK236" t="s">
        <v>100</v>
      </c>
      <c r="BL236" t="s">
        <v>919</v>
      </c>
      <c r="BM236" t="s">
        <v>5104</v>
      </c>
      <c r="BN236" t="s">
        <v>74</v>
      </c>
      <c r="BO236" t="s">
        <v>5105</v>
      </c>
      <c r="BP236" t="s">
        <v>74</v>
      </c>
      <c r="BQ236" t="s">
        <v>74</v>
      </c>
      <c r="BR236" t="s">
        <v>104</v>
      </c>
      <c r="BS236" t="s">
        <v>5106</v>
      </c>
      <c r="BT236" t="str">
        <f>HYPERLINK("https%3A%2F%2Fwww.webofscience.com%2Fwos%2Fwoscc%2Ffull-record%2FWOS:000579839900001","View Full Record in Web of Science")</f>
        <v>View Full Record in Web of Science</v>
      </c>
    </row>
    <row r="237" spans="1:72" x14ac:dyDescent="0.15">
      <c r="A237" t="s">
        <v>72</v>
      </c>
      <c r="B237" t="s">
        <v>5107</v>
      </c>
      <c r="C237" t="s">
        <v>74</v>
      </c>
      <c r="D237" t="s">
        <v>74</v>
      </c>
      <c r="E237" t="s">
        <v>74</v>
      </c>
      <c r="F237" t="s">
        <v>5108</v>
      </c>
      <c r="G237" t="s">
        <v>74</v>
      </c>
      <c r="H237" t="s">
        <v>74</v>
      </c>
      <c r="I237" t="s">
        <v>5109</v>
      </c>
      <c r="J237" t="s">
        <v>4954</v>
      </c>
      <c r="K237" t="s">
        <v>74</v>
      </c>
      <c r="L237" t="s">
        <v>74</v>
      </c>
      <c r="M237" t="s">
        <v>78</v>
      </c>
      <c r="N237" t="s">
        <v>79</v>
      </c>
      <c r="O237" t="s">
        <v>74</v>
      </c>
      <c r="P237" t="s">
        <v>74</v>
      </c>
      <c r="Q237" t="s">
        <v>74</v>
      </c>
      <c r="R237" t="s">
        <v>74</v>
      </c>
      <c r="S237" t="s">
        <v>74</v>
      </c>
      <c r="T237" t="s">
        <v>5110</v>
      </c>
      <c r="U237" t="s">
        <v>5111</v>
      </c>
      <c r="V237" t="s">
        <v>5112</v>
      </c>
      <c r="W237" t="s">
        <v>5113</v>
      </c>
      <c r="X237" t="s">
        <v>5114</v>
      </c>
      <c r="Y237" t="s">
        <v>5115</v>
      </c>
      <c r="Z237" t="s">
        <v>5116</v>
      </c>
      <c r="AA237" t="s">
        <v>74</v>
      </c>
      <c r="AB237" t="s">
        <v>74</v>
      </c>
      <c r="AC237" t="s">
        <v>5117</v>
      </c>
      <c r="AD237" t="s">
        <v>5118</v>
      </c>
      <c r="AE237" t="s">
        <v>5119</v>
      </c>
      <c r="AF237" t="s">
        <v>74</v>
      </c>
      <c r="AG237">
        <v>35</v>
      </c>
      <c r="AH237">
        <v>5</v>
      </c>
      <c r="AI237">
        <v>7</v>
      </c>
      <c r="AJ237">
        <v>7</v>
      </c>
      <c r="AK237">
        <v>71</v>
      </c>
      <c r="AL237" t="s">
        <v>219</v>
      </c>
      <c r="AM237" t="s">
        <v>220</v>
      </c>
      <c r="AN237" t="s">
        <v>221</v>
      </c>
      <c r="AO237" t="s">
        <v>4965</v>
      </c>
      <c r="AP237" t="s">
        <v>4966</v>
      </c>
      <c r="AQ237" t="s">
        <v>74</v>
      </c>
      <c r="AR237" t="s">
        <v>4967</v>
      </c>
      <c r="AS237" t="s">
        <v>4968</v>
      </c>
      <c r="AT237" t="s">
        <v>1212</v>
      </c>
      <c r="AU237">
        <v>2020</v>
      </c>
      <c r="AV237">
        <v>85</v>
      </c>
      <c r="AW237">
        <v>11</v>
      </c>
      <c r="AX237" t="s">
        <v>74</v>
      </c>
      <c r="AY237" t="s">
        <v>74</v>
      </c>
      <c r="AZ237" t="s">
        <v>74</v>
      </c>
      <c r="BA237" t="s">
        <v>74</v>
      </c>
      <c r="BB237">
        <v>3797</v>
      </c>
      <c r="BC237">
        <v>3805</v>
      </c>
      <c r="BD237" t="s">
        <v>74</v>
      </c>
      <c r="BE237" t="s">
        <v>5120</v>
      </c>
      <c r="BF237" t="str">
        <f>HYPERLINK("http://dx.doi.org/10.1111/1750-3841.15500","http://dx.doi.org/10.1111/1750-3841.15500")</f>
        <v>http://dx.doi.org/10.1111/1750-3841.15500</v>
      </c>
      <c r="BG237" t="s">
        <v>74</v>
      </c>
      <c r="BH237" t="s">
        <v>3429</v>
      </c>
      <c r="BI237">
        <v>9</v>
      </c>
      <c r="BJ237" t="s">
        <v>3107</v>
      </c>
      <c r="BK237" t="s">
        <v>100</v>
      </c>
      <c r="BL237" t="s">
        <v>3107</v>
      </c>
      <c r="BM237" t="s">
        <v>4970</v>
      </c>
      <c r="BN237">
        <v>33067851</v>
      </c>
      <c r="BO237" t="s">
        <v>74</v>
      </c>
      <c r="BP237" t="s">
        <v>74</v>
      </c>
      <c r="BQ237" t="s">
        <v>74</v>
      </c>
      <c r="BR237" t="s">
        <v>104</v>
      </c>
      <c r="BS237" t="s">
        <v>5121</v>
      </c>
      <c r="BT237" t="str">
        <f>HYPERLINK("https%3A%2F%2Fwww.webofscience.com%2Fwos%2Fwoscc%2Ffull-record%2FWOS:000577981100001","View Full Record in Web of Science")</f>
        <v>View Full Record in Web of Science</v>
      </c>
    </row>
    <row r="238" spans="1:72" x14ac:dyDescent="0.15">
      <c r="A238" t="s">
        <v>72</v>
      </c>
      <c r="B238" t="s">
        <v>5122</v>
      </c>
      <c r="C238" t="s">
        <v>74</v>
      </c>
      <c r="D238" t="s">
        <v>74</v>
      </c>
      <c r="E238" t="s">
        <v>74</v>
      </c>
      <c r="F238" t="s">
        <v>5123</v>
      </c>
      <c r="G238" t="s">
        <v>74</v>
      </c>
      <c r="H238" t="s">
        <v>74</v>
      </c>
      <c r="I238" t="s">
        <v>5124</v>
      </c>
      <c r="J238" t="s">
        <v>1063</v>
      </c>
      <c r="K238" t="s">
        <v>74</v>
      </c>
      <c r="L238" t="s">
        <v>74</v>
      </c>
      <c r="M238" t="s">
        <v>78</v>
      </c>
      <c r="N238" t="s">
        <v>79</v>
      </c>
      <c r="O238" t="s">
        <v>74</v>
      </c>
      <c r="P238" t="s">
        <v>74</v>
      </c>
      <c r="Q238" t="s">
        <v>74</v>
      </c>
      <c r="R238" t="s">
        <v>74</v>
      </c>
      <c r="S238" t="s">
        <v>74</v>
      </c>
      <c r="T238" t="s">
        <v>5125</v>
      </c>
      <c r="U238" t="s">
        <v>5126</v>
      </c>
      <c r="V238" t="s">
        <v>5127</v>
      </c>
      <c r="W238" t="s">
        <v>5128</v>
      </c>
      <c r="X238" t="s">
        <v>5129</v>
      </c>
      <c r="Y238" t="s">
        <v>5130</v>
      </c>
      <c r="Z238" t="s">
        <v>5131</v>
      </c>
      <c r="AA238" t="s">
        <v>74</v>
      </c>
      <c r="AB238" t="s">
        <v>5132</v>
      </c>
      <c r="AC238" t="s">
        <v>5133</v>
      </c>
      <c r="AD238" t="s">
        <v>5133</v>
      </c>
      <c r="AE238" t="s">
        <v>5134</v>
      </c>
      <c r="AF238" t="s">
        <v>74</v>
      </c>
      <c r="AG238">
        <v>104</v>
      </c>
      <c r="AH238">
        <v>12</v>
      </c>
      <c r="AI238">
        <v>12</v>
      </c>
      <c r="AJ238">
        <v>2</v>
      </c>
      <c r="AK238">
        <v>15</v>
      </c>
      <c r="AL238" t="s">
        <v>482</v>
      </c>
      <c r="AM238" t="s">
        <v>483</v>
      </c>
      <c r="AN238" t="s">
        <v>484</v>
      </c>
      <c r="AO238" t="s">
        <v>1075</v>
      </c>
      <c r="AP238" t="s">
        <v>1076</v>
      </c>
      <c r="AQ238" t="s">
        <v>74</v>
      </c>
      <c r="AR238" t="s">
        <v>1077</v>
      </c>
      <c r="AS238" t="s">
        <v>1078</v>
      </c>
      <c r="AT238" t="s">
        <v>720</v>
      </c>
      <c r="AU238">
        <v>2020</v>
      </c>
      <c r="AV238">
        <v>43</v>
      </c>
      <c r="AW238">
        <v>12</v>
      </c>
      <c r="AX238" t="s">
        <v>74</v>
      </c>
      <c r="AY238" t="s">
        <v>74</v>
      </c>
      <c r="AZ238" t="s">
        <v>74</v>
      </c>
      <c r="BA238" t="s">
        <v>74</v>
      </c>
      <c r="BB238">
        <v>1967</v>
      </c>
      <c r="BC238">
        <v>1983</v>
      </c>
      <c r="BD238" t="s">
        <v>74</v>
      </c>
      <c r="BE238" t="s">
        <v>5135</v>
      </c>
      <c r="BF238" t="str">
        <f>HYPERLINK("http://dx.doi.org/10.1007/s00300-020-02754-8","http://dx.doi.org/10.1007/s00300-020-02754-8")</f>
        <v>http://dx.doi.org/10.1007/s00300-020-02754-8</v>
      </c>
      <c r="BG238" t="s">
        <v>74</v>
      </c>
      <c r="BH238" t="s">
        <v>3429</v>
      </c>
      <c r="BI238">
        <v>17</v>
      </c>
      <c r="BJ238" t="s">
        <v>1080</v>
      </c>
      <c r="BK238" t="s">
        <v>100</v>
      </c>
      <c r="BL238" t="s">
        <v>256</v>
      </c>
      <c r="BM238" t="s">
        <v>1081</v>
      </c>
      <c r="BN238" t="s">
        <v>74</v>
      </c>
      <c r="BO238" t="s">
        <v>1825</v>
      </c>
      <c r="BP238" t="s">
        <v>74</v>
      </c>
      <c r="BQ238" t="s">
        <v>74</v>
      </c>
      <c r="BR238" t="s">
        <v>104</v>
      </c>
      <c r="BS238" t="s">
        <v>5136</v>
      </c>
      <c r="BT238" t="str">
        <f>HYPERLINK("https%3A%2F%2Fwww.webofscience.com%2Fwos%2Fwoscc%2Ffull-record%2FWOS:000578347700002","View Full Record in Web of Science")</f>
        <v>View Full Record in Web of Science</v>
      </c>
    </row>
    <row r="239" spans="1:72" x14ac:dyDescent="0.15">
      <c r="A239" t="s">
        <v>72</v>
      </c>
      <c r="B239" t="s">
        <v>5137</v>
      </c>
      <c r="C239" t="s">
        <v>74</v>
      </c>
      <c r="D239" t="s">
        <v>74</v>
      </c>
      <c r="E239" t="s">
        <v>74</v>
      </c>
      <c r="F239" t="s">
        <v>5138</v>
      </c>
      <c r="G239" t="s">
        <v>74</v>
      </c>
      <c r="H239" t="s">
        <v>74</v>
      </c>
      <c r="I239" t="s">
        <v>5139</v>
      </c>
      <c r="J239" t="s">
        <v>1063</v>
      </c>
      <c r="K239" t="s">
        <v>74</v>
      </c>
      <c r="L239" t="s">
        <v>74</v>
      </c>
      <c r="M239" t="s">
        <v>78</v>
      </c>
      <c r="N239" t="s">
        <v>79</v>
      </c>
      <c r="O239" t="s">
        <v>74</v>
      </c>
      <c r="P239" t="s">
        <v>74</v>
      </c>
      <c r="Q239" t="s">
        <v>74</v>
      </c>
      <c r="R239" t="s">
        <v>74</v>
      </c>
      <c r="S239" t="s">
        <v>74</v>
      </c>
      <c r="T239" t="s">
        <v>5140</v>
      </c>
      <c r="U239" t="s">
        <v>5141</v>
      </c>
      <c r="V239" t="s">
        <v>5142</v>
      </c>
      <c r="W239" t="s">
        <v>5143</v>
      </c>
      <c r="X239" t="s">
        <v>5144</v>
      </c>
      <c r="Y239" t="s">
        <v>5145</v>
      </c>
      <c r="Z239" t="s">
        <v>5146</v>
      </c>
      <c r="AA239" t="s">
        <v>5147</v>
      </c>
      <c r="AB239" t="s">
        <v>5148</v>
      </c>
      <c r="AC239" t="s">
        <v>5149</v>
      </c>
      <c r="AD239" t="s">
        <v>5150</v>
      </c>
      <c r="AE239" t="s">
        <v>5151</v>
      </c>
      <c r="AF239" t="s">
        <v>74</v>
      </c>
      <c r="AG239">
        <v>85</v>
      </c>
      <c r="AH239">
        <v>8</v>
      </c>
      <c r="AI239">
        <v>8</v>
      </c>
      <c r="AJ239">
        <v>0</v>
      </c>
      <c r="AK239">
        <v>17</v>
      </c>
      <c r="AL239" t="s">
        <v>482</v>
      </c>
      <c r="AM239" t="s">
        <v>483</v>
      </c>
      <c r="AN239" t="s">
        <v>484</v>
      </c>
      <c r="AO239" t="s">
        <v>1075</v>
      </c>
      <c r="AP239" t="s">
        <v>1076</v>
      </c>
      <c r="AQ239" t="s">
        <v>74</v>
      </c>
      <c r="AR239" t="s">
        <v>1077</v>
      </c>
      <c r="AS239" t="s">
        <v>1078</v>
      </c>
      <c r="AT239" t="s">
        <v>720</v>
      </c>
      <c r="AU239">
        <v>2020</v>
      </c>
      <c r="AV239">
        <v>43</v>
      </c>
      <c r="AW239">
        <v>12</v>
      </c>
      <c r="AX239" t="s">
        <v>74</v>
      </c>
      <c r="AY239" t="s">
        <v>74</v>
      </c>
      <c r="AZ239" t="s">
        <v>74</v>
      </c>
      <c r="BA239" t="s">
        <v>74</v>
      </c>
      <c r="BB239">
        <v>1985</v>
      </c>
      <c r="BC239">
        <v>1999</v>
      </c>
      <c r="BD239" t="s">
        <v>74</v>
      </c>
      <c r="BE239" t="s">
        <v>5152</v>
      </c>
      <c r="BF239" t="str">
        <f>HYPERLINK("http://dx.doi.org/10.1007/s00300-020-02755-7","http://dx.doi.org/10.1007/s00300-020-02755-7")</f>
        <v>http://dx.doi.org/10.1007/s00300-020-02755-7</v>
      </c>
      <c r="BG239" t="s">
        <v>74</v>
      </c>
      <c r="BH239" t="s">
        <v>3429</v>
      </c>
      <c r="BI239">
        <v>15</v>
      </c>
      <c r="BJ239" t="s">
        <v>1080</v>
      </c>
      <c r="BK239" t="s">
        <v>100</v>
      </c>
      <c r="BL239" t="s">
        <v>256</v>
      </c>
      <c r="BM239" t="s">
        <v>1081</v>
      </c>
      <c r="BN239" t="s">
        <v>74</v>
      </c>
      <c r="BO239" t="s">
        <v>701</v>
      </c>
      <c r="BP239" t="s">
        <v>74</v>
      </c>
      <c r="BQ239" t="s">
        <v>74</v>
      </c>
      <c r="BR239" t="s">
        <v>104</v>
      </c>
      <c r="BS239" t="s">
        <v>5153</v>
      </c>
      <c r="BT239" t="str">
        <f>HYPERLINK("https%3A%2F%2Fwww.webofscience.com%2Fwos%2Fwoscc%2Ffull-record%2FWOS:000578347700001","View Full Record in Web of Science")</f>
        <v>View Full Record in Web of Science</v>
      </c>
    </row>
    <row r="240" spans="1:72" x14ac:dyDescent="0.15">
      <c r="A240" t="s">
        <v>72</v>
      </c>
      <c r="B240" t="s">
        <v>5154</v>
      </c>
      <c r="C240" t="s">
        <v>74</v>
      </c>
      <c r="D240" t="s">
        <v>74</v>
      </c>
      <c r="E240" t="s">
        <v>74</v>
      </c>
      <c r="F240" t="s">
        <v>5155</v>
      </c>
      <c r="G240" t="s">
        <v>74</v>
      </c>
      <c r="H240" t="s">
        <v>74</v>
      </c>
      <c r="I240" t="s">
        <v>5156</v>
      </c>
      <c r="J240" t="s">
        <v>1063</v>
      </c>
      <c r="K240" t="s">
        <v>74</v>
      </c>
      <c r="L240" t="s">
        <v>74</v>
      </c>
      <c r="M240" t="s">
        <v>78</v>
      </c>
      <c r="N240" t="s">
        <v>79</v>
      </c>
      <c r="O240" t="s">
        <v>74</v>
      </c>
      <c r="P240" t="s">
        <v>74</v>
      </c>
      <c r="Q240" t="s">
        <v>74</v>
      </c>
      <c r="R240" t="s">
        <v>74</v>
      </c>
      <c r="S240" t="s">
        <v>74</v>
      </c>
      <c r="T240" t="s">
        <v>5157</v>
      </c>
      <c r="U240" t="s">
        <v>5158</v>
      </c>
      <c r="V240" t="s">
        <v>5159</v>
      </c>
      <c r="W240" t="s">
        <v>5160</v>
      </c>
      <c r="X240" t="s">
        <v>5161</v>
      </c>
      <c r="Y240" t="s">
        <v>5162</v>
      </c>
      <c r="Z240" t="s">
        <v>5163</v>
      </c>
      <c r="AA240" t="s">
        <v>5164</v>
      </c>
      <c r="AB240" t="s">
        <v>5165</v>
      </c>
      <c r="AC240" t="s">
        <v>5166</v>
      </c>
      <c r="AD240" t="s">
        <v>5167</v>
      </c>
      <c r="AE240" t="s">
        <v>5168</v>
      </c>
      <c r="AF240" t="s">
        <v>74</v>
      </c>
      <c r="AG240">
        <v>36</v>
      </c>
      <c r="AH240">
        <v>4</v>
      </c>
      <c r="AI240">
        <v>4</v>
      </c>
      <c r="AJ240">
        <v>0</v>
      </c>
      <c r="AK240">
        <v>14</v>
      </c>
      <c r="AL240" t="s">
        <v>482</v>
      </c>
      <c r="AM240" t="s">
        <v>483</v>
      </c>
      <c r="AN240" t="s">
        <v>484</v>
      </c>
      <c r="AO240" t="s">
        <v>1075</v>
      </c>
      <c r="AP240" t="s">
        <v>1076</v>
      </c>
      <c r="AQ240" t="s">
        <v>74</v>
      </c>
      <c r="AR240" t="s">
        <v>1077</v>
      </c>
      <c r="AS240" t="s">
        <v>1078</v>
      </c>
      <c r="AT240" t="s">
        <v>720</v>
      </c>
      <c r="AU240">
        <v>2020</v>
      </c>
      <c r="AV240">
        <v>43</v>
      </c>
      <c r="AW240">
        <v>12</v>
      </c>
      <c r="AX240" t="s">
        <v>74</v>
      </c>
      <c r="AY240" t="s">
        <v>74</v>
      </c>
      <c r="AZ240" t="s">
        <v>74</v>
      </c>
      <c r="BA240" t="s">
        <v>74</v>
      </c>
      <c r="BB240">
        <v>2011</v>
      </c>
      <c r="BC240">
        <v>2019</v>
      </c>
      <c r="BD240" t="s">
        <v>74</v>
      </c>
      <c r="BE240" t="s">
        <v>5169</v>
      </c>
      <c r="BF240" t="str">
        <f>HYPERLINK("http://dx.doi.org/10.1007/s00300-020-02761-9","http://dx.doi.org/10.1007/s00300-020-02761-9")</f>
        <v>http://dx.doi.org/10.1007/s00300-020-02761-9</v>
      </c>
      <c r="BG240" t="s">
        <v>74</v>
      </c>
      <c r="BH240" t="s">
        <v>3429</v>
      </c>
      <c r="BI240">
        <v>9</v>
      </c>
      <c r="BJ240" t="s">
        <v>1080</v>
      </c>
      <c r="BK240" t="s">
        <v>100</v>
      </c>
      <c r="BL240" t="s">
        <v>256</v>
      </c>
      <c r="BM240" t="s">
        <v>1081</v>
      </c>
      <c r="BN240" t="s">
        <v>74</v>
      </c>
      <c r="BO240" t="s">
        <v>1259</v>
      </c>
      <c r="BP240" t="s">
        <v>74</v>
      </c>
      <c r="BQ240" t="s">
        <v>74</v>
      </c>
      <c r="BR240" t="s">
        <v>104</v>
      </c>
      <c r="BS240" t="s">
        <v>5170</v>
      </c>
      <c r="BT240" t="str">
        <f>HYPERLINK("https%3A%2F%2Fwww.webofscience.com%2Fwos%2Fwoscc%2Ffull-record%2FWOS:000578347700003","View Full Record in Web of Science")</f>
        <v>View Full Record in Web of Science</v>
      </c>
    </row>
    <row r="241" spans="1:72" x14ac:dyDescent="0.15">
      <c r="A241" t="s">
        <v>72</v>
      </c>
      <c r="B241" t="s">
        <v>5171</v>
      </c>
      <c r="C241" t="s">
        <v>74</v>
      </c>
      <c r="D241" t="s">
        <v>74</v>
      </c>
      <c r="E241" t="s">
        <v>74</v>
      </c>
      <c r="F241" t="s">
        <v>5172</v>
      </c>
      <c r="G241" t="s">
        <v>74</v>
      </c>
      <c r="H241" t="s">
        <v>74</v>
      </c>
      <c r="I241" t="s">
        <v>5173</v>
      </c>
      <c r="J241" t="s">
        <v>3687</v>
      </c>
      <c r="K241" t="s">
        <v>74</v>
      </c>
      <c r="L241" t="s">
        <v>74</v>
      </c>
      <c r="M241" t="s">
        <v>78</v>
      </c>
      <c r="N241" t="s">
        <v>79</v>
      </c>
      <c r="O241" t="s">
        <v>74</v>
      </c>
      <c r="P241" t="s">
        <v>74</v>
      </c>
      <c r="Q241" t="s">
        <v>74</v>
      </c>
      <c r="R241" t="s">
        <v>74</v>
      </c>
      <c r="S241" t="s">
        <v>74</v>
      </c>
      <c r="T241" t="s">
        <v>5174</v>
      </c>
      <c r="U241" t="s">
        <v>5175</v>
      </c>
      <c r="V241" t="s">
        <v>5176</v>
      </c>
      <c r="W241" t="s">
        <v>5177</v>
      </c>
      <c r="X241" t="s">
        <v>5178</v>
      </c>
      <c r="Y241" t="s">
        <v>5179</v>
      </c>
      <c r="Z241" t="s">
        <v>5180</v>
      </c>
      <c r="AA241" t="s">
        <v>5181</v>
      </c>
      <c r="AB241" t="s">
        <v>5182</v>
      </c>
      <c r="AC241" t="s">
        <v>5183</v>
      </c>
      <c r="AD241" t="s">
        <v>5184</v>
      </c>
      <c r="AE241" t="s">
        <v>5185</v>
      </c>
      <c r="AF241" t="s">
        <v>74</v>
      </c>
      <c r="AG241">
        <v>42</v>
      </c>
      <c r="AH241">
        <v>16</v>
      </c>
      <c r="AI241">
        <v>16</v>
      </c>
      <c r="AJ241">
        <v>5</v>
      </c>
      <c r="AK241">
        <v>30</v>
      </c>
      <c r="AL241" t="s">
        <v>1710</v>
      </c>
      <c r="AM241" t="s">
        <v>609</v>
      </c>
      <c r="AN241" t="s">
        <v>1711</v>
      </c>
      <c r="AO241" t="s">
        <v>3699</v>
      </c>
      <c r="AP241" t="s">
        <v>3700</v>
      </c>
      <c r="AQ241" t="s">
        <v>74</v>
      </c>
      <c r="AR241" t="s">
        <v>3701</v>
      </c>
      <c r="AS241" t="s">
        <v>3702</v>
      </c>
      <c r="AT241" t="s">
        <v>5057</v>
      </c>
      <c r="AU241">
        <v>2020</v>
      </c>
      <c r="AV241">
        <v>47</v>
      </c>
      <c r="AW241">
        <v>19</v>
      </c>
      <c r="AX241" t="s">
        <v>74</v>
      </c>
      <c r="AY241" t="s">
        <v>74</v>
      </c>
      <c r="AZ241" t="s">
        <v>74</v>
      </c>
      <c r="BA241" t="s">
        <v>74</v>
      </c>
      <c r="BB241" t="s">
        <v>74</v>
      </c>
      <c r="BC241" t="s">
        <v>74</v>
      </c>
      <c r="BD241" t="s">
        <v>5186</v>
      </c>
      <c r="BE241" t="s">
        <v>5187</v>
      </c>
      <c r="BF241" t="str">
        <f>HYPERLINK("http://dx.doi.org/10.1029/2020GL089199","http://dx.doi.org/10.1029/2020GL089199")</f>
        <v>http://dx.doi.org/10.1029/2020GL089199</v>
      </c>
      <c r="BG241" t="s">
        <v>74</v>
      </c>
      <c r="BH241" t="s">
        <v>74</v>
      </c>
      <c r="BI241">
        <v>11</v>
      </c>
      <c r="BJ241" t="s">
        <v>534</v>
      </c>
      <c r="BK241" t="s">
        <v>100</v>
      </c>
      <c r="BL241" t="s">
        <v>535</v>
      </c>
      <c r="BM241" t="s">
        <v>5188</v>
      </c>
      <c r="BN241" t="s">
        <v>74</v>
      </c>
      <c r="BO241" t="s">
        <v>74</v>
      </c>
      <c r="BP241" t="s">
        <v>74</v>
      </c>
      <c r="BQ241" t="s">
        <v>74</v>
      </c>
      <c r="BR241" t="s">
        <v>104</v>
      </c>
      <c r="BS241" t="s">
        <v>5189</v>
      </c>
      <c r="BT241" t="str">
        <f>HYPERLINK("https%3A%2F%2Fwww.webofscience.com%2Fwos%2Fwoscc%2Ffull-record%2FWOS:000584669000069","View Full Record in Web of Science")</f>
        <v>View Full Record in Web of Science</v>
      </c>
    </row>
    <row r="242" spans="1:72" x14ac:dyDescent="0.15">
      <c r="A242" t="s">
        <v>72</v>
      </c>
      <c r="B242" t="s">
        <v>5190</v>
      </c>
      <c r="C242" t="s">
        <v>74</v>
      </c>
      <c r="D242" t="s">
        <v>74</v>
      </c>
      <c r="E242" t="s">
        <v>74</v>
      </c>
      <c r="F242" t="s">
        <v>5191</v>
      </c>
      <c r="G242" t="s">
        <v>74</v>
      </c>
      <c r="H242" t="s">
        <v>74</v>
      </c>
      <c r="I242" t="s">
        <v>5192</v>
      </c>
      <c r="J242" t="s">
        <v>381</v>
      </c>
      <c r="K242" t="s">
        <v>74</v>
      </c>
      <c r="L242" t="s">
        <v>74</v>
      </c>
      <c r="M242" t="s">
        <v>78</v>
      </c>
      <c r="N242" t="s">
        <v>79</v>
      </c>
      <c r="O242" t="s">
        <v>74</v>
      </c>
      <c r="P242" t="s">
        <v>74</v>
      </c>
      <c r="Q242" t="s">
        <v>74</v>
      </c>
      <c r="R242" t="s">
        <v>74</v>
      </c>
      <c r="S242" t="s">
        <v>74</v>
      </c>
      <c r="T242" t="s">
        <v>74</v>
      </c>
      <c r="U242" t="s">
        <v>5193</v>
      </c>
      <c r="V242" t="s">
        <v>5194</v>
      </c>
      <c r="W242" t="s">
        <v>5195</v>
      </c>
      <c r="X242" t="s">
        <v>5196</v>
      </c>
      <c r="Y242" t="s">
        <v>5197</v>
      </c>
      <c r="Z242" t="s">
        <v>5198</v>
      </c>
      <c r="AA242" t="s">
        <v>5199</v>
      </c>
      <c r="AB242" t="s">
        <v>5200</v>
      </c>
      <c r="AC242" t="s">
        <v>5201</v>
      </c>
      <c r="AD242" t="s">
        <v>5202</v>
      </c>
      <c r="AE242" t="s">
        <v>5203</v>
      </c>
      <c r="AF242" t="s">
        <v>74</v>
      </c>
      <c r="AG242">
        <v>73</v>
      </c>
      <c r="AH242">
        <v>43</v>
      </c>
      <c r="AI242">
        <v>50</v>
      </c>
      <c r="AJ242">
        <v>12</v>
      </c>
      <c r="AK242">
        <v>83</v>
      </c>
      <c r="AL242" t="s">
        <v>413</v>
      </c>
      <c r="AM242" t="s">
        <v>322</v>
      </c>
      <c r="AN242" t="s">
        <v>323</v>
      </c>
      <c r="AO242" t="s">
        <v>74</v>
      </c>
      <c r="AP242" t="s">
        <v>392</v>
      </c>
      <c r="AQ242" t="s">
        <v>74</v>
      </c>
      <c r="AR242" t="s">
        <v>393</v>
      </c>
      <c r="AS242" t="s">
        <v>394</v>
      </c>
      <c r="AT242" t="s">
        <v>5057</v>
      </c>
      <c r="AU242">
        <v>2020</v>
      </c>
      <c r="AV242">
        <v>11</v>
      </c>
      <c r="AW242">
        <v>1</v>
      </c>
      <c r="AX242" t="s">
        <v>74</v>
      </c>
      <c r="AY242" t="s">
        <v>74</v>
      </c>
      <c r="AZ242" t="s">
        <v>74</v>
      </c>
      <c r="BA242" t="s">
        <v>74</v>
      </c>
      <c r="BB242" t="s">
        <v>74</v>
      </c>
      <c r="BC242" t="s">
        <v>74</v>
      </c>
      <c r="BD242">
        <v>5249</v>
      </c>
      <c r="BE242" t="s">
        <v>5204</v>
      </c>
      <c r="BF242" t="str">
        <f>HYPERLINK("http://dx.doi.org/10.1038/s41467-020-18824-8","http://dx.doi.org/10.1038/s41467-020-18824-8")</f>
        <v>http://dx.doi.org/10.1038/s41467-020-18824-8</v>
      </c>
      <c r="BG242" t="s">
        <v>74</v>
      </c>
      <c r="BH242" t="s">
        <v>74</v>
      </c>
      <c r="BI242">
        <v>11</v>
      </c>
      <c r="BJ242" t="s">
        <v>329</v>
      </c>
      <c r="BK242" t="s">
        <v>100</v>
      </c>
      <c r="BL242" t="s">
        <v>330</v>
      </c>
      <c r="BM242" t="s">
        <v>5205</v>
      </c>
      <c r="BN242">
        <v>33067447</v>
      </c>
      <c r="BO242" t="s">
        <v>5105</v>
      </c>
      <c r="BP242" t="s">
        <v>74</v>
      </c>
      <c r="BQ242" t="s">
        <v>74</v>
      </c>
      <c r="BR242" t="s">
        <v>104</v>
      </c>
      <c r="BS242" t="s">
        <v>5206</v>
      </c>
      <c r="BT242" t="str">
        <f>HYPERLINK("https%3A%2F%2Fwww.webofscience.com%2Fwos%2Fwoscc%2Ffull-record%2FWOS:000582056600012","View Full Record in Web of Science")</f>
        <v>View Full Record in Web of Science</v>
      </c>
    </row>
    <row r="243" spans="1:72" x14ac:dyDescent="0.15">
      <c r="A243" t="s">
        <v>72</v>
      </c>
      <c r="B243" t="s">
        <v>5207</v>
      </c>
      <c r="C243" t="s">
        <v>74</v>
      </c>
      <c r="D243" t="s">
        <v>74</v>
      </c>
      <c r="E243" t="s">
        <v>74</v>
      </c>
      <c r="F243" t="s">
        <v>5208</v>
      </c>
      <c r="G243" t="s">
        <v>74</v>
      </c>
      <c r="H243" t="s">
        <v>74</v>
      </c>
      <c r="I243" t="s">
        <v>5209</v>
      </c>
      <c r="J243" t="s">
        <v>2049</v>
      </c>
      <c r="K243" t="s">
        <v>74</v>
      </c>
      <c r="L243" t="s">
        <v>74</v>
      </c>
      <c r="M243" t="s">
        <v>78</v>
      </c>
      <c r="N243" t="s">
        <v>79</v>
      </c>
      <c r="O243" t="s">
        <v>74</v>
      </c>
      <c r="P243" t="s">
        <v>74</v>
      </c>
      <c r="Q243" t="s">
        <v>74</v>
      </c>
      <c r="R243" t="s">
        <v>74</v>
      </c>
      <c r="S243" t="s">
        <v>74</v>
      </c>
      <c r="T243" t="s">
        <v>5210</v>
      </c>
      <c r="U243" t="s">
        <v>5211</v>
      </c>
      <c r="V243" t="s">
        <v>5212</v>
      </c>
      <c r="W243" t="s">
        <v>5213</v>
      </c>
      <c r="X243" t="s">
        <v>5214</v>
      </c>
      <c r="Y243" t="s">
        <v>5215</v>
      </c>
      <c r="Z243" t="s">
        <v>5216</v>
      </c>
      <c r="AA243" t="s">
        <v>74</v>
      </c>
      <c r="AB243" t="s">
        <v>5217</v>
      </c>
      <c r="AC243" t="s">
        <v>5218</v>
      </c>
      <c r="AD243" t="s">
        <v>5219</v>
      </c>
      <c r="AE243" t="s">
        <v>5220</v>
      </c>
      <c r="AF243" t="s">
        <v>74</v>
      </c>
      <c r="AG243">
        <v>34</v>
      </c>
      <c r="AH243">
        <v>9</v>
      </c>
      <c r="AI243">
        <v>9</v>
      </c>
      <c r="AJ243">
        <v>5</v>
      </c>
      <c r="AK243">
        <v>13</v>
      </c>
      <c r="AL243" t="s">
        <v>1495</v>
      </c>
      <c r="AM243" t="s">
        <v>1496</v>
      </c>
      <c r="AN243" t="s">
        <v>5221</v>
      </c>
      <c r="AO243" t="s">
        <v>2062</v>
      </c>
      <c r="AP243" t="s">
        <v>2063</v>
      </c>
      <c r="AQ243" t="s">
        <v>74</v>
      </c>
      <c r="AR243" t="s">
        <v>2064</v>
      </c>
      <c r="AS243" t="s">
        <v>2065</v>
      </c>
      <c r="AT243" t="s">
        <v>5222</v>
      </c>
      <c r="AU243">
        <v>2020</v>
      </c>
      <c r="AV243">
        <v>33</v>
      </c>
      <c r="AW243">
        <v>20</v>
      </c>
      <c r="AX243" t="s">
        <v>74</v>
      </c>
      <c r="AY243" t="s">
        <v>74</v>
      </c>
      <c r="AZ243" t="s">
        <v>74</v>
      </c>
      <c r="BA243" t="s">
        <v>74</v>
      </c>
      <c r="BB243">
        <v>8869</v>
      </c>
      <c r="BC243">
        <v>8884</v>
      </c>
      <c r="BD243" t="s">
        <v>74</v>
      </c>
      <c r="BE243" t="s">
        <v>5223</v>
      </c>
      <c r="BF243" t="str">
        <f>HYPERLINK("http://dx.doi.org/10.1175/JCLI-D-19-0867.1","http://dx.doi.org/10.1175/JCLI-D-19-0867.1")</f>
        <v>http://dx.doi.org/10.1175/JCLI-D-19-0867.1</v>
      </c>
      <c r="BG243" t="s">
        <v>74</v>
      </c>
      <c r="BH243" t="s">
        <v>74</v>
      </c>
      <c r="BI243">
        <v>16</v>
      </c>
      <c r="BJ243" t="s">
        <v>800</v>
      </c>
      <c r="BK243" t="s">
        <v>100</v>
      </c>
      <c r="BL243" t="s">
        <v>800</v>
      </c>
      <c r="BM243" t="s">
        <v>5224</v>
      </c>
      <c r="BN243" t="s">
        <v>74</v>
      </c>
      <c r="BO243" t="s">
        <v>74</v>
      </c>
      <c r="BP243" t="s">
        <v>74</v>
      </c>
      <c r="BQ243" t="s">
        <v>74</v>
      </c>
      <c r="BR243" t="s">
        <v>104</v>
      </c>
      <c r="BS243" t="s">
        <v>5225</v>
      </c>
      <c r="BT243" t="str">
        <f>HYPERLINK("https%3A%2F%2Fwww.webofscience.com%2Fwos%2Fwoscc%2Ffull-record%2FWOS:000615131400003","View Full Record in Web of Science")</f>
        <v>View Full Record in Web of Science</v>
      </c>
    </row>
    <row r="244" spans="1:72" x14ac:dyDescent="0.15">
      <c r="A244" t="s">
        <v>72</v>
      </c>
      <c r="B244" t="s">
        <v>5226</v>
      </c>
      <c r="C244" t="s">
        <v>74</v>
      </c>
      <c r="D244" t="s">
        <v>74</v>
      </c>
      <c r="E244" t="s">
        <v>74</v>
      </c>
      <c r="F244" t="s">
        <v>5227</v>
      </c>
      <c r="G244" t="s">
        <v>74</v>
      </c>
      <c r="H244" t="s">
        <v>74</v>
      </c>
      <c r="I244" t="s">
        <v>5228</v>
      </c>
      <c r="J244" t="s">
        <v>2049</v>
      </c>
      <c r="K244" t="s">
        <v>74</v>
      </c>
      <c r="L244" t="s">
        <v>74</v>
      </c>
      <c r="M244" t="s">
        <v>78</v>
      </c>
      <c r="N244" t="s">
        <v>79</v>
      </c>
      <c r="O244" t="s">
        <v>74</v>
      </c>
      <c r="P244" t="s">
        <v>74</v>
      </c>
      <c r="Q244" t="s">
        <v>74</v>
      </c>
      <c r="R244" t="s">
        <v>74</v>
      </c>
      <c r="S244" t="s">
        <v>74</v>
      </c>
      <c r="T244" t="s">
        <v>5229</v>
      </c>
      <c r="U244" t="s">
        <v>74</v>
      </c>
      <c r="V244" t="s">
        <v>5230</v>
      </c>
      <c r="W244" t="s">
        <v>5231</v>
      </c>
      <c r="X244" t="s">
        <v>5232</v>
      </c>
      <c r="Y244" t="s">
        <v>5233</v>
      </c>
      <c r="Z244" t="s">
        <v>5234</v>
      </c>
      <c r="AA244" t="s">
        <v>5235</v>
      </c>
      <c r="AB244" t="s">
        <v>5236</v>
      </c>
      <c r="AC244" t="s">
        <v>5237</v>
      </c>
      <c r="AD244" t="s">
        <v>5238</v>
      </c>
      <c r="AE244" t="s">
        <v>5239</v>
      </c>
      <c r="AF244" t="s">
        <v>74</v>
      </c>
      <c r="AG244">
        <v>78</v>
      </c>
      <c r="AH244">
        <v>19</v>
      </c>
      <c r="AI244">
        <v>20</v>
      </c>
      <c r="AJ244">
        <v>1</v>
      </c>
      <c r="AK244">
        <v>11</v>
      </c>
      <c r="AL244" t="s">
        <v>1495</v>
      </c>
      <c r="AM244" t="s">
        <v>1496</v>
      </c>
      <c r="AN244" t="s">
        <v>1497</v>
      </c>
      <c r="AO244" t="s">
        <v>2062</v>
      </c>
      <c r="AP244" t="s">
        <v>2063</v>
      </c>
      <c r="AQ244" t="s">
        <v>74</v>
      </c>
      <c r="AR244" t="s">
        <v>2064</v>
      </c>
      <c r="AS244" t="s">
        <v>2065</v>
      </c>
      <c r="AT244" t="s">
        <v>5222</v>
      </c>
      <c r="AU244">
        <v>2020</v>
      </c>
      <c r="AV244">
        <v>33</v>
      </c>
      <c r="AW244">
        <v>20</v>
      </c>
      <c r="AX244" t="s">
        <v>74</v>
      </c>
      <c r="AY244" t="s">
        <v>74</v>
      </c>
      <c r="AZ244" t="s">
        <v>74</v>
      </c>
      <c r="BA244" t="s">
        <v>74</v>
      </c>
      <c r="BB244">
        <v>8917</v>
      </c>
      <c r="BC244">
        <v>8938</v>
      </c>
      <c r="BD244" t="s">
        <v>74</v>
      </c>
      <c r="BE244" t="s">
        <v>5240</v>
      </c>
      <c r="BF244" t="str">
        <f>HYPERLINK("http://dx.doi.org/10.1175/JCLI-D-19-0881.1","http://dx.doi.org/10.1175/JCLI-D-19-0881.1")</f>
        <v>http://dx.doi.org/10.1175/JCLI-D-19-0881.1</v>
      </c>
      <c r="BG244" t="s">
        <v>74</v>
      </c>
      <c r="BH244" t="s">
        <v>74</v>
      </c>
      <c r="BI244">
        <v>22</v>
      </c>
      <c r="BJ244" t="s">
        <v>800</v>
      </c>
      <c r="BK244" t="s">
        <v>100</v>
      </c>
      <c r="BL244" t="s">
        <v>800</v>
      </c>
      <c r="BM244" t="s">
        <v>5224</v>
      </c>
      <c r="BN244" t="s">
        <v>74</v>
      </c>
      <c r="BO244" t="s">
        <v>1216</v>
      </c>
      <c r="BP244" t="s">
        <v>74</v>
      </c>
      <c r="BQ244" t="s">
        <v>74</v>
      </c>
      <c r="BR244" t="s">
        <v>104</v>
      </c>
      <c r="BS244" t="s">
        <v>5241</v>
      </c>
      <c r="BT244" t="str">
        <f>HYPERLINK("https%3A%2F%2Fwww.webofscience.com%2Fwos%2Fwoscc%2Ffull-record%2FWOS:000615131400006","View Full Record in Web of Science")</f>
        <v>View Full Record in Web of Science</v>
      </c>
    </row>
    <row r="245" spans="1:72" x14ac:dyDescent="0.15">
      <c r="A245" t="s">
        <v>72</v>
      </c>
      <c r="B245" t="s">
        <v>5242</v>
      </c>
      <c r="C245" t="s">
        <v>74</v>
      </c>
      <c r="D245" t="s">
        <v>74</v>
      </c>
      <c r="E245" t="s">
        <v>74</v>
      </c>
      <c r="F245" t="s">
        <v>5243</v>
      </c>
      <c r="G245" t="s">
        <v>74</v>
      </c>
      <c r="H245" t="s">
        <v>74</v>
      </c>
      <c r="I245" t="s">
        <v>5244</v>
      </c>
      <c r="J245" t="s">
        <v>2049</v>
      </c>
      <c r="K245" t="s">
        <v>74</v>
      </c>
      <c r="L245" t="s">
        <v>74</v>
      </c>
      <c r="M245" t="s">
        <v>78</v>
      </c>
      <c r="N245" t="s">
        <v>79</v>
      </c>
      <c r="O245" t="s">
        <v>74</v>
      </c>
      <c r="P245" t="s">
        <v>74</v>
      </c>
      <c r="Q245" t="s">
        <v>74</v>
      </c>
      <c r="R245" t="s">
        <v>74</v>
      </c>
      <c r="S245" t="s">
        <v>74</v>
      </c>
      <c r="T245" t="s">
        <v>5229</v>
      </c>
      <c r="U245" t="s">
        <v>74</v>
      </c>
      <c r="V245" t="s">
        <v>5245</v>
      </c>
      <c r="W245" t="s">
        <v>5246</v>
      </c>
      <c r="X245" t="s">
        <v>5247</v>
      </c>
      <c r="Y245" t="s">
        <v>5233</v>
      </c>
      <c r="Z245" t="s">
        <v>5248</v>
      </c>
      <c r="AA245" t="s">
        <v>5235</v>
      </c>
      <c r="AB245" t="s">
        <v>5249</v>
      </c>
      <c r="AC245" t="s">
        <v>5237</v>
      </c>
      <c r="AD245" t="s">
        <v>5238</v>
      </c>
      <c r="AE245" t="s">
        <v>5250</v>
      </c>
      <c r="AF245" t="s">
        <v>74</v>
      </c>
      <c r="AG245">
        <v>65</v>
      </c>
      <c r="AH245">
        <v>3</v>
      </c>
      <c r="AI245">
        <v>3</v>
      </c>
      <c r="AJ245">
        <v>2</v>
      </c>
      <c r="AK245">
        <v>9</v>
      </c>
      <c r="AL245" t="s">
        <v>1495</v>
      </c>
      <c r="AM245" t="s">
        <v>1496</v>
      </c>
      <c r="AN245" t="s">
        <v>1497</v>
      </c>
      <c r="AO245" t="s">
        <v>2062</v>
      </c>
      <c r="AP245" t="s">
        <v>2063</v>
      </c>
      <c r="AQ245" t="s">
        <v>74</v>
      </c>
      <c r="AR245" t="s">
        <v>2064</v>
      </c>
      <c r="AS245" t="s">
        <v>2065</v>
      </c>
      <c r="AT245" t="s">
        <v>5222</v>
      </c>
      <c r="AU245">
        <v>2020</v>
      </c>
      <c r="AV245">
        <v>33</v>
      </c>
      <c r="AW245">
        <v>20</v>
      </c>
      <c r="AX245" t="s">
        <v>74</v>
      </c>
      <c r="AY245" t="s">
        <v>74</v>
      </c>
      <c r="AZ245" t="s">
        <v>74</v>
      </c>
      <c r="BA245" t="s">
        <v>74</v>
      </c>
      <c r="BB245">
        <v>8939</v>
      </c>
      <c r="BC245">
        <v>8956</v>
      </c>
      <c r="BD245" t="s">
        <v>74</v>
      </c>
      <c r="BE245" t="s">
        <v>5251</v>
      </c>
      <c r="BF245" t="str">
        <f>HYPERLINK("http://dx.doi.org/10.1175/JCLI-D-19-0882.1","http://dx.doi.org/10.1175/JCLI-D-19-0882.1")</f>
        <v>http://dx.doi.org/10.1175/JCLI-D-19-0882.1</v>
      </c>
      <c r="BG245" t="s">
        <v>74</v>
      </c>
      <c r="BH245" t="s">
        <v>74</v>
      </c>
      <c r="BI245">
        <v>18</v>
      </c>
      <c r="BJ245" t="s">
        <v>800</v>
      </c>
      <c r="BK245" t="s">
        <v>100</v>
      </c>
      <c r="BL245" t="s">
        <v>800</v>
      </c>
      <c r="BM245" t="s">
        <v>5224</v>
      </c>
      <c r="BN245" t="s">
        <v>74</v>
      </c>
      <c r="BO245" t="s">
        <v>1233</v>
      </c>
      <c r="BP245" t="s">
        <v>74</v>
      </c>
      <c r="BQ245" t="s">
        <v>74</v>
      </c>
      <c r="BR245" t="s">
        <v>104</v>
      </c>
      <c r="BS245" t="s">
        <v>5252</v>
      </c>
      <c r="BT245" t="str">
        <f>HYPERLINK("https%3A%2F%2Fwww.webofscience.com%2Fwos%2Fwoscc%2Ffull-record%2FWOS:000615131400007","View Full Record in Web of Science")</f>
        <v>View Full Record in Web of Science</v>
      </c>
    </row>
    <row r="246" spans="1:72" x14ac:dyDescent="0.15">
      <c r="A246" t="s">
        <v>72</v>
      </c>
      <c r="B246" t="s">
        <v>5253</v>
      </c>
      <c r="C246" t="s">
        <v>74</v>
      </c>
      <c r="D246" t="s">
        <v>74</v>
      </c>
      <c r="E246" t="s">
        <v>74</v>
      </c>
      <c r="F246" t="s">
        <v>5254</v>
      </c>
      <c r="G246" t="s">
        <v>74</v>
      </c>
      <c r="H246" t="s">
        <v>74</v>
      </c>
      <c r="I246" t="s">
        <v>5255</v>
      </c>
      <c r="J246" t="s">
        <v>2655</v>
      </c>
      <c r="K246" t="s">
        <v>74</v>
      </c>
      <c r="L246" t="s">
        <v>74</v>
      </c>
      <c r="M246" t="s">
        <v>78</v>
      </c>
      <c r="N246" t="s">
        <v>79</v>
      </c>
      <c r="O246" t="s">
        <v>74</v>
      </c>
      <c r="P246" t="s">
        <v>74</v>
      </c>
      <c r="Q246" t="s">
        <v>74</v>
      </c>
      <c r="R246" t="s">
        <v>74</v>
      </c>
      <c r="S246" t="s">
        <v>74</v>
      </c>
      <c r="T246" t="s">
        <v>5256</v>
      </c>
      <c r="U246" t="s">
        <v>5257</v>
      </c>
      <c r="V246" t="s">
        <v>5258</v>
      </c>
      <c r="W246" t="s">
        <v>5259</v>
      </c>
      <c r="X246" t="s">
        <v>5260</v>
      </c>
      <c r="Y246" t="s">
        <v>5261</v>
      </c>
      <c r="Z246" t="s">
        <v>5262</v>
      </c>
      <c r="AA246" t="s">
        <v>5263</v>
      </c>
      <c r="AB246" t="s">
        <v>5264</v>
      </c>
      <c r="AC246" t="s">
        <v>5265</v>
      </c>
      <c r="AD246" t="s">
        <v>5266</v>
      </c>
      <c r="AE246" t="s">
        <v>5267</v>
      </c>
      <c r="AF246" t="s">
        <v>74</v>
      </c>
      <c r="AG246">
        <v>98</v>
      </c>
      <c r="AH246">
        <v>8</v>
      </c>
      <c r="AI246">
        <v>9</v>
      </c>
      <c r="AJ246">
        <v>0</v>
      </c>
      <c r="AK246">
        <v>9</v>
      </c>
      <c r="AL246" t="s">
        <v>1522</v>
      </c>
      <c r="AM246" t="s">
        <v>1407</v>
      </c>
      <c r="AN246" t="s">
        <v>1523</v>
      </c>
      <c r="AO246" t="s">
        <v>2668</v>
      </c>
      <c r="AP246" t="s">
        <v>74</v>
      </c>
      <c r="AQ246" t="s">
        <v>74</v>
      </c>
      <c r="AR246" t="s">
        <v>2669</v>
      </c>
      <c r="AS246" t="s">
        <v>2670</v>
      </c>
      <c r="AT246" t="s">
        <v>5222</v>
      </c>
      <c r="AU246">
        <v>2020</v>
      </c>
      <c r="AV246">
        <v>246</v>
      </c>
      <c r="AW246" t="s">
        <v>74</v>
      </c>
      <c r="AX246" t="s">
        <v>74</v>
      </c>
      <c r="AY246" t="s">
        <v>74</v>
      </c>
      <c r="AZ246" t="s">
        <v>74</v>
      </c>
      <c r="BA246" t="s">
        <v>74</v>
      </c>
      <c r="BB246" t="s">
        <v>74</v>
      </c>
      <c r="BC246" t="s">
        <v>74</v>
      </c>
      <c r="BD246">
        <v>106541</v>
      </c>
      <c r="BE246" t="s">
        <v>5268</v>
      </c>
      <c r="BF246" t="str">
        <f>HYPERLINK("http://dx.doi.org/10.1016/j.quascirev.2020.106541","http://dx.doi.org/10.1016/j.quascirev.2020.106541")</f>
        <v>http://dx.doi.org/10.1016/j.quascirev.2020.106541</v>
      </c>
      <c r="BG246" t="s">
        <v>74</v>
      </c>
      <c r="BH246" t="s">
        <v>74</v>
      </c>
      <c r="BI246">
        <v>17</v>
      </c>
      <c r="BJ246" t="s">
        <v>99</v>
      </c>
      <c r="BK246" t="s">
        <v>100</v>
      </c>
      <c r="BL246" t="s">
        <v>101</v>
      </c>
      <c r="BM246" t="s">
        <v>5269</v>
      </c>
      <c r="BN246" t="s">
        <v>74</v>
      </c>
      <c r="BO246" t="s">
        <v>1188</v>
      </c>
      <c r="BP246" t="s">
        <v>74</v>
      </c>
      <c r="BQ246" t="s">
        <v>74</v>
      </c>
      <c r="BR246" t="s">
        <v>104</v>
      </c>
      <c r="BS246" t="s">
        <v>5270</v>
      </c>
      <c r="BT246" t="str">
        <f>HYPERLINK("https%3A%2F%2Fwww.webofscience.com%2Fwos%2Fwoscc%2Ffull-record%2FWOS:000579381700003","View Full Record in Web of Science")</f>
        <v>View Full Record in Web of Science</v>
      </c>
    </row>
    <row r="247" spans="1:72" x14ac:dyDescent="0.15">
      <c r="A247" t="s">
        <v>72</v>
      </c>
      <c r="B247" t="s">
        <v>5271</v>
      </c>
      <c r="C247" t="s">
        <v>74</v>
      </c>
      <c r="D247" t="s">
        <v>74</v>
      </c>
      <c r="E247" t="s">
        <v>74</v>
      </c>
      <c r="F247" t="s">
        <v>5272</v>
      </c>
      <c r="G247" t="s">
        <v>74</v>
      </c>
      <c r="H247" t="s">
        <v>74</v>
      </c>
      <c r="I247" t="s">
        <v>5273</v>
      </c>
      <c r="J247" t="s">
        <v>2655</v>
      </c>
      <c r="K247" t="s">
        <v>74</v>
      </c>
      <c r="L247" t="s">
        <v>74</v>
      </c>
      <c r="M247" t="s">
        <v>78</v>
      </c>
      <c r="N247" t="s">
        <v>79</v>
      </c>
      <c r="O247" t="s">
        <v>74</v>
      </c>
      <c r="P247" t="s">
        <v>74</v>
      </c>
      <c r="Q247" t="s">
        <v>74</v>
      </c>
      <c r="R247" t="s">
        <v>74</v>
      </c>
      <c r="S247" t="s">
        <v>74</v>
      </c>
      <c r="T247" t="s">
        <v>5274</v>
      </c>
      <c r="U247" t="s">
        <v>5275</v>
      </c>
      <c r="V247" t="s">
        <v>5276</v>
      </c>
      <c r="W247" t="s">
        <v>5277</v>
      </c>
      <c r="X247" t="s">
        <v>5278</v>
      </c>
      <c r="Y247" t="s">
        <v>5279</v>
      </c>
      <c r="Z247" t="s">
        <v>5280</v>
      </c>
      <c r="AA247" t="s">
        <v>5281</v>
      </c>
      <c r="AB247" t="s">
        <v>74</v>
      </c>
      <c r="AC247" t="s">
        <v>5282</v>
      </c>
      <c r="AD247" t="s">
        <v>5283</v>
      </c>
      <c r="AE247" t="s">
        <v>5284</v>
      </c>
      <c r="AF247" t="s">
        <v>74</v>
      </c>
      <c r="AG247">
        <v>57</v>
      </c>
      <c r="AH247">
        <v>10</v>
      </c>
      <c r="AI247">
        <v>12</v>
      </c>
      <c r="AJ247">
        <v>0</v>
      </c>
      <c r="AK247">
        <v>32</v>
      </c>
      <c r="AL247" t="s">
        <v>1522</v>
      </c>
      <c r="AM247" t="s">
        <v>1407</v>
      </c>
      <c r="AN247" t="s">
        <v>1523</v>
      </c>
      <c r="AO247" t="s">
        <v>2668</v>
      </c>
      <c r="AP247" t="s">
        <v>74</v>
      </c>
      <c r="AQ247" t="s">
        <v>74</v>
      </c>
      <c r="AR247" t="s">
        <v>2669</v>
      </c>
      <c r="AS247" t="s">
        <v>2670</v>
      </c>
      <c r="AT247" t="s">
        <v>5222</v>
      </c>
      <c r="AU247">
        <v>2020</v>
      </c>
      <c r="AV247">
        <v>246</v>
      </c>
      <c r="AW247" t="s">
        <v>74</v>
      </c>
      <c r="AX247" t="s">
        <v>74</v>
      </c>
      <c r="AY247" t="s">
        <v>74</v>
      </c>
      <c r="AZ247" t="s">
        <v>74</v>
      </c>
      <c r="BA247" t="s">
        <v>74</v>
      </c>
      <c r="BB247" t="s">
        <v>74</v>
      </c>
      <c r="BC247" t="s">
        <v>74</v>
      </c>
      <c r="BD247">
        <v>106544</v>
      </c>
      <c r="BE247" t="s">
        <v>5285</v>
      </c>
      <c r="BF247" t="str">
        <f>HYPERLINK("http://dx.doi.org/10.1016/j.quascirev.2020.106544","http://dx.doi.org/10.1016/j.quascirev.2020.106544")</f>
        <v>http://dx.doi.org/10.1016/j.quascirev.2020.106544</v>
      </c>
      <c r="BG247" t="s">
        <v>74</v>
      </c>
      <c r="BH247" t="s">
        <v>74</v>
      </c>
      <c r="BI247">
        <v>13</v>
      </c>
      <c r="BJ247" t="s">
        <v>99</v>
      </c>
      <c r="BK247" t="s">
        <v>100</v>
      </c>
      <c r="BL247" t="s">
        <v>101</v>
      </c>
      <c r="BM247" t="s">
        <v>5269</v>
      </c>
      <c r="BN247" t="s">
        <v>74</v>
      </c>
      <c r="BO247" t="s">
        <v>74</v>
      </c>
      <c r="BP247" t="s">
        <v>74</v>
      </c>
      <c r="BQ247" t="s">
        <v>74</v>
      </c>
      <c r="BR247" t="s">
        <v>104</v>
      </c>
      <c r="BS247" t="s">
        <v>5286</v>
      </c>
      <c r="BT247" t="str">
        <f>HYPERLINK("https%3A%2F%2Fwww.webofscience.com%2Fwos%2Fwoscc%2Ffull-record%2FWOS:000579381700004","View Full Record in Web of Science")</f>
        <v>View Full Record in Web of Science</v>
      </c>
    </row>
    <row r="248" spans="1:72" x14ac:dyDescent="0.15">
      <c r="A248" t="s">
        <v>72</v>
      </c>
      <c r="B248" t="s">
        <v>5287</v>
      </c>
      <c r="C248" t="s">
        <v>74</v>
      </c>
      <c r="D248" t="s">
        <v>74</v>
      </c>
      <c r="E248" t="s">
        <v>74</v>
      </c>
      <c r="F248" t="s">
        <v>5288</v>
      </c>
      <c r="G248" t="s">
        <v>74</v>
      </c>
      <c r="H248" t="s">
        <v>74</v>
      </c>
      <c r="I248" t="s">
        <v>5289</v>
      </c>
      <c r="J248" t="s">
        <v>1063</v>
      </c>
      <c r="K248" t="s">
        <v>74</v>
      </c>
      <c r="L248" t="s">
        <v>74</v>
      </c>
      <c r="M248" t="s">
        <v>78</v>
      </c>
      <c r="N248" t="s">
        <v>79</v>
      </c>
      <c r="O248" t="s">
        <v>74</v>
      </c>
      <c r="P248" t="s">
        <v>74</v>
      </c>
      <c r="Q248" t="s">
        <v>74</v>
      </c>
      <c r="R248" t="s">
        <v>74</v>
      </c>
      <c r="S248" t="s">
        <v>74</v>
      </c>
      <c r="T248" t="s">
        <v>5290</v>
      </c>
      <c r="U248" t="s">
        <v>5291</v>
      </c>
      <c r="V248" t="s">
        <v>5292</v>
      </c>
      <c r="W248" t="s">
        <v>5293</v>
      </c>
      <c r="X248" t="s">
        <v>5294</v>
      </c>
      <c r="Y248" t="s">
        <v>5295</v>
      </c>
      <c r="Z248" t="s">
        <v>5296</v>
      </c>
      <c r="AA248" t="s">
        <v>5297</v>
      </c>
      <c r="AB248" t="s">
        <v>5298</v>
      </c>
      <c r="AC248" t="s">
        <v>1597</v>
      </c>
      <c r="AD248" t="s">
        <v>1597</v>
      </c>
      <c r="AE248" t="s">
        <v>5299</v>
      </c>
      <c r="AF248" t="s">
        <v>74</v>
      </c>
      <c r="AG248">
        <v>16</v>
      </c>
      <c r="AH248">
        <v>4</v>
      </c>
      <c r="AI248">
        <v>4</v>
      </c>
      <c r="AJ248">
        <v>0</v>
      </c>
      <c r="AK248">
        <v>11</v>
      </c>
      <c r="AL248" t="s">
        <v>482</v>
      </c>
      <c r="AM248" t="s">
        <v>483</v>
      </c>
      <c r="AN248" t="s">
        <v>484</v>
      </c>
      <c r="AO248" t="s">
        <v>1075</v>
      </c>
      <c r="AP248" t="s">
        <v>1076</v>
      </c>
      <c r="AQ248" t="s">
        <v>74</v>
      </c>
      <c r="AR248" t="s">
        <v>1077</v>
      </c>
      <c r="AS248" t="s">
        <v>1078</v>
      </c>
      <c r="AT248" t="s">
        <v>720</v>
      </c>
      <c r="AU248">
        <v>2020</v>
      </c>
      <c r="AV248">
        <v>43</v>
      </c>
      <c r="AW248">
        <v>12</v>
      </c>
      <c r="AX248" t="s">
        <v>74</v>
      </c>
      <c r="AY248" t="s">
        <v>74</v>
      </c>
      <c r="AZ248" t="s">
        <v>74</v>
      </c>
      <c r="BA248" t="s">
        <v>74</v>
      </c>
      <c r="BB248">
        <v>2117</v>
      </c>
      <c r="BC248">
        <v>2120</v>
      </c>
      <c r="BD248" t="s">
        <v>74</v>
      </c>
      <c r="BE248" t="s">
        <v>5300</v>
      </c>
      <c r="BF248" t="str">
        <f>HYPERLINK("http://dx.doi.org/10.1007/s00300-020-02760-w","http://dx.doi.org/10.1007/s00300-020-02760-w")</f>
        <v>http://dx.doi.org/10.1007/s00300-020-02760-w</v>
      </c>
      <c r="BG248" t="s">
        <v>74</v>
      </c>
      <c r="BH248" t="s">
        <v>3429</v>
      </c>
      <c r="BI248">
        <v>4</v>
      </c>
      <c r="BJ248" t="s">
        <v>1080</v>
      </c>
      <c r="BK248" t="s">
        <v>100</v>
      </c>
      <c r="BL248" t="s">
        <v>256</v>
      </c>
      <c r="BM248" t="s">
        <v>1081</v>
      </c>
      <c r="BN248" t="s">
        <v>74</v>
      </c>
      <c r="BO248" t="s">
        <v>74</v>
      </c>
      <c r="BP248" t="s">
        <v>74</v>
      </c>
      <c r="BQ248" t="s">
        <v>74</v>
      </c>
      <c r="BR248" t="s">
        <v>104</v>
      </c>
      <c r="BS248" t="s">
        <v>5301</v>
      </c>
      <c r="BT248" t="str">
        <f>HYPERLINK("https%3A%2F%2Fwww.webofscience.com%2Fwos%2Fwoscc%2Ffull-record%2FWOS:000577231600001","View Full Record in Web of Science")</f>
        <v>View Full Record in Web of Science</v>
      </c>
    </row>
    <row r="249" spans="1:72" x14ac:dyDescent="0.15">
      <c r="A249" t="s">
        <v>72</v>
      </c>
      <c r="B249" t="s">
        <v>5302</v>
      </c>
      <c r="C249" t="s">
        <v>74</v>
      </c>
      <c r="D249" t="s">
        <v>74</v>
      </c>
      <c r="E249" t="s">
        <v>74</v>
      </c>
      <c r="F249" t="s">
        <v>5303</v>
      </c>
      <c r="G249" t="s">
        <v>74</v>
      </c>
      <c r="H249" t="s">
        <v>74</v>
      </c>
      <c r="I249" t="s">
        <v>5304</v>
      </c>
      <c r="J249" t="s">
        <v>829</v>
      </c>
      <c r="K249" t="s">
        <v>74</v>
      </c>
      <c r="L249" t="s">
        <v>74</v>
      </c>
      <c r="M249" t="s">
        <v>78</v>
      </c>
      <c r="N249" t="s">
        <v>79</v>
      </c>
      <c r="O249" t="s">
        <v>74</v>
      </c>
      <c r="P249" t="s">
        <v>74</v>
      </c>
      <c r="Q249" t="s">
        <v>74</v>
      </c>
      <c r="R249" t="s">
        <v>74</v>
      </c>
      <c r="S249" t="s">
        <v>74</v>
      </c>
      <c r="T249" t="s">
        <v>74</v>
      </c>
      <c r="U249" t="s">
        <v>5305</v>
      </c>
      <c r="V249" t="s">
        <v>5306</v>
      </c>
      <c r="W249" t="s">
        <v>5307</v>
      </c>
      <c r="X249" t="s">
        <v>5308</v>
      </c>
      <c r="Y249" t="s">
        <v>5309</v>
      </c>
      <c r="Z249" t="s">
        <v>5310</v>
      </c>
      <c r="AA249" t="s">
        <v>5311</v>
      </c>
      <c r="AB249" t="s">
        <v>5312</v>
      </c>
      <c r="AC249" t="s">
        <v>5313</v>
      </c>
      <c r="AD249" t="s">
        <v>5314</v>
      </c>
      <c r="AE249" t="s">
        <v>5315</v>
      </c>
      <c r="AF249" t="s">
        <v>74</v>
      </c>
      <c r="AG249">
        <v>106</v>
      </c>
      <c r="AH249">
        <v>61</v>
      </c>
      <c r="AI249">
        <v>66</v>
      </c>
      <c r="AJ249">
        <v>7</v>
      </c>
      <c r="AK249">
        <v>29</v>
      </c>
      <c r="AL249" t="s">
        <v>766</v>
      </c>
      <c r="AM249" t="s">
        <v>123</v>
      </c>
      <c r="AN249" t="s">
        <v>767</v>
      </c>
      <c r="AO249" t="s">
        <v>74</v>
      </c>
      <c r="AP249" t="s">
        <v>841</v>
      </c>
      <c r="AQ249" t="s">
        <v>74</v>
      </c>
      <c r="AR249" t="s">
        <v>842</v>
      </c>
      <c r="AS249" t="s">
        <v>843</v>
      </c>
      <c r="AT249" t="s">
        <v>5222</v>
      </c>
      <c r="AU249">
        <v>2020</v>
      </c>
      <c r="AV249">
        <v>1</v>
      </c>
      <c r="AW249">
        <v>1</v>
      </c>
      <c r="AX249" t="s">
        <v>74</v>
      </c>
      <c r="AY249" t="s">
        <v>74</v>
      </c>
      <c r="AZ249" t="s">
        <v>74</v>
      </c>
      <c r="BA249" t="s">
        <v>74</v>
      </c>
      <c r="BB249" t="s">
        <v>74</v>
      </c>
      <c r="BC249" t="s">
        <v>74</v>
      </c>
      <c r="BD249">
        <v>28</v>
      </c>
      <c r="BE249" t="s">
        <v>5316</v>
      </c>
      <c r="BF249" t="str">
        <f>HYPERLINK("http://dx.doi.org/10.1038/s43247-020-00026-1","http://dx.doi.org/10.1038/s43247-020-00026-1")</f>
        <v>http://dx.doi.org/10.1038/s43247-020-00026-1</v>
      </c>
      <c r="BG249" t="s">
        <v>74</v>
      </c>
      <c r="BH249" t="s">
        <v>74</v>
      </c>
      <c r="BI249">
        <v>12</v>
      </c>
      <c r="BJ249" t="s">
        <v>846</v>
      </c>
      <c r="BK249" t="s">
        <v>100</v>
      </c>
      <c r="BL249" t="s">
        <v>847</v>
      </c>
      <c r="BM249" t="s">
        <v>5317</v>
      </c>
      <c r="BN249" t="s">
        <v>74</v>
      </c>
      <c r="BO249" t="s">
        <v>397</v>
      </c>
      <c r="BP249" t="s">
        <v>74</v>
      </c>
      <c r="BQ249" t="s">
        <v>74</v>
      </c>
      <c r="BR249" t="s">
        <v>104</v>
      </c>
      <c r="BS249" t="s">
        <v>5318</v>
      </c>
      <c r="BT249" t="str">
        <f>HYPERLINK("https%3A%2F%2Fwww.webofscience.com%2Fwos%2Fwoscc%2Ffull-record%2FWOS:000648592900001","View Full Record in Web of Science")</f>
        <v>View Full Record in Web of Science</v>
      </c>
    </row>
    <row r="250" spans="1:72" x14ac:dyDescent="0.15">
      <c r="A250" t="s">
        <v>72</v>
      </c>
      <c r="B250" t="s">
        <v>5319</v>
      </c>
      <c r="C250" t="s">
        <v>74</v>
      </c>
      <c r="D250" t="s">
        <v>74</v>
      </c>
      <c r="E250" t="s">
        <v>74</v>
      </c>
      <c r="F250" t="s">
        <v>5320</v>
      </c>
      <c r="G250" t="s">
        <v>74</v>
      </c>
      <c r="H250" t="s">
        <v>74</v>
      </c>
      <c r="I250" t="s">
        <v>5321</v>
      </c>
      <c r="J250" t="s">
        <v>309</v>
      </c>
      <c r="K250" t="s">
        <v>74</v>
      </c>
      <c r="L250" t="s">
        <v>74</v>
      </c>
      <c r="M250" t="s">
        <v>78</v>
      </c>
      <c r="N250" t="s">
        <v>79</v>
      </c>
      <c r="O250" t="s">
        <v>74</v>
      </c>
      <c r="P250" t="s">
        <v>74</v>
      </c>
      <c r="Q250" t="s">
        <v>74</v>
      </c>
      <c r="R250" t="s">
        <v>74</v>
      </c>
      <c r="S250" t="s">
        <v>74</v>
      </c>
      <c r="T250" t="s">
        <v>74</v>
      </c>
      <c r="U250" t="s">
        <v>5322</v>
      </c>
      <c r="V250" t="s">
        <v>5323</v>
      </c>
      <c r="W250" t="s">
        <v>5324</v>
      </c>
      <c r="X250" t="s">
        <v>5325</v>
      </c>
      <c r="Y250" t="s">
        <v>5326</v>
      </c>
      <c r="Z250" t="s">
        <v>5327</v>
      </c>
      <c r="AA250" t="s">
        <v>5328</v>
      </c>
      <c r="AB250" t="s">
        <v>5329</v>
      </c>
      <c r="AC250" t="s">
        <v>5330</v>
      </c>
      <c r="AD250" t="s">
        <v>5331</v>
      </c>
      <c r="AE250" t="s">
        <v>5332</v>
      </c>
      <c r="AF250" t="s">
        <v>74</v>
      </c>
      <c r="AG250">
        <v>16</v>
      </c>
      <c r="AH250">
        <v>2</v>
      </c>
      <c r="AI250">
        <v>2</v>
      </c>
      <c r="AJ250">
        <v>0</v>
      </c>
      <c r="AK250">
        <v>6</v>
      </c>
      <c r="AL250" t="s">
        <v>321</v>
      </c>
      <c r="AM250" t="s">
        <v>322</v>
      </c>
      <c r="AN250" t="s">
        <v>323</v>
      </c>
      <c r="AO250" t="s">
        <v>324</v>
      </c>
      <c r="AP250" t="s">
        <v>74</v>
      </c>
      <c r="AQ250" t="s">
        <v>74</v>
      </c>
      <c r="AR250" t="s">
        <v>325</v>
      </c>
      <c r="AS250" t="s">
        <v>326</v>
      </c>
      <c r="AT250" t="s">
        <v>5222</v>
      </c>
      <c r="AU250">
        <v>2020</v>
      </c>
      <c r="AV250">
        <v>10</v>
      </c>
      <c r="AW250">
        <v>1</v>
      </c>
      <c r="AX250" t="s">
        <v>74</v>
      </c>
      <c r="AY250" t="s">
        <v>74</v>
      </c>
      <c r="AZ250" t="s">
        <v>74</v>
      </c>
      <c r="BA250" t="s">
        <v>74</v>
      </c>
      <c r="BB250" t="s">
        <v>74</v>
      </c>
      <c r="BC250" t="s">
        <v>74</v>
      </c>
      <c r="BD250">
        <v>17477</v>
      </c>
      <c r="BE250" t="s">
        <v>5333</v>
      </c>
      <c r="BF250" t="str">
        <f>HYPERLINK("http://dx.doi.org/10.1038/s41598-020-74532-9","http://dx.doi.org/10.1038/s41598-020-74532-9")</f>
        <v>http://dx.doi.org/10.1038/s41598-020-74532-9</v>
      </c>
      <c r="BG250" t="s">
        <v>74</v>
      </c>
      <c r="BH250" t="s">
        <v>74</v>
      </c>
      <c r="BI250">
        <v>10</v>
      </c>
      <c r="BJ250" t="s">
        <v>329</v>
      </c>
      <c r="BK250" t="s">
        <v>100</v>
      </c>
      <c r="BL250" t="s">
        <v>330</v>
      </c>
      <c r="BM250" t="s">
        <v>5334</v>
      </c>
      <c r="BN250">
        <v>33060793</v>
      </c>
      <c r="BO250" t="s">
        <v>332</v>
      </c>
      <c r="BP250" t="s">
        <v>74</v>
      </c>
      <c r="BQ250" t="s">
        <v>74</v>
      </c>
      <c r="BR250" t="s">
        <v>104</v>
      </c>
      <c r="BS250" t="s">
        <v>5335</v>
      </c>
      <c r="BT250" t="str">
        <f>HYPERLINK("https%3A%2F%2Fwww.webofscience.com%2Fwos%2Fwoscc%2Ffull-record%2FWOS:000582705900091","View Full Record in Web of Science")</f>
        <v>View Full Record in Web of Science</v>
      </c>
    </row>
    <row r="251" spans="1:72" x14ac:dyDescent="0.15">
      <c r="A251" t="s">
        <v>72</v>
      </c>
      <c r="B251" t="s">
        <v>5336</v>
      </c>
      <c r="C251" t="s">
        <v>74</v>
      </c>
      <c r="D251" t="s">
        <v>74</v>
      </c>
      <c r="E251" t="s">
        <v>74</v>
      </c>
      <c r="F251" t="s">
        <v>5337</v>
      </c>
      <c r="G251" t="s">
        <v>74</v>
      </c>
      <c r="H251" t="s">
        <v>74</v>
      </c>
      <c r="I251" t="s">
        <v>5338</v>
      </c>
      <c r="J251" t="s">
        <v>5339</v>
      </c>
      <c r="K251" t="s">
        <v>74</v>
      </c>
      <c r="L251" t="s">
        <v>74</v>
      </c>
      <c r="M251" t="s">
        <v>78</v>
      </c>
      <c r="N251" t="s">
        <v>79</v>
      </c>
      <c r="O251" t="s">
        <v>74</v>
      </c>
      <c r="P251" t="s">
        <v>74</v>
      </c>
      <c r="Q251" t="s">
        <v>74</v>
      </c>
      <c r="R251" t="s">
        <v>74</v>
      </c>
      <c r="S251" t="s">
        <v>74</v>
      </c>
      <c r="T251" t="s">
        <v>5340</v>
      </c>
      <c r="U251" t="s">
        <v>5341</v>
      </c>
      <c r="V251" t="s">
        <v>5342</v>
      </c>
      <c r="W251" t="s">
        <v>5343</v>
      </c>
      <c r="X251" t="s">
        <v>5344</v>
      </c>
      <c r="Y251" t="s">
        <v>5345</v>
      </c>
      <c r="Z251" t="s">
        <v>5346</v>
      </c>
      <c r="AA251" t="s">
        <v>74</v>
      </c>
      <c r="AB251" t="s">
        <v>74</v>
      </c>
      <c r="AC251" t="s">
        <v>5347</v>
      </c>
      <c r="AD251" t="s">
        <v>5348</v>
      </c>
      <c r="AE251" t="s">
        <v>5349</v>
      </c>
      <c r="AF251" t="s">
        <v>74</v>
      </c>
      <c r="AG251">
        <v>54</v>
      </c>
      <c r="AH251">
        <v>2</v>
      </c>
      <c r="AI251">
        <v>2</v>
      </c>
      <c r="AJ251">
        <v>0</v>
      </c>
      <c r="AK251">
        <v>9</v>
      </c>
      <c r="AL251" t="s">
        <v>1522</v>
      </c>
      <c r="AM251" t="s">
        <v>1407</v>
      </c>
      <c r="AN251" t="s">
        <v>1523</v>
      </c>
      <c r="AO251" t="s">
        <v>5350</v>
      </c>
      <c r="AP251" t="s">
        <v>74</v>
      </c>
      <c r="AQ251" t="s">
        <v>74</v>
      </c>
      <c r="AR251" t="s">
        <v>5351</v>
      </c>
      <c r="AS251" t="s">
        <v>5352</v>
      </c>
      <c r="AT251" t="s">
        <v>5222</v>
      </c>
      <c r="AU251">
        <v>2020</v>
      </c>
      <c r="AV251">
        <v>61</v>
      </c>
      <c r="AW251">
        <v>42</v>
      </c>
      <c r="AX251" t="s">
        <v>74</v>
      </c>
      <c r="AY251" t="s">
        <v>74</v>
      </c>
      <c r="AZ251" t="s">
        <v>74</v>
      </c>
      <c r="BA251" t="s">
        <v>74</v>
      </c>
      <c r="BB251" t="s">
        <v>74</v>
      </c>
      <c r="BC251" t="s">
        <v>74</v>
      </c>
      <c r="BD251">
        <v>152421</v>
      </c>
      <c r="BE251" t="s">
        <v>5353</v>
      </c>
      <c r="BF251" t="str">
        <f>HYPERLINK("http://dx.doi.org/10.1016/j.tetlet.2020.152421","http://dx.doi.org/10.1016/j.tetlet.2020.152421")</f>
        <v>http://dx.doi.org/10.1016/j.tetlet.2020.152421</v>
      </c>
      <c r="BG251" t="s">
        <v>74</v>
      </c>
      <c r="BH251" t="s">
        <v>74</v>
      </c>
      <c r="BI251">
        <v>4</v>
      </c>
      <c r="BJ251" t="s">
        <v>5354</v>
      </c>
      <c r="BK251" t="s">
        <v>5355</v>
      </c>
      <c r="BL251" t="s">
        <v>5356</v>
      </c>
      <c r="BM251" t="s">
        <v>5357</v>
      </c>
      <c r="BN251" t="s">
        <v>74</v>
      </c>
      <c r="BO251" t="s">
        <v>74</v>
      </c>
      <c r="BP251" t="s">
        <v>74</v>
      </c>
      <c r="BQ251" t="s">
        <v>74</v>
      </c>
      <c r="BR251" t="s">
        <v>104</v>
      </c>
      <c r="BS251" t="s">
        <v>5358</v>
      </c>
      <c r="BT251" t="str">
        <f>HYPERLINK("https%3A%2F%2Fwww.webofscience.com%2Fwos%2Fwoscc%2Ffull-record%2FWOS:000576478600013","View Full Record in Web of Science")</f>
        <v>View Full Record in Web of Science</v>
      </c>
    </row>
    <row r="252" spans="1:72" x14ac:dyDescent="0.15">
      <c r="A252" t="s">
        <v>72</v>
      </c>
      <c r="B252" t="s">
        <v>5359</v>
      </c>
      <c r="C252" t="s">
        <v>74</v>
      </c>
      <c r="D252" t="s">
        <v>74</v>
      </c>
      <c r="E252" t="s">
        <v>74</v>
      </c>
      <c r="F252" t="s">
        <v>5360</v>
      </c>
      <c r="G252" t="s">
        <v>74</v>
      </c>
      <c r="H252" t="s">
        <v>74</v>
      </c>
      <c r="I252" t="s">
        <v>5361</v>
      </c>
      <c r="J252" t="s">
        <v>5362</v>
      </c>
      <c r="K252" t="s">
        <v>74</v>
      </c>
      <c r="L252" t="s">
        <v>74</v>
      </c>
      <c r="M252" t="s">
        <v>78</v>
      </c>
      <c r="N252" t="s">
        <v>79</v>
      </c>
      <c r="O252" t="s">
        <v>74</v>
      </c>
      <c r="P252" t="s">
        <v>74</v>
      </c>
      <c r="Q252" t="s">
        <v>74</v>
      </c>
      <c r="R252" t="s">
        <v>74</v>
      </c>
      <c r="S252" t="s">
        <v>74</v>
      </c>
      <c r="T252" t="s">
        <v>5363</v>
      </c>
      <c r="U252" t="s">
        <v>5364</v>
      </c>
      <c r="V252" t="s">
        <v>5365</v>
      </c>
      <c r="W252" t="s">
        <v>5366</v>
      </c>
      <c r="X252" t="s">
        <v>5367</v>
      </c>
      <c r="Y252" t="s">
        <v>5368</v>
      </c>
      <c r="Z252" t="s">
        <v>5369</v>
      </c>
      <c r="AA252" t="s">
        <v>5370</v>
      </c>
      <c r="AB252" t="s">
        <v>5371</v>
      </c>
      <c r="AC252" t="s">
        <v>5372</v>
      </c>
      <c r="AD252" t="s">
        <v>5373</v>
      </c>
      <c r="AE252" t="s">
        <v>5374</v>
      </c>
      <c r="AF252" t="s">
        <v>74</v>
      </c>
      <c r="AG252">
        <v>24</v>
      </c>
      <c r="AH252">
        <v>0</v>
      </c>
      <c r="AI252">
        <v>1</v>
      </c>
      <c r="AJ252">
        <v>1</v>
      </c>
      <c r="AK252">
        <v>6</v>
      </c>
      <c r="AL252" t="s">
        <v>1572</v>
      </c>
      <c r="AM252" t="s">
        <v>1407</v>
      </c>
      <c r="AN252" t="s">
        <v>1573</v>
      </c>
      <c r="AO252" t="s">
        <v>5375</v>
      </c>
      <c r="AP252" t="s">
        <v>5376</v>
      </c>
      <c r="AQ252" t="s">
        <v>74</v>
      </c>
      <c r="AR252" t="s">
        <v>5377</v>
      </c>
      <c r="AS252" t="s">
        <v>5378</v>
      </c>
      <c r="AT252" t="s">
        <v>5222</v>
      </c>
      <c r="AU252">
        <v>2020</v>
      </c>
      <c r="AV252">
        <v>66</v>
      </c>
      <c r="AW252">
        <v>8</v>
      </c>
      <c r="AX252" t="s">
        <v>74</v>
      </c>
      <c r="AY252" t="s">
        <v>74</v>
      </c>
      <c r="AZ252" t="s">
        <v>74</v>
      </c>
      <c r="BA252" t="s">
        <v>74</v>
      </c>
      <c r="BB252">
        <v>1876</v>
      </c>
      <c r="BC252">
        <v>1886</v>
      </c>
      <c r="BD252" t="s">
        <v>74</v>
      </c>
      <c r="BE252" t="s">
        <v>5379</v>
      </c>
      <c r="BF252" t="str">
        <f>HYPERLINK("http://dx.doi.org/10.1016/j.asr.2020.07.011","http://dx.doi.org/10.1016/j.asr.2020.07.011")</f>
        <v>http://dx.doi.org/10.1016/j.asr.2020.07.011</v>
      </c>
      <c r="BG252" t="s">
        <v>74</v>
      </c>
      <c r="BH252" t="s">
        <v>74</v>
      </c>
      <c r="BI252">
        <v>11</v>
      </c>
      <c r="BJ252" t="s">
        <v>5380</v>
      </c>
      <c r="BK252" t="s">
        <v>100</v>
      </c>
      <c r="BL252" t="s">
        <v>5381</v>
      </c>
      <c r="BM252" t="s">
        <v>5382</v>
      </c>
      <c r="BN252" t="s">
        <v>74</v>
      </c>
      <c r="BO252" t="s">
        <v>1188</v>
      </c>
      <c r="BP252" t="s">
        <v>74</v>
      </c>
      <c r="BQ252" t="s">
        <v>74</v>
      </c>
      <c r="BR252" t="s">
        <v>104</v>
      </c>
      <c r="BS252" t="s">
        <v>5383</v>
      </c>
      <c r="BT252" t="str">
        <f>HYPERLINK("https%3A%2F%2Fwww.webofscience.com%2Fwos%2Fwoscc%2Ffull-record%2FWOS:000569563600005","View Full Record in Web of Science")</f>
        <v>View Full Record in Web of Science</v>
      </c>
    </row>
    <row r="253" spans="1:72" x14ac:dyDescent="0.15">
      <c r="A253" t="s">
        <v>72</v>
      </c>
      <c r="B253" t="s">
        <v>5384</v>
      </c>
      <c r="C253" t="s">
        <v>74</v>
      </c>
      <c r="D253" t="s">
        <v>74</v>
      </c>
      <c r="E253" t="s">
        <v>74</v>
      </c>
      <c r="F253" t="s">
        <v>5385</v>
      </c>
      <c r="G253" t="s">
        <v>74</v>
      </c>
      <c r="H253" t="s">
        <v>74</v>
      </c>
      <c r="I253" t="s">
        <v>5386</v>
      </c>
      <c r="J253" t="s">
        <v>5387</v>
      </c>
      <c r="K253" t="s">
        <v>74</v>
      </c>
      <c r="L253" t="s">
        <v>74</v>
      </c>
      <c r="M253" t="s">
        <v>78</v>
      </c>
      <c r="N253" t="s">
        <v>79</v>
      </c>
      <c r="O253" t="s">
        <v>74</v>
      </c>
      <c r="P253" t="s">
        <v>74</v>
      </c>
      <c r="Q253" t="s">
        <v>74</v>
      </c>
      <c r="R253" t="s">
        <v>74</v>
      </c>
      <c r="S253" t="s">
        <v>74</v>
      </c>
      <c r="T253" t="s">
        <v>5388</v>
      </c>
      <c r="U253" t="s">
        <v>5389</v>
      </c>
      <c r="V253" t="s">
        <v>5390</v>
      </c>
      <c r="W253" t="s">
        <v>5391</v>
      </c>
      <c r="X253" t="s">
        <v>5392</v>
      </c>
      <c r="Y253" t="s">
        <v>5393</v>
      </c>
      <c r="Z253" t="s">
        <v>5394</v>
      </c>
      <c r="AA253" t="s">
        <v>5395</v>
      </c>
      <c r="AB253" t="s">
        <v>5396</v>
      </c>
      <c r="AC253" t="s">
        <v>5397</v>
      </c>
      <c r="AD253" t="s">
        <v>5397</v>
      </c>
      <c r="AE253" t="s">
        <v>5398</v>
      </c>
      <c r="AF253" t="s">
        <v>74</v>
      </c>
      <c r="AG253">
        <v>39</v>
      </c>
      <c r="AH253">
        <v>3</v>
      </c>
      <c r="AI253">
        <v>3</v>
      </c>
      <c r="AJ253">
        <v>2</v>
      </c>
      <c r="AK253">
        <v>7</v>
      </c>
      <c r="AL253" t="s">
        <v>1522</v>
      </c>
      <c r="AM253" t="s">
        <v>1407</v>
      </c>
      <c r="AN253" t="s">
        <v>1523</v>
      </c>
      <c r="AO253" t="s">
        <v>5399</v>
      </c>
      <c r="AP253" t="s">
        <v>5400</v>
      </c>
      <c r="AQ253" t="s">
        <v>74</v>
      </c>
      <c r="AR253" t="s">
        <v>5401</v>
      </c>
      <c r="AS253" t="s">
        <v>5402</v>
      </c>
      <c r="AT253" t="s">
        <v>5222</v>
      </c>
      <c r="AU253">
        <v>2020</v>
      </c>
      <c r="AV253">
        <v>208</v>
      </c>
      <c r="AW253" t="s">
        <v>74</v>
      </c>
      <c r="AX253" t="s">
        <v>74</v>
      </c>
      <c r="AY253" t="s">
        <v>74</v>
      </c>
      <c r="AZ253" t="s">
        <v>74</v>
      </c>
      <c r="BA253" t="s">
        <v>74</v>
      </c>
      <c r="BB253" t="s">
        <v>74</v>
      </c>
      <c r="BC253" t="s">
        <v>74</v>
      </c>
      <c r="BD253">
        <v>105404</v>
      </c>
      <c r="BE253" t="s">
        <v>5403</v>
      </c>
      <c r="BF253" t="str">
        <f>HYPERLINK("http://dx.doi.org/10.1016/j.jastp.2020.105404","http://dx.doi.org/10.1016/j.jastp.2020.105404")</f>
        <v>http://dx.doi.org/10.1016/j.jastp.2020.105404</v>
      </c>
      <c r="BG253" t="s">
        <v>74</v>
      </c>
      <c r="BH253" t="s">
        <v>74</v>
      </c>
      <c r="BI253">
        <v>11</v>
      </c>
      <c r="BJ253" t="s">
        <v>5404</v>
      </c>
      <c r="BK253" t="s">
        <v>100</v>
      </c>
      <c r="BL253" t="s">
        <v>5404</v>
      </c>
      <c r="BM253" t="s">
        <v>5405</v>
      </c>
      <c r="BN253" t="s">
        <v>74</v>
      </c>
      <c r="BO253" t="s">
        <v>1188</v>
      </c>
      <c r="BP253" t="s">
        <v>74</v>
      </c>
      <c r="BQ253" t="s">
        <v>74</v>
      </c>
      <c r="BR253" t="s">
        <v>104</v>
      </c>
      <c r="BS253" t="s">
        <v>5406</v>
      </c>
      <c r="BT253" t="str">
        <f>HYPERLINK("https%3A%2F%2Fwww.webofscience.com%2Fwos%2Fwoscc%2Ffull-record%2FWOS:000569133600006","View Full Record in Web of Science")</f>
        <v>View Full Record in Web of Science</v>
      </c>
    </row>
    <row r="254" spans="1:72" x14ac:dyDescent="0.15">
      <c r="A254" t="s">
        <v>72</v>
      </c>
      <c r="B254" t="s">
        <v>5407</v>
      </c>
      <c r="C254" t="s">
        <v>74</v>
      </c>
      <c r="D254" t="s">
        <v>74</v>
      </c>
      <c r="E254" t="s">
        <v>74</v>
      </c>
      <c r="F254" t="s">
        <v>5408</v>
      </c>
      <c r="G254" t="s">
        <v>74</v>
      </c>
      <c r="H254" t="s">
        <v>74</v>
      </c>
      <c r="I254" t="s">
        <v>5409</v>
      </c>
      <c r="J254" t="s">
        <v>5410</v>
      </c>
      <c r="K254" t="s">
        <v>74</v>
      </c>
      <c r="L254" t="s">
        <v>74</v>
      </c>
      <c r="M254" t="s">
        <v>78</v>
      </c>
      <c r="N254" t="s">
        <v>79</v>
      </c>
      <c r="O254" t="s">
        <v>74</v>
      </c>
      <c r="P254" t="s">
        <v>74</v>
      </c>
      <c r="Q254" t="s">
        <v>74</v>
      </c>
      <c r="R254" t="s">
        <v>74</v>
      </c>
      <c r="S254" t="s">
        <v>74</v>
      </c>
      <c r="T254" t="s">
        <v>5411</v>
      </c>
      <c r="U254" t="s">
        <v>5412</v>
      </c>
      <c r="V254" t="s">
        <v>5413</v>
      </c>
      <c r="W254" t="s">
        <v>5414</v>
      </c>
      <c r="X254" t="s">
        <v>5415</v>
      </c>
      <c r="Y254" t="s">
        <v>5416</v>
      </c>
      <c r="Z254" t="s">
        <v>5417</v>
      </c>
      <c r="AA254" t="s">
        <v>74</v>
      </c>
      <c r="AB254" t="s">
        <v>5418</v>
      </c>
      <c r="AC254" t="s">
        <v>5419</v>
      </c>
      <c r="AD254" t="s">
        <v>5420</v>
      </c>
      <c r="AE254" t="s">
        <v>5421</v>
      </c>
      <c r="AF254" t="s">
        <v>74</v>
      </c>
      <c r="AG254">
        <v>61</v>
      </c>
      <c r="AH254">
        <v>36</v>
      </c>
      <c r="AI254">
        <v>37</v>
      </c>
      <c r="AJ254">
        <v>21</v>
      </c>
      <c r="AK254">
        <v>275</v>
      </c>
      <c r="AL254" t="s">
        <v>5422</v>
      </c>
      <c r="AM254" t="s">
        <v>867</v>
      </c>
      <c r="AN254" t="s">
        <v>5423</v>
      </c>
      <c r="AO254" t="s">
        <v>5424</v>
      </c>
      <c r="AP254" t="s">
        <v>5425</v>
      </c>
      <c r="AQ254" t="s">
        <v>74</v>
      </c>
      <c r="AR254" t="s">
        <v>5426</v>
      </c>
      <c r="AS254" t="s">
        <v>5427</v>
      </c>
      <c r="AT254" t="s">
        <v>5222</v>
      </c>
      <c r="AU254">
        <v>2020</v>
      </c>
      <c r="AV254">
        <v>398</v>
      </c>
      <c r="AW254" t="s">
        <v>74</v>
      </c>
      <c r="AX254" t="s">
        <v>74</v>
      </c>
      <c r="AY254" t="s">
        <v>74</v>
      </c>
      <c r="AZ254" t="s">
        <v>74</v>
      </c>
      <c r="BA254" t="s">
        <v>74</v>
      </c>
      <c r="BB254" t="s">
        <v>74</v>
      </c>
      <c r="BC254" t="s">
        <v>74</v>
      </c>
      <c r="BD254">
        <v>125593</v>
      </c>
      <c r="BE254" t="s">
        <v>5428</v>
      </c>
      <c r="BF254" t="str">
        <f>HYPERLINK("http://dx.doi.org/10.1016/j.cej.2020.125593","http://dx.doi.org/10.1016/j.cej.2020.125593")</f>
        <v>http://dx.doi.org/10.1016/j.cej.2020.125593</v>
      </c>
      <c r="BG254" t="s">
        <v>74</v>
      </c>
      <c r="BH254" t="s">
        <v>74</v>
      </c>
      <c r="BI254">
        <v>11</v>
      </c>
      <c r="BJ254" t="s">
        <v>5429</v>
      </c>
      <c r="BK254" t="s">
        <v>100</v>
      </c>
      <c r="BL254" t="s">
        <v>3284</v>
      </c>
      <c r="BM254" t="s">
        <v>5430</v>
      </c>
      <c r="BN254" t="s">
        <v>74</v>
      </c>
      <c r="BO254" t="s">
        <v>74</v>
      </c>
      <c r="BP254" t="s">
        <v>74</v>
      </c>
      <c r="BQ254" t="s">
        <v>74</v>
      </c>
      <c r="BR254" t="s">
        <v>104</v>
      </c>
      <c r="BS254" t="s">
        <v>5431</v>
      </c>
      <c r="BT254" t="str">
        <f>HYPERLINK("https%3A%2F%2Fwww.webofscience.com%2Fwos%2Fwoscc%2Ffull-record%2FWOS:000561589200014","View Full Record in Web of Science")</f>
        <v>View Full Record in Web of Science</v>
      </c>
    </row>
    <row r="255" spans="1:72" x14ac:dyDescent="0.15">
      <c r="A255" t="s">
        <v>72</v>
      </c>
      <c r="B255" t="s">
        <v>5432</v>
      </c>
      <c r="C255" t="s">
        <v>74</v>
      </c>
      <c r="D255" t="s">
        <v>74</v>
      </c>
      <c r="E255" t="s">
        <v>74</v>
      </c>
      <c r="F255" t="s">
        <v>5433</v>
      </c>
      <c r="G255" t="s">
        <v>74</v>
      </c>
      <c r="H255" t="s">
        <v>74</v>
      </c>
      <c r="I255" t="s">
        <v>5434</v>
      </c>
      <c r="J255" t="s">
        <v>3351</v>
      </c>
      <c r="K255" t="s">
        <v>74</v>
      </c>
      <c r="L255" t="s">
        <v>74</v>
      </c>
      <c r="M255" t="s">
        <v>78</v>
      </c>
      <c r="N255" t="s">
        <v>79</v>
      </c>
      <c r="O255" t="s">
        <v>74</v>
      </c>
      <c r="P255" t="s">
        <v>74</v>
      </c>
      <c r="Q255" t="s">
        <v>74</v>
      </c>
      <c r="R255" t="s">
        <v>74</v>
      </c>
      <c r="S255" t="s">
        <v>74</v>
      </c>
      <c r="T255" t="s">
        <v>5435</v>
      </c>
      <c r="U255" t="s">
        <v>5436</v>
      </c>
      <c r="V255" t="s">
        <v>5437</v>
      </c>
      <c r="W255" t="s">
        <v>5438</v>
      </c>
      <c r="X255" t="s">
        <v>5439</v>
      </c>
      <c r="Y255" t="s">
        <v>5440</v>
      </c>
      <c r="Z255" t="s">
        <v>5441</v>
      </c>
      <c r="AA255" t="s">
        <v>74</v>
      </c>
      <c r="AB255" t="s">
        <v>5442</v>
      </c>
      <c r="AC255" t="s">
        <v>5443</v>
      </c>
      <c r="AD255" t="s">
        <v>5444</v>
      </c>
      <c r="AE255" t="s">
        <v>5445</v>
      </c>
      <c r="AF255" t="s">
        <v>74</v>
      </c>
      <c r="AG255">
        <v>45</v>
      </c>
      <c r="AH255">
        <v>16</v>
      </c>
      <c r="AI255">
        <v>16</v>
      </c>
      <c r="AJ255">
        <v>0</v>
      </c>
      <c r="AK255">
        <v>5</v>
      </c>
      <c r="AL255" t="s">
        <v>275</v>
      </c>
      <c r="AM255" t="s">
        <v>276</v>
      </c>
      <c r="AN255" t="s">
        <v>277</v>
      </c>
      <c r="AO255" t="s">
        <v>3364</v>
      </c>
      <c r="AP255" t="s">
        <v>3365</v>
      </c>
      <c r="AQ255" t="s">
        <v>74</v>
      </c>
      <c r="AR255" t="s">
        <v>3366</v>
      </c>
      <c r="AS255" t="s">
        <v>3367</v>
      </c>
      <c r="AT255" t="s">
        <v>5222</v>
      </c>
      <c r="AU255">
        <v>2020</v>
      </c>
      <c r="AV255">
        <v>548</v>
      </c>
      <c r="AW255" t="s">
        <v>74</v>
      </c>
      <c r="AX255" t="s">
        <v>74</v>
      </c>
      <c r="AY255" t="s">
        <v>74</v>
      </c>
      <c r="AZ255" t="s">
        <v>74</v>
      </c>
      <c r="BA255" t="s">
        <v>74</v>
      </c>
      <c r="BB255" t="s">
        <v>74</v>
      </c>
      <c r="BC255" t="s">
        <v>74</v>
      </c>
      <c r="BD255">
        <v>116501</v>
      </c>
      <c r="BE255" t="s">
        <v>5446</v>
      </c>
      <c r="BF255" t="str">
        <f>HYPERLINK("http://dx.doi.org/10.1016/j.epsl.2020.116501","http://dx.doi.org/10.1016/j.epsl.2020.116501")</f>
        <v>http://dx.doi.org/10.1016/j.epsl.2020.116501</v>
      </c>
      <c r="BG255" t="s">
        <v>74</v>
      </c>
      <c r="BH255" t="s">
        <v>74</v>
      </c>
      <c r="BI255">
        <v>13</v>
      </c>
      <c r="BJ255" t="s">
        <v>1361</v>
      </c>
      <c r="BK255" t="s">
        <v>100</v>
      </c>
      <c r="BL255" t="s">
        <v>1361</v>
      </c>
      <c r="BM255" t="s">
        <v>5447</v>
      </c>
      <c r="BN255" t="s">
        <v>74</v>
      </c>
      <c r="BO255" t="s">
        <v>1919</v>
      </c>
      <c r="BP255" t="s">
        <v>74</v>
      </c>
      <c r="BQ255" t="s">
        <v>74</v>
      </c>
      <c r="BR255" t="s">
        <v>104</v>
      </c>
      <c r="BS255" t="s">
        <v>5448</v>
      </c>
      <c r="BT255" t="str">
        <f>HYPERLINK("https%3A%2F%2Fwww.webofscience.com%2Fwos%2Fwoscc%2Ffull-record%2FWOS:000561357200015","View Full Record in Web of Science")</f>
        <v>View Full Record in Web of Science</v>
      </c>
    </row>
    <row r="256" spans="1:72" x14ac:dyDescent="0.15">
      <c r="A256" t="s">
        <v>72</v>
      </c>
      <c r="B256" t="s">
        <v>5449</v>
      </c>
      <c r="C256" t="s">
        <v>74</v>
      </c>
      <c r="D256" t="s">
        <v>74</v>
      </c>
      <c r="E256" t="s">
        <v>74</v>
      </c>
      <c r="F256" t="s">
        <v>5450</v>
      </c>
      <c r="G256" t="s">
        <v>74</v>
      </c>
      <c r="H256" t="s">
        <v>74</v>
      </c>
      <c r="I256" t="s">
        <v>5451</v>
      </c>
      <c r="J256" t="s">
        <v>5452</v>
      </c>
      <c r="K256" t="s">
        <v>74</v>
      </c>
      <c r="L256" t="s">
        <v>74</v>
      </c>
      <c r="M256" t="s">
        <v>78</v>
      </c>
      <c r="N256" t="s">
        <v>79</v>
      </c>
      <c r="O256" t="s">
        <v>74</v>
      </c>
      <c r="P256" t="s">
        <v>74</v>
      </c>
      <c r="Q256" t="s">
        <v>74</v>
      </c>
      <c r="R256" t="s">
        <v>74</v>
      </c>
      <c r="S256" t="s">
        <v>74</v>
      </c>
      <c r="T256" t="s">
        <v>74</v>
      </c>
      <c r="U256" t="s">
        <v>5453</v>
      </c>
      <c r="V256" t="s">
        <v>74</v>
      </c>
      <c r="W256" t="s">
        <v>5454</v>
      </c>
      <c r="X256" t="s">
        <v>5455</v>
      </c>
      <c r="Y256" t="s">
        <v>5456</v>
      </c>
      <c r="Z256" t="s">
        <v>5457</v>
      </c>
      <c r="AA256" t="s">
        <v>5458</v>
      </c>
      <c r="AB256" t="s">
        <v>5459</v>
      </c>
      <c r="AC256" t="s">
        <v>5460</v>
      </c>
      <c r="AD256" t="s">
        <v>5460</v>
      </c>
      <c r="AE256" t="s">
        <v>5461</v>
      </c>
      <c r="AF256" t="s">
        <v>74</v>
      </c>
      <c r="AG256">
        <v>54</v>
      </c>
      <c r="AH256">
        <v>10</v>
      </c>
      <c r="AI256">
        <v>12</v>
      </c>
      <c r="AJ256">
        <v>2</v>
      </c>
      <c r="AK256">
        <v>56</v>
      </c>
      <c r="AL256" t="s">
        <v>275</v>
      </c>
      <c r="AM256" t="s">
        <v>276</v>
      </c>
      <c r="AN256" t="s">
        <v>277</v>
      </c>
      <c r="AO256" t="s">
        <v>5462</v>
      </c>
      <c r="AP256" t="s">
        <v>5463</v>
      </c>
      <c r="AQ256" t="s">
        <v>74</v>
      </c>
      <c r="AR256" t="s">
        <v>5452</v>
      </c>
      <c r="AS256" t="s">
        <v>5464</v>
      </c>
      <c r="AT256" t="s">
        <v>5222</v>
      </c>
      <c r="AU256">
        <v>2020</v>
      </c>
      <c r="AV256">
        <v>527</v>
      </c>
      <c r="AW256" t="s">
        <v>74</v>
      </c>
      <c r="AX256" t="s">
        <v>74</v>
      </c>
      <c r="AY256" t="s">
        <v>74</v>
      </c>
      <c r="AZ256" t="s">
        <v>74</v>
      </c>
      <c r="BA256" t="s">
        <v>74</v>
      </c>
      <c r="BB256" t="s">
        <v>74</v>
      </c>
      <c r="BC256" t="s">
        <v>74</v>
      </c>
      <c r="BD256">
        <v>735449</v>
      </c>
      <c r="BE256" t="s">
        <v>5465</v>
      </c>
      <c r="BF256" t="str">
        <f>HYPERLINK("http://dx.doi.org/10.1016/j.aquaculture.2020.735449","http://dx.doi.org/10.1016/j.aquaculture.2020.735449")</f>
        <v>http://dx.doi.org/10.1016/j.aquaculture.2020.735449</v>
      </c>
      <c r="BG256" t="s">
        <v>74</v>
      </c>
      <c r="BH256" t="s">
        <v>74</v>
      </c>
      <c r="BI256">
        <v>11</v>
      </c>
      <c r="BJ256" t="s">
        <v>4322</v>
      </c>
      <c r="BK256" t="s">
        <v>100</v>
      </c>
      <c r="BL256" t="s">
        <v>4322</v>
      </c>
      <c r="BM256" t="s">
        <v>5466</v>
      </c>
      <c r="BN256" t="s">
        <v>74</v>
      </c>
      <c r="BO256" t="s">
        <v>74</v>
      </c>
      <c r="BP256" t="s">
        <v>74</v>
      </c>
      <c r="BQ256" t="s">
        <v>74</v>
      </c>
      <c r="BR256" t="s">
        <v>104</v>
      </c>
      <c r="BS256" t="s">
        <v>5467</v>
      </c>
      <c r="BT256" t="str">
        <f>HYPERLINK("https%3A%2F%2Fwww.webofscience.com%2Fwos%2Fwoscc%2Ffull-record%2FWOS:000539995500007","View Full Record in Web of Science")</f>
        <v>View Full Record in Web of Science</v>
      </c>
    </row>
    <row r="257" spans="1:72" x14ac:dyDescent="0.15">
      <c r="A257" t="s">
        <v>72</v>
      </c>
      <c r="B257" t="s">
        <v>5468</v>
      </c>
      <c r="C257" t="s">
        <v>74</v>
      </c>
      <c r="D257" t="s">
        <v>74</v>
      </c>
      <c r="E257" t="s">
        <v>74</v>
      </c>
      <c r="F257" t="s">
        <v>5469</v>
      </c>
      <c r="G257" t="s">
        <v>74</v>
      </c>
      <c r="H257" t="s">
        <v>74</v>
      </c>
      <c r="I257" t="s">
        <v>5470</v>
      </c>
      <c r="J257" t="s">
        <v>4350</v>
      </c>
      <c r="K257" t="s">
        <v>74</v>
      </c>
      <c r="L257" t="s">
        <v>74</v>
      </c>
      <c r="M257" t="s">
        <v>78</v>
      </c>
      <c r="N257" t="s">
        <v>79</v>
      </c>
      <c r="O257" t="s">
        <v>74</v>
      </c>
      <c r="P257" t="s">
        <v>74</v>
      </c>
      <c r="Q257" t="s">
        <v>74</v>
      </c>
      <c r="R257" t="s">
        <v>74</v>
      </c>
      <c r="S257" t="s">
        <v>74</v>
      </c>
      <c r="T257" t="s">
        <v>5471</v>
      </c>
      <c r="U257" t="s">
        <v>74</v>
      </c>
      <c r="V257" t="s">
        <v>5472</v>
      </c>
      <c r="W257" t="s">
        <v>5473</v>
      </c>
      <c r="X257" t="s">
        <v>5474</v>
      </c>
      <c r="Y257" t="s">
        <v>5475</v>
      </c>
      <c r="Z257" t="s">
        <v>5476</v>
      </c>
      <c r="AA257" t="s">
        <v>5477</v>
      </c>
      <c r="AB257" t="s">
        <v>5478</v>
      </c>
      <c r="AC257" t="s">
        <v>5479</v>
      </c>
      <c r="AD257" t="s">
        <v>5479</v>
      </c>
      <c r="AE257" t="s">
        <v>5480</v>
      </c>
      <c r="AF257" t="s">
        <v>74</v>
      </c>
      <c r="AG257">
        <v>55</v>
      </c>
      <c r="AH257">
        <v>14</v>
      </c>
      <c r="AI257">
        <v>14</v>
      </c>
      <c r="AJ257">
        <v>2</v>
      </c>
      <c r="AK257">
        <v>20</v>
      </c>
      <c r="AL257" t="s">
        <v>482</v>
      </c>
      <c r="AM257" t="s">
        <v>554</v>
      </c>
      <c r="AN257" t="s">
        <v>555</v>
      </c>
      <c r="AO257" t="s">
        <v>4363</v>
      </c>
      <c r="AP257" t="s">
        <v>4364</v>
      </c>
      <c r="AQ257" t="s">
        <v>74</v>
      </c>
      <c r="AR257" t="s">
        <v>4350</v>
      </c>
      <c r="AS257" t="s">
        <v>4365</v>
      </c>
      <c r="AT257" t="s">
        <v>1212</v>
      </c>
      <c r="AU257">
        <v>2021</v>
      </c>
      <c r="AV257">
        <v>50</v>
      </c>
      <c r="AW257">
        <v>11</v>
      </c>
      <c r="AX257" t="s">
        <v>74</v>
      </c>
      <c r="AY257" t="s">
        <v>74</v>
      </c>
      <c r="AZ257" t="s">
        <v>489</v>
      </c>
      <c r="BA257" t="s">
        <v>74</v>
      </c>
      <c r="BB257">
        <v>2060</v>
      </c>
      <c r="BC257">
        <v>2071</v>
      </c>
      <c r="BD257" t="s">
        <v>74</v>
      </c>
      <c r="BE257" t="s">
        <v>5481</v>
      </c>
      <c r="BF257" t="str">
        <f>HYPERLINK("http://dx.doi.org/10.1007/s13280-020-01387-9","http://dx.doi.org/10.1007/s13280-020-01387-9")</f>
        <v>http://dx.doi.org/10.1007/s13280-020-01387-9</v>
      </c>
      <c r="BG257" t="s">
        <v>74</v>
      </c>
      <c r="BH257" t="s">
        <v>3429</v>
      </c>
      <c r="BI257">
        <v>12</v>
      </c>
      <c r="BJ257" t="s">
        <v>945</v>
      </c>
      <c r="BK257" t="s">
        <v>100</v>
      </c>
      <c r="BL257" t="s">
        <v>946</v>
      </c>
      <c r="BM257" t="s">
        <v>5482</v>
      </c>
      <c r="BN257">
        <v>33058008</v>
      </c>
      <c r="BO257" t="s">
        <v>1259</v>
      </c>
      <c r="BP257" t="s">
        <v>74</v>
      </c>
      <c r="BQ257" t="s">
        <v>74</v>
      </c>
      <c r="BR257" t="s">
        <v>104</v>
      </c>
      <c r="BS257" t="s">
        <v>5483</v>
      </c>
      <c r="BT257" t="str">
        <f>HYPERLINK("https%3A%2F%2Fwww.webofscience.com%2Fwos%2Fwoscc%2Ffull-record%2FWOS:000577246900003","View Full Record in Web of Science")</f>
        <v>View Full Record in Web of Science</v>
      </c>
    </row>
    <row r="258" spans="1:72" x14ac:dyDescent="0.15">
      <c r="A258" t="s">
        <v>72</v>
      </c>
      <c r="B258" t="s">
        <v>5484</v>
      </c>
      <c r="C258" t="s">
        <v>74</v>
      </c>
      <c r="D258" t="s">
        <v>74</v>
      </c>
      <c r="E258" t="s">
        <v>74</v>
      </c>
      <c r="F258" t="s">
        <v>5485</v>
      </c>
      <c r="G258" t="s">
        <v>74</v>
      </c>
      <c r="H258" t="s">
        <v>74</v>
      </c>
      <c r="I258" t="s">
        <v>5486</v>
      </c>
      <c r="J258" t="s">
        <v>5487</v>
      </c>
      <c r="K258" t="s">
        <v>74</v>
      </c>
      <c r="L258" t="s">
        <v>74</v>
      </c>
      <c r="M258" t="s">
        <v>78</v>
      </c>
      <c r="N258" t="s">
        <v>79</v>
      </c>
      <c r="O258" t="s">
        <v>74</v>
      </c>
      <c r="P258" t="s">
        <v>74</v>
      </c>
      <c r="Q258" t="s">
        <v>74</v>
      </c>
      <c r="R258" t="s">
        <v>74</v>
      </c>
      <c r="S258" t="s">
        <v>74</v>
      </c>
      <c r="T258" t="s">
        <v>5488</v>
      </c>
      <c r="U258" t="s">
        <v>5489</v>
      </c>
      <c r="V258" t="s">
        <v>5490</v>
      </c>
      <c r="W258" t="s">
        <v>5491</v>
      </c>
      <c r="X258" t="s">
        <v>574</v>
      </c>
      <c r="Y258" t="s">
        <v>5492</v>
      </c>
      <c r="Z258" t="s">
        <v>5493</v>
      </c>
      <c r="AA258" t="s">
        <v>5494</v>
      </c>
      <c r="AB258" t="s">
        <v>5495</v>
      </c>
      <c r="AC258" t="s">
        <v>5496</v>
      </c>
      <c r="AD258" t="s">
        <v>5496</v>
      </c>
      <c r="AE258" t="s">
        <v>5497</v>
      </c>
      <c r="AF258" t="s">
        <v>74</v>
      </c>
      <c r="AG258">
        <v>57</v>
      </c>
      <c r="AH258">
        <v>15</v>
      </c>
      <c r="AI258">
        <v>17</v>
      </c>
      <c r="AJ258">
        <v>1</v>
      </c>
      <c r="AK258">
        <v>10</v>
      </c>
      <c r="AL258" t="s">
        <v>219</v>
      </c>
      <c r="AM258" t="s">
        <v>220</v>
      </c>
      <c r="AN258" t="s">
        <v>221</v>
      </c>
      <c r="AO258" t="s">
        <v>5498</v>
      </c>
      <c r="AP258" t="s">
        <v>5499</v>
      </c>
      <c r="AQ258" t="s">
        <v>74</v>
      </c>
      <c r="AR258" t="s">
        <v>5500</v>
      </c>
      <c r="AS258" t="s">
        <v>5501</v>
      </c>
      <c r="AT258" t="s">
        <v>252</v>
      </c>
      <c r="AU258">
        <v>2021</v>
      </c>
      <c r="AV258">
        <v>24</v>
      </c>
      <c r="AW258">
        <v>1</v>
      </c>
      <c r="AX258" t="s">
        <v>74</v>
      </c>
      <c r="AY258" t="s">
        <v>74</v>
      </c>
      <c r="AZ258" t="s">
        <v>74</v>
      </c>
      <c r="BA258" t="s">
        <v>74</v>
      </c>
      <c r="BB258">
        <v>84</v>
      </c>
      <c r="BC258">
        <v>93</v>
      </c>
      <c r="BD258" t="s">
        <v>74</v>
      </c>
      <c r="BE258" t="s">
        <v>5502</v>
      </c>
      <c r="BF258" t="str">
        <f>HYPERLINK("http://dx.doi.org/10.1111/ele.13624","http://dx.doi.org/10.1111/ele.13624")</f>
        <v>http://dx.doi.org/10.1111/ele.13624</v>
      </c>
      <c r="BG258" t="s">
        <v>74</v>
      </c>
      <c r="BH258" t="s">
        <v>3429</v>
      </c>
      <c r="BI258">
        <v>10</v>
      </c>
      <c r="BJ258" t="s">
        <v>823</v>
      </c>
      <c r="BK258" t="s">
        <v>100</v>
      </c>
      <c r="BL258" t="s">
        <v>284</v>
      </c>
      <c r="BM258" t="s">
        <v>5503</v>
      </c>
      <c r="BN258">
        <v>33058398</v>
      </c>
      <c r="BO258" t="s">
        <v>701</v>
      </c>
      <c r="BP258" t="s">
        <v>74</v>
      </c>
      <c r="BQ258" t="s">
        <v>74</v>
      </c>
      <c r="BR258" t="s">
        <v>104</v>
      </c>
      <c r="BS258" t="s">
        <v>5504</v>
      </c>
      <c r="BT258" t="str">
        <f>HYPERLINK("https%3A%2F%2Fwww.webofscience.com%2Fwos%2Fwoscc%2Ffull-record%2FWOS:000577672100001","View Full Record in Web of Science")</f>
        <v>View Full Record in Web of Science</v>
      </c>
    </row>
    <row r="259" spans="1:72" x14ac:dyDescent="0.15">
      <c r="A259" t="s">
        <v>72</v>
      </c>
      <c r="B259" t="s">
        <v>5505</v>
      </c>
      <c r="C259" t="s">
        <v>74</v>
      </c>
      <c r="D259" t="s">
        <v>74</v>
      </c>
      <c r="E259" t="s">
        <v>74</v>
      </c>
      <c r="F259" t="s">
        <v>5506</v>
      </c>
      <c r="G259" t="s">
        <v>74</v>
      </c>
      <c r="H259" t="s">
        <v>74</v>
      </c>
      <c r="I259" t="s">
        <v>5507</v>
      </c>
      <c r="J259" t="s">
        <v>309</v>
      </c>
      <c r="K259" t="s">
        <v>74</v>
      </c>
      <c r="L259" t="s">
        <v>74</v>
      </c>
      <c r="M259" t="s">
        <v>78</v>
      </c>
      <c r="N259" t="s">
        <v>79</v>
      </c>
      <c r="O259" t="s">
        <v>74</v>
      </c>
      <c r="P259" t="s">
        <v>74</v>
      </c>
      <c r="Q259" t="s">
        <v>74</v>
      </c>
      <c r="R259" t="s">
        <v>74</v>
      </c>
      <c r="S259" t="s">
        <v>74</v>
      </c>
      <c r="T259" t="s">
        <v>74</v>
      </c>
      <c r="U259" t="s">
        <v>5508</v>
      </c>
      <c r="V259" t="s">
        <v>5509</v>
      </c>
      <c r="W259" t="s">
        <v>5510</v>
      </c>
      <c r="X259" t="s">
        <v>5511</v>
      </c>
      <c r="Y259" t="s">
        <v>5512</v>
      </c>
      <c r="Z259" t="s">
        <v>5513</v>
      </c>
      <c r="AA259" t="s">
        <v>5514</v>
      </c>
      <c r="AB259" t="s">
        <v>5515</v>
      </c>
      <c r="AC259" t="s">
        <v>5516</v>
      </c>
      <c r="AD259" t="s">
        <v>5517</v>
      </c>
      <c r="AE259" t="s">
        <v>5518</v>
      </c>
      <c r="AF259" t="s">
        <v>74</v>
      </c>
      <c r="AG259">
        <v>84</v>
      </c>
      <c r="AH259">
        <v>12</v>
      </c>
      <c r="AI259">
        <v>12</v>
      </c>
      <c r="AJ259">
        <v>0</v>
      </c>
      <c r="AK259">
        <v>5</v>
      </c>
      <c r="AL259" t="s">
        <v>413</v>
      </c>
      <c r="AM259" t="s">
        <v>322</v>
      </c>
      <c r="AN259" t="s">
        <v>323</v>
      </c>
      <c r="AO259" t="s">
        <v>324</v>
      </c>
      <c r="AP259" t="s">
        <v>74</v>
      </c>
      <c r="AQ259" t="s">
        <v>74</v>
      </c>
      <c r="AR259" t="s">
        <v>325</v>
      </c>
      <c r="AS259" t="s">
        <v>326</v>
      </c>
      <c r="AT259" t="s">
        <v>5519</v>
      </c>
      <c r="AU259">
        <v>2020</v>
      </c>
      <c r="AV259">
        <v>10</v>
      </c>
      <c r="AW259">
        <v>1</v>
      </c>
      <c r="AX259" t="s">
        <v>74</v>
      </c>
      <c r="AY259" t="s">
        <v>74</v>
      </c>
      <c r="AZ259" t="s">
        <v>74</v>
      </c>
      <c r="BA259" t="s">
        <v>74</v>
      </c>
      <c r="BB259" t="s">
        <v>74</v>
      </c>
      <c r="BC259" t="s">
        <v>74</v>
      </c>
      <c r="BD259">
        <v>17181</v>
      </c>
      <c r="BE259" t="s">
        <v>5520</v>
      </c>
      <c r="BF259" t="str">
        <f>HYPERLINK("http://dx.doi.org/10.1038/s41598-020-73702-z","http://dx.doi.org/10.1038/s41598-020-73702-z")</f>
        <v>http://dx.doi.org/10.1038/s41598-020-73702-z</v>
      </c>
      <c r="BG259" t="s">
        <v>74</v>
      </c>
      <c r="BH259" t="s">
        <v>74</v>
      </c>
      <c r="BI259">
        <v>11</v>
      </c>
      <c r="BJ259" t="s">
        <v>329</v>
      </c>
      <c r="BK259" t="s">
        <v>100</v>
      </c>
      <c r="BL259" t="s">
        <v>330</v>
      </c>
      <c r="BM259" t="s">
        <v>5521</v>
      </c>
      <c r="BN259">
        <v>33057075</v>
      </c>
      <c r="BO259" t="s">
        <v>332</v>
      </c>
      <c r="BP259" t="s">
        <v>74</v>
      </c>
      <c r="BQ259" t="s">
        <v>74</v>
      </c>
      <c r="BR259" t="s">
        <v>104</v>
      </c>
      <c r="BS259" t="s">
        <v>5522</v>
      </c>
      <c r="BT259" t="str">
        <f>HYPERLINK("https%3A%2F%2Fwww.webofscience.com%2Fwos%2Fwoscc%2Ffull-record%2FWOS:000582678400011","View Full Record in Web of Science")</f>
        <v>View Full Record in Web of Science</v>
      </c>
    </row>
    <row r="260" spans="1:72" x14ac:dyDescent="0.15">
      <c r="A260" t="s">
        <v>72</v>
      </c>
      <c r="B260" t="s">
        <v>5523</v>
      </c>
      <c r="C260" t="s">
        <v>74</v>
      </c>
      <c r="D260" t="s">
        <v>74</v>
      </c>
      <c r="E260" t="s">
        <v>74</v>
      </c>
      <c r="F260" t="s">
        <v>5524</v>
      </c>
      <c r="G260" t="s">
        <v>74</v>
      </c>
      <c r="H260" t="s">
        <v>74</v>
      </c>
      <c r="I260" t="s">
        <v>5525</v>
      </c>
      <c r="J260" t="s">
        <v>4007</v>
      </c>
      <c r="K260" t="s">
        <v>74</v>
      </c>
      <c r="L260" t="s">
        <v>74</v>
      </c>
      <c r="M260" t="s">
        <v>78</v>
      </c>
      <c r="N260" t="s">
        <v>79</v>
      </c>
      <c r="O260" t="s">
        <v>74</v>
      </c>
      <c r="P260" t="s">
        <v>74</v>
      </c>
      <c r="Q260" t="s">
        <v>74</v>
      </c>
      <c r="R260" t="s">
        <v>74</v>
      </c>
      <c r="S260" t="s">
        <v>74</v>
      </c>
      <c r="T260" t="s">
        <v>5526</v>
      </c>
      <c r="U260" t="s">
        <v>5527</v>
      </c>
      <c r="V260" t="s">
        <v>5528</v>
      </c>
      <c r="W260" t="s">
        <v>5529</v>
      </c>
      <c r="X260" t="s">
        <v>5530</v>
      </c>
      <c r="Y260" t="s">
        <v>5531</v>
      </c>
      <c r="Z260" t="s">
        <v>5532</v>
      </c>
      <c r="AA260" t="s">
        <v>5533</v>
      </c>
      <c r="AB260" t="s">
        <v>5534</v>
      </c>
      <c r="AC260" t="s">
        <v>5535</v>
      </c>
      <c r="AD260" t="s">
        <v>5536</v>
      </c>
      <c r="AE260" t="s">
        <v>5537</v>
      </c>
      <c r="AF260" t="s">
        <v>74</v>
      </c>
      <c r="AG260">
        <v>95</v>
      </c>
      <c r="AH260">
        <v>49</v>
      </c>
      <c r="AI260">
        <v>52</v>
      </c>
      <c r="AJ260">
        <v>3</v>
      </c>
      <c r="AK260">
        <v>29</v>
      </c>
      <c r="AL260" t="s">
        <v>4018</v>
      </c>
      <c r="AM260" t="s">
        <v>609</v>
      </c>
      <c r="AN260" t="s">
        <v>4019</v>
      </c>
      <c r="AO260" t="s">
        <v>4020</v>
      </c>
      <c r="AP260" t="s">
        <v>4778</v>
      </c>
      <c r="AQ260" t="s">
        <v>74</v>
      </c>
      <c r="AR260" t="s">
        <v>4021</v>
      </c>
      <c r="AS260" t="s">
        <v>4022</v>
      </c>
      <c r="AT260" t="s">
        <v>5538</v>
      </c>
      <c r="AU260">
        <v>2020</v>
      </c>
      <c r="AV260">
        <v>117</v>
      </c>
      <c r="AW260">
        <v>41</v>
      </c>
      <c r="AX260" t="s">
        <v>74</v>
      </c>
      <c r="AY260" t="s">
        <v>74</v>
      </c>
      <c r="AZ260" t="s">
        <v>74</v>
      </c>
      <c r="BA260" t="s">
        <v>74</v>
      </c>
      <c r="BB260">
        <v>25302</v>
      </c>
      <c r="BC260">
        <v>25309</v>
      </c>
      <c r="BD260" t="s">
        <v>74</v>
      </c>
      <c r="BE260" t="s">
        <v>5539</v>
      </c>
      <c r="BF260" t="str">
        <f>HYPERLINK("http://dx.doi.org/10.1073/pnas.2003914117","http://dx.doi.org/10.1073/pnas.2003914117")</f>
        <v>http://dx.doi.org/10.1073/pnas.2003914117</v>
      </c>
      <c r="BG260" t="s">
        <v>74</v>
      </c>
      <c r="BH260" t="s">
        <v>74</v>
      </c>
      <c r="BI260">
        <v>8</v>
      </c>
      <c r="BJ260" t="s">
        <v>329</v>
      </c>
      <c r="BK260" t="s">
        <v>100</v>
      </c>
      <c r="BL260" t="s">
        <v>330</v>
      </c>
      <c r="BM260" t="s">
        <v>5540</v>
      </c>
      <c r="BN260">
        <v>32989142</v>
      </c>
      <c r="BO260" t="s">
        <v>1894</v>
      </c>
      <c r="BP260" t="s">
        <v>74</v>
      </c>
      <c r="BQ260" t="s">
        <v>74</v>
      </c>
      <c r="BR260" t="s">
        <v>104</v>
      </c>
      <c r="BS260" t="s">
        <v>5541</v>
      </c>
      <c r="BT260" t="str">
        <f>HYPERLINK("https%3A%2F%2Fwww.webofscience.com%2Fwos%2Fwoscc%2Ffull-record%2FWOS:000642211500003","View Full Record in Web of Science")</f>
        <v>View Full Record in Web of Science</v>
      </c>
    </row>
    <row r="261" spans="1:72" x14ac:dyDescent="0.15">
      <c r="A261" t="s">
        <v>72</v>
      </c>
      <c r="B261" t="s">
        <v>5542</v>
      </c>
      <c r="C261" t="s">
        <v>74</v>
      </c>
      <c r="D261" t="s">
        <v>74</v>
      </c>
      <c r="E261" t="s">
        <v>74</v>
      </c>
      <c r="F261" t="s">
        <v>5543</v>
      </c>
      <c r="G261" t="s">
        <v>74</v>
      </c>
      <c r="H261" t="s">
        <v>74</v>
      </c>
      <c r="I261" t="s">
        <v>5544</v>
      </c>
      <c r="J261" t="s">
        <v>4007</v>
      </c>
      <c r="K261" t="s">
        <v>74</v>
      </c>
      <c r="L261" t="s">
        <v>74</v>
      </c>
      <c r="M261" t="s">
        <v>78</v>
      </c>
      <c r="N261" t="s">
        <v>79</v>
      </c>
      <c r="O261" t="s">
        <v>74</v>
      </c>
      <c r="P261" t="s">
        <v>74</v>
      </c>
      <c r="Q261" t="s">
        <v>74</v>
      </c>
      <c r="R261" t="s">
        <v>74</v>
      </c>
      <c r="S261" t="s">
        <v>74</v>
      </c>
      <c r="T261" t="s">
        <v>5545</v>
      </c>
      <c r="U261" t="s">
        <v>5546</v>
      </c>
      <c r="V261" t="s">
        <v>5547</v>
      </c>
      <c r="W261" t="s">
        <v>5548</v>
      </c>
      <c r="X261" t="s">
        <v>5549</v>
      </c>
      <c r="Y261" t="s">
        <v>5550</v>
      </c>
      <c r="Z261" t="s">
        <v>5551</v>
      </c>
      <c r="AA261" t="s">
        <v>74</v>
      </c>
      <c r="AB261" t="s">
        <v>5552</v>
      </c>
      <c r="AC261" t="s">
        <v>5553</v>
      </c>
      <c r="AD261" t="s">
        <v>5554</v>
      </c>
      <c r="AE261" t="s">
        <v>5555</v>
      </c>
      <c r="AF261" t="s">
        <v>74</v>
      </c>
      <c r="AG261">
        <v>72</v>
      </c>
      <c r="AH261">
        <v>38</v>
      </c>
      <c r="AI261">
        <v>43</v>
      </c>
      <c r="AJ261">
        <v>8</v>
      </c>
      <c r="AK261">
        <v>27</v>
      </c>
      <c r="AL261" t="s">
        <v>4018</v>
      </c>
      <c r="AM261" t="s">
        <v>609</v>
      </c>
      <c r="AN261" t="s">
        <v>4019</v>
      </c>
      <c r="AO261" t="s">
        <v>4020</v>
      </c>
      <c r="AP261" t="s">
        <v>74</v>
      </c>
      <c r="AQ261" t="s">
        <v>74</v>
      </c>
      <c r="AR261" t="s">
        <v>4021</v>
      </c>
      <c r="AS261" t="s">
        <v>4022</v>
      </c>
      <c r="AT261" t="s">
        <v>5538</v>
      </c>
      <c r="AU261">
        <v>2020</v>
      </c>
      <c r="AV261">
        <v>117</v>
      </c>
      <c r="AW261">
        <v>41</v>
      </c>
      <c r="AX261" t="s">
        <v>74</v>
      </c>
      <c r="AY261" t="s">
        <v>74</v>
      </c>
      <c r="AZ261" t="s">
        <v>74</v>
      </c>
      <c r="BA261" t="s">
        <v>74</v>
      </c>
      <c r="BB261">
        <v>25319</v>
      </c>
      <c r="BC261">
        <v>25326</v>
      </c>
      <c r="BD261" t="s">
        <v>74</v>
      </c>
      <c r="BE261" t="s">
        <v>5556</v>
      </c>
      <c r="BF261" t="str">
        <f>HYPERLINK("http://dx.doi.org/10.1073/pnas.2011033117","http://dx.doi.org/10.1073/pnas.2011033117")</f>
        <v>http://dx.doi.org/10.1073/pnas.2011033117</v>
      </c>
      <c r="BG261" t="s">
        <v>74</v>
      </c>
      <c r="BH261" t="s">
        <v>74</v>
      </c>
      <c r="BI261">
        <v>8</v>
      </c>
      <c r="BJ261" t="s">
        <v>329</v>
      </c>
      <c r="BK261" t="s">
        <v>100</v>
      </c>
      <c r="BL261" t="s">
        <v>330</v>
      </c>
      <c r="BM261" t="s">
        <v>5540</v>
      </c>
      <c r="BN261">
        <v>32973090</v>
      </c>
      <c r="BO261" t="s">
        <v>5557</v>
      </c>
      <c r="BP261" t="s">
        <v>74</v>
      </c>
      <c r="BQ261" t="s">
        <v>74</v>
      </c>
      <c r="BR261" t="s">
        <v>104</v>
      </c>
      <c r="BS261" t="s">
        <v>5558</v>
      </c>
      <c r="BT261" t="str">
        <f>HYPERLINK("https%3A%2F%2Fwww.webofscience.com%2Fwos%2Fwoscc%2Ffull-record%2FWOS:000642211500005","View Full Record in Web of Science")</f>
        <v>View Full Record in Web of Science</v>
      </c>
    </row>
    <row r="262" spans="1:72" x14ac:dyDescent="0.15">
      <c r="A262" t="s">
        <v>72</v>
      </c>
      <c r="B262" t="s">
        <v>5559</v>
      </c>
      <c r="C262" t="s">
        <v>74</v>
      </c>
      <c r="D262" t="s">
        <v>74</v>
      </c>
      <c r="E262" t="s">
        <v>74</v>
      </c>
      <c r="F262" t="s">
        <v>5560</v>
      </c>
      <c r="G262" t="s">
        <v>74</v>
      </c>
      <c r="H262" t="s">
        <v>74</v>
      </c>
      <c r="I262" t="s">
        <v>5561</v>
      </c>
      <c r="J262" t="s">
        <v>309</v>
      </c>
      <c r="K262" t="s">
        <v>74</v>
      </c>
      <c r="L262" t="s">
        <v>74</v>
      </c>
      <c r="M262" t="s">
        <v>78</v>
      </c>
      <c r="N262" t="s">
        <v>79</v>
      </c>
      <c r="O262" t="s">
        <v>74</v>
      </c>
      <c r="P262" t="s">
        <v>74</v>
      </c>
      <c r="Q262" t="s">
        <v>74</v>
      </c>
      <c r="R262" t="s">
        <v>74</v>
      </c>
      <c r="S262" t="s">
        <v>74</v>
      </c>
      <c r="T262" t="s">
        <v>74</v>
      </c>
      <c r="U262" t="s">
        <v>5562</v>
      </c>
      <c r="V262" t="s">
        <v>5563</v>
      </c>
      <c r="W262" t="s">
        <v>5564</v>
      </c>
      <c r="X262" t="s">
        <v>5565</v>
      </c>
      <c r="Y262" t="s">
        <v>5566</v>
      </c>
      <c r="Z262" t="s">
        <v>5567</v>
      </c>
      <c r="AA262" t="s">
        <v>5568</v>
      </c>
      <c r="AB262" t="s">
        <v>5569</v>
      </c>
      <c r="AC262" t="s">
        <v>5570</v>
      </c>
      <c r="AD262" t="s">
        <v>5571</v>
      </c>
      <c r="AE262" t="s">
        <v>5572</v>
      </c>
      <c r="AF262" t="s">
        <v>74</v>
      </c>
      <c r="AG262">
        <v>111</v>
      </c>
      <c r="AH262">
        <v>20</v>
      </c>
      <c r="AI262">
        <v>21</v>
      </c>
      <c r="AJ262">
        <v>0</v>
      </c>
      <c r="AK262">
        <v>8</v>
      </c>
      <c r="AL262" t="s">
        <v>413</v>
      </c>
      <c r="AM262" t="s">
        <v>322</v>
      </c>
      <c r="AN262" t="s">
        <v>323</v>
      </c>
      <c r="AO262" t="s">
        <v>324</v>
      </c>
      <c r="AP262" t="s">
        <v>74</v>
      </c>
      <c r="AQ262" t="s">
        <v>74</v>
      </c>
      <c r="AR262" t="s">
        <v>325</v>
      </c>
      <c r="AS262" t="s">
        <v>326</v>
      </c>
      <c r="AT262" t="s">
        <v>5538</v>
      </c>
      <c r="AU262">
        <v>2020</v>
      </c>
      <c r="AV262">
        <v>10</v>
      </c>
      <c r="AW262">
        <v>1</v>
      </c>
      <c r="AX262" t="s">
        <v>74</v>
      </c>
      <c r="AY262" t="s">
        <v>74</v>
      </c>
      <c r="AZ262" t="s">
        <v>74</v>
      </c>
      <c r="BA262" t="s">
        <v>74</v>
      </c>
      <c r="BB262" t="s">
        <v>74</v>
      </c>
      <c r="BC262" t="s">
        <v>74</v>
      </c>
      <c r="BD262">
        <v>17103</v>
      </c>
      <c r="BE262" t="s">
        <v>5573</v>
      </c>
      <c r="BF262" t="str">
        <f>HYPERLINK("http://dx.doi.org/10.1038/s41598-020-72754-5","http://dx.doi.org/10.1038/s41598-020-72754-5")</f>
        <v>http://dx.doi.org/10.1038/s41598-020-72754-5</v>
      </c>
      <c r="BG262" t="s">
        <v>74</v>
      </c>
      <c r="BH262" t="s">
        <v>74</v>
      </c>
      <c r="BI262">
        <v>17</v>
      </c>
      <c r="BJ262" t="s">
        <v>329</v>
      </c>
      <c r="BK262" t="s">
        <v>100</v>
      </c>
      <c r="BL262" t="s">
        <v>330</v>
      </c>
      <c r="BM262" t="s">
        <v>5574</v>
      </c>
      <c r="BN262">
        <v>33051466</v>
      </c>
      <c r="BO262" t="s">
        <v>4244</v>
      </c>
      <c r="BP262" t="s">
        <v>74</v>
      </c>
      <c r="BQ262" t="s">
        <v>74</v>
      </c>
      <c r="BR262" t="s">
        <v>104</v>
      </c>
      <c r="BS262" t="s">
        <v>5575</v>
      </c>
      <c r="BT262" t="str">
        <f>HYPERLINK("https%3A%2F%2Fwww.webofscience.com%2Fwos%2Fwoscc%2Ffull-record%2FWOS:000582688400017","View Full Record in Web of Science")</f>
        <v>View Full Record in Web of Science</v>
      </c>
    </row>
    <row r="263" spans="1:72" x14ac:dyDescent="0.15">
      <c r="A263" t="s">
        <v>72</v>
      </c>
      <c r="B263" t="s">
        <v>5576</v>
      </c>
      <c r="C263" t="s">
        <v>74</v>
      </c>
      <c r="D263" t="s">
        <v>74</v>
      </c>
      <c r="E263" t="s">
        <v>74</v>
      </c>
      <c r="F263" t="s">
        <v>5577</v>
      </c>
      <c r="G263" t="s">
        <v>74</v>
      </c>
      <c r="H263" t="s">
        <v>74</v>
      </c>
      <c r="I263" t="s">
        <v>5578</v>
      </c>
      <c r="J263" t="s">
        <v>5579</v>
      </c>
      <c r="K263" t="s">
        <v>74</v>
      </c>
      <c r="L263" t="s">
        <v>74</v>
      </c>
      <c r="M263" t="s">
        <v>78</v>
      </c>
      <c r="N263" t="s">
        <v>79</v>
      </c>
      <c r="O263" t="s">
        <v>74</v>
      </c>
      <c r="P263" t="s">
        <v>74</v>
      </c>
      <c r="Q263" t="s">
        <v>74</v>
      </c>
      <c r="R263" t="s">
        <v>74</v>
      </c>
      <c r="S263" t="s">
        <v>74</v>
      </c>
      <c r="T263" t="s">
        <v>5580</v>
      </c>
      <c r="U263" t="s">
        <v>74</v>
      </c>
      <c r="V263" t="s">
        <v>5581</v>
      </c>
      <c r="W263" t="s">
        <v>5582</v>
      </c>
      <c r="X263" t="s">
        <v>5583</v>
      </c>
      <c r="Y263" t="s">
        <v>5584</v>
      </c>
      <c r="Z263" t="s">
        <v>5585</v>
      </c>
      <c r="AA263" t="s">
        <v>5586</v>
      </c>
      <c r="AB263" t="s">
        <v>5587</v>
      </c>
      <c r="AC263" t="s">
        <v>5588</v>
      </c>
      <c r="AD263" t="s">
        <v>5589</v>
      </c>
      <c r="AE263" t="s">
        <v>5590</v>
      </c>
      <c r="AF263" t="s">
        <v>74</v>
      </c>
      <c r="AG263">
        <v>19</v>
      </c>
      <c r="AH263">
        <v>5</v>
      </c>
      <c r="AI263">
        <v>5</v>
      </c>
      <c r="AJ263">
        <v>1</v>
      </c>
      <c r="AK263">
        <v>7</v>
      </c>
      <c r="AL263" t="s">
        <v>766</v>
      </c>
      <c r="AM263" t="s">
        <v>123</v>
      </c>
      <c r="AN263" t="s">
        <v>767</v>
      </c>
      <c r="AO263" t="s">
        <v>74</v>
      </c>
      <c r="AP263" t="s">
        <v>5591</v>
      </c>
      <c r="AQ263" t="s">
        <v>74</v>
      </c>
      <c r="AR263" t="s">
        <v>5592</v>
      </c>
      <c r="AS263" t="s">
        <v>5593</v>
      </c>
      <c r="AT263" t="s">
        <v>5594</v>
      </c>
      <c r="AU263">
        <v>2020</v>
      </c>
      <c r="AV263">
        <v>8</v>
      </c>
      <c r="AW263">
        <v>1</v>
      </c>
      <c r="AX263" t="s">
        <v>74</v>
      </c>
      <c r="AY263" t="s">
        <v>74</v>
      </c>
      <c r="AZ263" t="s">
        <v>74</v>
      </c>
      <c r="BA263" t="s">
        <v>74</v>
      </c>
      <c r="BB263" t="s">
        <v>74</v>
      </c>
      <c r="BC263" t="s">
        <v>74</v>
      </c>
      <c r="BD263">
        <v>31</v>
      </c>
      <c r="BE263" t="s">
        <v>5595</v>
      </c>
      <c r="BF263" t="str">
        <f>HYPERLINK("http://dx.doi.org/10.1186/s40317-020-00218-8","http://dx.doi.org/10.1186/s40317-020-00218-8")</f>
        <v>http://dx.doi.org/10.1186/s40317-020-00218-8</v>
      </c>
      <c r="BG263" t="s">
        <v>74</v>
      </c>
      <c r="BH263" t="s">
        <v>74</v>
      </c>
      <c r="BI263">
        <v>12</v>
      </c>
      <c r="BJ263" t="s">
        <v>5596</v>
      </c>
      <c r="BK263" t="s">
        <v>100</v>
      </c>
      <c r="BL263" t="s">
        <v>5597</v>
      </c>
      <c r="BM263" t="s">
        <v>5598</v>
      </c>
      <c r="BN263" t="s">
        <v>74</v>
      </c>
      <c r="BO263" t="s">
        <v>202</v>
      </c>
      <c r="BP263" t="s">
        <v>74</v>
      </c>
      <c r="BQ263" t="s">
        <v>74</v>
      </c>
      <c r="BR263" t="s">
        <v>104</v>
      </c>
      <c r="BS263" t="s">
        <v>5599</v>
      </c>
      <c r="BT263" t="str">
        <f>HYPERLINK("https%3A%2F%2Fwww.webofscience.com%2Fwos%2Fwoscc%2Ffull-record%2FWOS:000696406400001","View Full Record in Web of Science")</f>
        <v>View Full Record in Web of Science</v>
      </c>
    </row>
    <row r="264" spans="1:72" x14ac:dyDescent="0.15">
      <c r="A264" t="s">
        <v>72</v>
      </c>
      <c r="B264" t="s">
        <v>5600</v>
      </c>
      <c r="C264" t="s">
        <v>74</v>
      </c>
      <c r="D264" t="s">
        <v>74</v>
      </c>
      <c r="E264" t="s">
        <v>74</v>
      </c>
      <c r="F264" t="s">
        <v>5601</v>
      </c>
      <c r="G264" t="s">
        <v>74</v>
      </c>
      <c r="H264" t="s">
        <v>74</v>
      </c>
      <c r="I264" t="s">
        <v>5602</v>
      </c>
      <c r="J264" t="s">
        <v>5603</v>
      </c>
      <c r="K264" t="s">
        <v>74</v>
      </c>
      <c r="L264" t="s">
        <v>74</v>
      </c>
      <c r="M264" t="s">
        <v>78</v>
      </c>
      <c r="N264" t="s">
        <v>79</v>
      </c>
      <c r="O264" t="s">
        <v>74</v>
      </c>
      <c r="P264" t="s">
        <v>74</v>
      </c>
      <c r="Q264" t="s">
        <v>74</v>
      </c>
      <c r="R264" t="s">
        <v>74</v>
      </c>
      <c r="S264" t="s">
        <v>74</v>
      </c>
      <c r="T264" t="s">
        <v>74</v>
      </c>
      <c r="U264" t="s">
        <v>5604</v>
      </c>
      <c r="V264" t="s">
        <v>5605</v>
      </c>
      <c r="W264" t="s">
        <v>5606</v>
      </c>
      <c r="X264" t="s">
        <v>5607</v>
      </c>
      <c r="Y264" t="s">
        <v>5608</v>
      </c>
      <c r="Z264" t="s">
        <v>5609</v>
      </c>
      <c r="AA264" t="s">
        <v>5610</v>
      </c>
      <c r="AB264" t="s">
        <v>5611</v>
      </c>
      <c r="AC264" t="s">
        <v>5612</v>
      </c>
      <c r="AD264" t="s">
        <v>5613</v>
      </c>
      <c r="AE264" t="s">
        <v>5614</v>
      </c>
      <c r="AF264" t="s">
        <v>74</v>
      </c>
      <c r="AG264">
        <v>68</v>
      </c>
      <c r="AH264">
        <v>20</v>
      </c>
      <c r="AI264">
        <v>22</v>
      </c>
      <c r="AJ264">
        <v>2</v>
      </c>
      <c r="AK264">
        <v>35</v>
      </c>
      <c r="AL264" t="s">
        <v>91</v>
      </c>
      <c r="AM264" t="s">
        <v>92</v>
      </c>
      <c r="AN264" t="s">
        <v>93</v>
      </c>
      <c r="AO264" t="s">
        <v>5615</v>
      </c>
      <c r="AP264" t="s">
        <v>5616</v>
      </c>
      <c r="AQ264" t="s">
        <v>74</v>
      </c>
      <c r="AR264" t="s">
        <v>5603</v>
      </c>
      <c r="AS264" t="s">
        <v>5617</v>
      </c>
      <c r="AT264" t="s">
        <v>5594</v>
      </c>
      <c r="AU264">
        <v>2020</v>
      </c>
      <c r="AV264">
        <v>17</v>
      </c>
      <c r="AW264">
        <v>19</v>
      </c>
      <c r="AX264" t="s">
        <v>74</v>
      </c>
      <c r="AY264" t="s">
        <v>74</v>
      </c>
      <c r="AZ264" t="s">
        <v>74</v>
      </c>
      <c r="BA264" t="s">
        <v>74</v>
      </c>
      <c r="BB264">
        <v>4831</v>
      </c>
      <c r="BC264">
        <v>4852</v>
      </c>
      <c r="BD264" t="s">
        <v>74</v>
      </c>
      <c r="BE264" t="s">
        <v>5618</v>
      </c>
      <c r="BF264" t="str">
        <f>HYPERLINK("http://dx.doi.org/10.5194/bg-17-4831-2020","http://dx.doi.org/10.5194/bg-17-4831-2020")</f>
        <v>http://dx.doi.org/10.5194/bg-17-4831-2020</v>
      </c>
      <c r="BG264" t="s">
        <v>74</v>
      </c>
      <c r="BH264" t="s">
        <v>74</v>
      </c>
      <c r="BI264">
        <v>22</v>
      </c>
      <c r="BJ264" t="s">
        <v>5619</v>
      </c>
      <c r="BK264" t="s">
        <v>100</v>
      </c>
      <c r="BL264" t="s">
        <v>5620</v>
      </c>
      <c r="BM264" t="s">
        <v>5621</v>
      </c>
      <c r="BN264" t="s">
        <v>74</v>
      </c>
      <c r="BO264" t="s">
        <v>5622</v>
      </c>
      <c r="BP264" t="s">
        <v>74</v>
      </c>
      <c r="BQ264" t="s">
        <v>74</v>
      </c>
      <c r="BR264" t="s">
        <v>104</v>
      </c>
      <c r="BS264" t="s">
        <v>5623</v>
      </c>
      <c r="BT264" t="str">
        <f>HYPERLINK("https%3A%2F%2Fwww.webofscience.com%2Fwos%2Fwoscc%2Ffull-record%2FWOS:000580826500001","View Full Record in Web of Science")</f>
        <v>View Full Record in Web of Science</v>
      </c>
    </row>
    <row r="265" spans="1:72" x14ac:dyDescent="0.15">
      <c r="A265" t="s">
        <v>72</v>
      </c>
      <c r="B265" t="s">
        <v>5624</v>
      </c>
      <c r="C265" t="s">
        <v>74</v>
      </c>
      <c r="D265" t="s">
        <v>74</v>
      </c>
      <c r="E265" t="s">
        <v>74</v>
      </c>
      <c r="F265" t="s">
        <v>5625</v>
      </c>
      <c r="G265" t="s">
        <v>74</v>
      </c>
      <c r="H265" t="s">
        <v>74</v>
      </c>
      <c r="I265" t="s">
        <v>5626</v>
      </c>
      <c r="J265" t="s">
        <v>235</v>
      </c>
      <c r="K265" t="s">
        <v>74</v>
      </c>
      <c r="L265" t="s">
        <v>74</v>
      </c>
      <c r="M265" t="s">
        <v>78</v>
      </c>
      <c r="N265" t="s">
        <v>79</v>
      </c>
      <c r="O265" t="s">
        <v>74</v>
      </c>
      <c r="P265" t="s">
        <v>74</v>
      </c>
      <c r="Q265" t="s">
        <v>74</v>
      </c>
      <c r="R265" t="s">
        <v>74</v>
      </c>
      <c r="S265" t="s">
        <v>74</v>
      </c>
      <c r="T265" t="s">
        <v>5627</v>
      </c>
      <c r="U265" t="s">
        <v>5628</v>
      </c>
      <c r="V265" t="s">
        <v>5629</v>
      </c>
      <c r="W265" t="s">
        <v>5630</v>
      </c>
      <c r="X265" t="s">
        <v>5631</v>
      </c>
      <c r="Y265" t="s">
        <v>5632</v>
      </c>
      <c r="Z265" t="s">
        <v>5633</v>
      </c>
      <c r="AA265" t="s">
        <v>5634</v>
      </c>
      <c r="AB265" t="s">
        <v>5635</v>
      </c>
      <c r="AC265" t="s">
        <v>5636</v>
      </c>
      <c r="AD265" t="s">
        <v>5637</v>
      </c>
      <c r="AE265" t="s">
        <v>5638</v>
      </c>
      <c r="AF265" t="s">
        <v>74</v>
      </c>
      <c r="AG265">
        <v>151</v>
      </c>
      <c r="AH265">
        <v>33</v>
      </c>
      <c r="AI265">
        <v>34</v>
      </c>
      <c r="AJ265">
        <v>4</v>
      </c>
      <c r="AK265">
        <v>101</v>
      </c>
      <c r="AL265" t="s">
        <v>219</v>
      </c>
      <c r="AM265" t="s">
        <v>220</v>
      </c>
      <c r="AN265" t="s">
        <v>221</v>
      </c>
      <c r="AO265" t="s">
        <v>248</v>
      </c>
      <c r="AP265" t="s">
        <v>249</v>
      </c>
      <c r="AQ265" t="s">
        <v>74</v>
      </c>
      <c r="AR265" t="s">
        <v>250</v>
      </c>
      <c r="AS265" t="s">
        <v>251</v>
      </c>
      <c r="AT265" t="s">
        <v>720</v>
      </c>
      <c r="AU265">
        <v>2020</v>
      </c>
      <c r="AV265">
        <v>26</v>
      </c>
      <c r="AW265">
        <v>12</v>
      </c>
      <c r="AX265" t="s">
        <v>74</v>
      </c>
      <c r="AY265" t="s">
        <v>74</v>
      </c>
      <c r="AZ265" t="s">
        <v>74</v>
      </c>
      <c r="BA265" t="s">
        <v>74</v>
      </c>
      <c r="BB265">
        <v>6787</v>
      </c>
      <c r="BC265">
        <v>6804</v>
      </c>
      <c r="BD265" t="s">
        <v>74</v>
      </c>
      <c r="BE265" t="s">
        <v>5639</v>
      </c>
      <c r="BF265" t="str">
        <f>HYPERLINK("http://dx.doi.org/10.1111/gcb.15341","http://dx.doi.org/10.1111/gcb.15341")</f>
        <v>http://dx.doi.org/10.1111/gcb.15341</v>
      </c>
      <c r="BG265" t="s">
        <v>74</v>
      </c>
      <c r="BH265" t="s">
        <v>3429</v>
      </c>
      <c r="BI265">
        <v>18</v>
      </c>
      <c r="BJ265" t="s">
        <v>254</v>
      </c>
      <c r="BK265" t="s">
        <v>100</v>
      </c>
      <c r="BL265" t="s">
        <v>256</v>
      </c>
      <c r="BM265" t="s">
        <v>5640</v>
      </c>
      <c r="BN265">
        <v>32905664</v>
      </c>
      <c r="BO265" t="s">
        <v>1188</v>
      </c>
      <c r="BP265" t="s">
        <v>74</v>
      </c>
      <c r="BQ265" t="s">
        <v>74</v>
      </c>
      <c r="BR265" t="s">
        <v>104</v>
      </c>
      <c r="BS265" t="s">
        <v>5641</v>
      </c>
      <c r="BT265" t="str">
        <f>HYPERLINK("https%3A%2F%2Fwww.webofscience.com%2Fwos%2Fwoscc%2Ffull-record%2FWOS:000579412800001","View Full Record in Web of Science")</f>
        <v>View Full Record in Web of Science</v>
      </c>
    </row>
    <row r="266" spans="1:72" x14ac:dyDescent="0.15">
      <c r="A266" t="s">
        <v>72</v>
      </c>
      <c r="B266" t="s">
        <v>5642</v>
      </c>
      <c r="C266" t="s">
        <v>74</v>
      </c>
      <c r="D266" t="s">
        <v>74</v>
      </c>
      <c r="E266" t="s">
        <v>74</v>
      </c>
      <c r="F266" t="s">
        <v>5643</v>
      </c>
      <c r="G266" t="s">
        <v>74</v>
      </c>
      <c r="H266" t="s">
        <v>74</v>
      </c>
      <c r="I266" t="s">
        <v>5644</v>
      </c>
      <c r="J266" t="s">
        <v>5645</v>
      </c>
      <c r="K266" t="s">
        <v>74</v>
      </c>
      <c r="L266" t="s">
        <v>74</v>
      </c>
      <c r="M266" t="s">
        <v>78</v>
      </c>
      <c r="N266" t="s">
        <v>79</v>
      </c>
      <c r="O266" t="s">
        <v>74</v>
      </c>
      <c r="P266" t="s">
        <v>74</v>
      </c>
      <c r="Q266" t="s">
        <v>74</v>
      </c>
      <c r="R266" t="s">
        <v>74</v>
      </c>
      <c r="S266" t="s">
        <v>74</v>
      </c>
      <c r="T266" t="s">
        <v>5646</v>
      </c>
      <c r="U266" t="s">
        <v>5647</v>
      </c>
      <c r="V266" t="s">
        <v>5648</v>
      </c>
      <c r="W266" t="s">
        <v>5649</v>
      </c>
      <c r="X266" t="s">
        <v>5650</v>
      </c>
      <c r="Y266" t="s">
        <v>5651</v>
      </c>
      <c r="Z266" t="s">
        <v>5652</v>
      </c>
      <c r="AA266" t="s">
        <v>5653</v>
      </c>
      <c r="AB266" t="s">
        <v>5654</v>
      </c>
      <c r="AC266" t="s">
        <v>5655</v>
      </c>
      <c r="AD266" t="s">
        <v>5656</v>
      </c>
      <c r="AE266" t="s">
        <v>5657</v>
      </c>
      <c r="AF266" t="s">
        <v>74</v>
      </c>
      <c r="AG266">
        <v>70</v>
      </c>
      <c r="AH266">
        <v>4</v>
      </c>
      <c r="AI266">
        <v>4</v>
      </c>
      <c r="AJ266">
        <v>2</v>
      </c>
      <c r="AK266">
        <v>26</v>
      </c>
      <c r="AL266" t="s">
        <v>219</v>
      </c>
      <c r="AM266" t="s">
        <v>220</v>
      </c>
      <c r="AN266" t="s">
        <v>221</v>
      </c>
      <c r="AO266" t="s">
        <v>5658</v>
      </c>
      <c r="AP266" t="s">
        <v>5659</v>
      </c>
      <c r="AQ266" t="s">
        <v>74</v>
      </c>
      <c r="AR266" t="s">
        <v>5660</v>
      </c>
      <c r="AS266" t="s">
        <v>5661</v>
      </c>
      <c r="AT266" t="s">
        <v>252</v>
      </c>
      <c r="AU266">
        <v>2021</v>
      </c>
      <c r="AV266">
        <v>31</v>
      </c>
      <c r="AW266">
        <v>1</v>
      </c>
      <c r="AX266" t="s">
        <v>74</v>
      </c>
      <c r="AY266" t="s">
        <v>74</v>
      </c>
      <c r="AZ266" t="s">
        <v>74</v>
      </c>
      <c r="BA266" t="s">
        <v>74</v>
      </c>
      <c r="BB266" t="s">
        <v>74</v>
      </c>
      <c r="BC266" t="s">
        <v>74</v>
      </c>
      <c r="BD266" t="s">
        <v>74</v>
      </c>
      <c r="BE266" t="s">
        <v>5662</v>
      </c>
      <c r="BF266" t="str">
        <f>HYPERLINK("http://dx.doi.org/10.1002/eap.2215","http://dx.doi.org/10.1002/eap.2215")</f>
        <v>http://dx.doi.org/10.1002/eap.2215</v>
      </c>
      <c r="BG266" t="s">
        <v>74</v>
      </c>
      <c r="BH266" t="s">
        <v>3429</v>
      </c>
      <c r="BI266">
        <v>18</v>
      </c>
      <c r="BJ266" t="s">
        <v>5663</v>
      </c>
      <c r="BK266" t="s">
        <v>100</v>
      </c>
      <c r="BL266" t="s">
        <v>284</v>
      </c>
      <c r="BM266" t="s">
        <v>5664</v>
      </c>
      <c r="BN266">
        <v>32767487</v>
      </c>
      <c r="BO266" t="s">
        <v>1259</v>
      </c>
      <c r="BP266" t="s">
        <v>74</v>
      </c>
      <c r="BQ266" t="s">
        <v>74</v>
      </c>
      <c r="BR266" t="s">
        <v>104</v>
      </c>
      <c r="BS266" t="s">
        <v>5665</v>
      </c>
      <c r="BT266" t="str">
        <f>HYPERLINK("https%3A%2F%2Fwww.webofscience.com%2Fwos%2Fwoscc%2Ffull-record%2FWOS:000578611800001","View Full Record in Web of Science")</f>
        <v>View Full Record in Web of Science</v>
      </c>
    </row>
    <row r="267" spans="1:72" x14ac:dyDescent="0.15">
      <c r="A267" t="s">
        <v>72</v>
      </c>
      <c r="B267" t="s">
        <v>5666</v>
      </c>
      <c r="C267" t="s">
        <v>74</v>
      </c>
      <c r="D267" t="s">
        <v>74</v>
      </c>
      <c r="E267" t="s">
        <v>74</v>
      </c>
      <c r="F267" t="s">
        <v>5667</v>
      </c>
      <c r="G267" t="s">
        <v>74</v>
      </c>
      <c r="H267" t="s">
        <v>74</v>
      </c>
      <c r="I267" t="s">
        <v>5668</v>
      </c>
      <c r="J267" t="s">
        <v>5669</v>
      </c>
      <c r="K267" t="s">
        <v>74</v>
      </c>
      <c r="L267" t="s">
        <v>74</v>
      </c>
      <c r="M267" t="s">
        <v>78</v>
      </c>
      <c r="N267" t="s">
        <v>79</v>
      </c>
      <c r="O267" t="s">
        <v>74</v>
      </c>
      <c r="P267" t="s">
        <v>74</v>
      </c>
      <c r="Q267" t="s">
        <v>74</v>
      </c>
      <c r="R267" t="s">
        <v>74</v>
      </c>
      <c r="S267" t="s">
        <v>74</v>
      </c>
      <c r="T267" t="s">
        <v>5670</v>
      </c>
      <c r="U267" t="s">
        <v>5671</v>
      </c>
      <c r="V267" t="s">
        <v>5672</v>
      </c>
      <c r="W267" t="s">
        <v>5673</v>
      </c>
      <c r="X267" t="s">
        <v>5674</v>
      </c>
      <c r="Y267" t="s">
        <v>5675</v>
      </c>
      <c r="Z267" t="s">
        <v>5676</v>
      </c>
      <c r="AA267" t="s">
        <v>5677</v>
      </c>
      <c r="AB267" t="s">
        <v>5678</v>
      </c>
      <c r="AC267" t="s">
        <v>5679</v>
      </c>
      <c r="AD267" t="s">
        <v>5680</v>
      </c>
      <c r="AE267" t="s">
        <v>5681</v>
      </c>
      <c r="AF267" t="s">
        <v>74</v>
      </c>
      <c r="AG267">
        <v>163</v>
      </c>
      <c r="AH267">
        <v>9</v>
      </c>
      <c r="AI267">
        <v>9</v>
      </c>
      <c r="AJ267">
        <v>1</v>
      </c>
      <c r="AK267">
        <v>38</v>
      </c>
      <c r="AL267" t="s">
        <v>219</v>
      </c>
      <c r="AM267" t="s">
        <v>220</v>
      </c>
      <c r="AN267" t="s">
        <v>221</v>
      </c>
      <c r="AO267" t="s">
        <v>5682</v>
      </c>
      <c r="AP267" t="s">
        <v>5683</v>
      </c>
      <c r="AQ267" t="s">
        <v>74</v>
      </c>
      <c r="AR267" t="s">
        <v>5684</v>
      </c>
      <c r="AS267" t="s">
        <v>5685</v>
      </c>
      <c r="AT267" t="s">
        <v>2623</v>
      </c>
      <c r="AU267">
        <v>2021</v>
      </c>
      <c r="AV267">
        <v>31</v>
      </c>
      <c r="AW267">
        <v>2</v>
      </c>
      <c r="AX267" t="s">
        <v>74</v>
      </c>
      <c r="AY267" t="s">
        <v>74</v>
      </c>
      <c r="AZ267" t="s">
        <v>489</v>
      </c>
      <c r="BA267" t="s">
        <v>74</v>
      </c>
      <c r="BB267">
        <v>389</v>
      </c>
      <c r="BC267">
        <v>407</v>
      </c>
      <c r="BD267" t="s">
        <v>74</v>
      </c>
      <c r="BE267" t="s">
        <v>5686</v>
      </c>
      <c r="BF267" t="str">
        <f>HYPERLINK("http://dx.doi.org/10.1002/aqc.3453","http://dx.doi.org/10.1002/aqc.3453")</f>
        <v>http://dx.doi.org/10.1002/aqc.3453</v>
      </c>
      <c r="BG267" t="s">
        <v>74</v>
      </c>
      <c r="BH267" t="s">
        <v>3429</v>
      </c>
      <c r="BI267">
        <v>19</v>
      </c>
      <c r="BJ267" t="s">
        <v>5687</v>
      </c>
      <c r="BK267" t="s">
        <v>100</v>
      </c>
      <c r="BL267" t="s">
        <v>5688</v>
      </c>
      <c r="BM267" t="s">
        <v>5689</v>
      </c>
      <c r="BN267" t="s">
        <v>74</v>
      </c>
      <c r="BO267" t="s">
        <v>74</v>
      </c>
      <c r="BP267" t="s">
        <v>74</v>
      </c>
      <c r="BQ267" t="s">
        <v>74</v>
      </c>
      <c r="BR267" t="s">
        <v>104</v>
      </c>
      <c r="BS267" t="s">
        <v>5690</v>
      </c>
      <c r="BT267" t="str">
        <f>HYPERLINK("https%3A%2F%2Fwww.webofscience.com%2Fwos%2Fwoscc%2Ffull-record%2FWOS:000576732800001","View Full Record in Web of Science")</f>
        <v>View Full Record in Web of Science</v>
      </c>
    </row>
    <row r="268" spans="1:72" x14ac:dyDescent="0.15">
      <c r="A268" t="s">
        <v>72</v>
      </c>
      <c r="B268" t="s">
        <v>5691</v>
      </c>
      <c r="C268" t="s">
        <v>74</v>
      </c>
      <c r="D268" t="s">
        <v>74</v>
      </c>
      <c r="E268" t="s">
        <v>74</v>
      </c>
      <c r="F268" t="s">
        <v>5692</v>
      </c>
      <c r="G268" t="s">
        <v>74</v>
      </c>
      <c r="H268" t="s">
        <v>74</v>
      </c>
      <c r="I268" t="s">
        <v>5693</v>
      </c>
      <c r="J268" t="s">
        <v>5694</v>
      </c>
      <c r="K268" t="s">
        <v>74</v>
      </c>
      <c r="L268" t="s">
        <v>74</v>
      </c>
      <c r="M268" t="s">
        <v>78</v>
      </c>
      <c r="N268" t="s">
        <v>79</v>
      </c>
      <c r="O268" t="s">
        <v>74</v>
      </c>
      <c r="P268" t="s">
        <v>74</v>
      </c>
      <c r="Q268" t="s">
        <v>74</v>
      </c>
      <c r="R268" t="s">
        <v>74</v>
      </c>
      <c r="S268" t="s">
        <v>74</v>
      </c>
      <c r="T268" t="s">
        <v>5695</v>
      </c>
      <c r="U268" t="s">
        <v>5696</v>
      </c>
      <c r="V268" t="s">
        <v>5697</v>
      </c>
      <c r="W268" t="s">
        <v>5698</v>
      </c>
      <c r="X268" t="s">
        <v>5699</v>
      </c>
      <c r="Y268" t="s">
        <v>5700</v>
      </c>
      <c r="Z268" t="s">
        <v>5701</v>
      </c>
      <c r="AA268" t="s">
        <v>5702</v>
      </c>
      <c r="AB268" t="s">
        <v>5703</v>
      </c>
      <c r="AC268" t="s">
        <v>5704</v>
      </c>
      <c r="AD268" t="s">
        <v>5705</v>
      </c>
      <c r="AE268" t="s">
        <v>5706</v>
      </c>
      <c r="AF268" t="s">
        <v>74</v>
      </c>
      <c r="AG268">
        <v>59</v>
      </c>
      <c r="AH268">
        <v>6</v>
      </c>
      <c r="AI268">
        <v>6</v>
      </c>
      <c r="AJ268">
        <v>0</v>
      </c>
      <c r="AK268">
        <v>8</v>
      </c>
      <c r="AL268" t="s">
        <v>219</v>
      </c>
      <c r="AM268" t="s">
        <v>220</v>
      </c>
      <c r="AN268" t="s">
        <v>221</v>
      </c>
      <c r="AO268" t="s">
        <v>5707</v>
      </c>
      <c r="AP268" t="s">
        <v>5708</v>
      </c>
      <c r="AQ268" t="s">
        <v>74</v>
      </c>
      <c r="AR268" t="s">
        <v>5709</v>
      </c>
      <c r="AS268" t="s">
        <v>5710</v>
      </c>
      <c r="AT268" t="s">
        <v>2623</v>
      </c>
      <c r="AU268">
        <v>2021</v>
      </c>
      <c r="AV268">
        <v>46</v>
      </c>
      <c r="AW268">
        <v>1</v>
      </c>
      <c r="AX268" t="s">
        <v>74</v>
      </c>
      <c r="AY268" t="s">
        <v>74</v>
      </c>
      <c r="AZ268" t="s">
        <v>74</v>
      </c>
      <c r="BA268" t="s">
        <v>74</v>
      </c>
      <c r="BB268">
        <v>52</v>
      </c>
      <c r="BC268">
        <v>64</v>
      </c>
      <c r="BD268" t="s">
        <v>74</v>
      </c>
      <c r="BE268" t="s">
        <v>5711</v>
      </c>
      <c r="BF268" t="str">
        <f>HYPERLINK("http://dx.doi.org/10.1111/aec.12958","http://dx.doi.org/10.1111/aec.12958")</f>
        <v>http://dx.doi.org/10.1111/aec.12958</v>
      </c>
      <c r="BG268" t="s">
        <v>74</v>
      </c>
      <c r="BH268" t="s">
        <v>3429</v>
      </c>
      <c r="BI268">
        <v>13</v>
      </c>
      <c r="BJ268" t="s">
        <v>823</v>
      </c>
      <c r="BK268" t="s">
        <v>100</v>
      </c>
      <c r="BL268" t="s">
        <v>284</v>
      </c>
      <c r="BM268" t="s">
        <v>5712</v>
      </c>
      <c r="BN268" t="s">
        <v>74</v>
      </c>
      <c r="BO268" t="s">
        <v>1259</v>
      </c>
      <c r="BP268" t="s">
        <v>74</v>
      </c>
      <c r="BQ268" t="s">
        <v>74</v>
      </c>
      <c r="BR268" t="s">
        <v>104</v>
      </c>
      <c r="BS268" t="s">
        <v>5713</v>
      </c>
      <c r="BT268" t="str">
        <f>HYPERLINK("https%3A%2F%2Fwww.webofscience.com%2Fwos%2Fwoscc%2Ffull-record%2FWOS:000578643500001","View Full Record in Web of Science")</f>
        <v>View Full Record in Web of Science</v>
      </c>
    </row>
    <row r="269" spans="1:72" x14ac:dyDescent="0.15">
      <c r="A269" t="s">
        <v>72</v>
      </c>
      <c r="B269" t="s">
        <v>5714</v>
      </c>
      <c r="C269" t="s">
        <v>74</v>
      </c>
      <c r="D269" t="s">
        <v>74</v>
      </c>
      <c r="E269" t="s">
        <v>74</v>
      </c>
      <c r="F269" t="s">
        <v>5715</v>
      </c>
      <c r="G269" t="s">
        <v>74</v>
      </c>
      <c r="H269" t="s">
        <v>74</v>
      </c>
      <c r="I269" t="s">
        <v>5716</v>
      </c>
      <c r="J269" t="s">
        <v>5717</v>
      </c>
      <c r="K269" t="s">
        <v>74</v>
      </c>
      <c r="L269" t="s">
        <v>74</v>
      </c>
      <c r="M269" t="s">
        <v>78</v>
      </c>
      <c r="N269" t="s">
        <v>79</v>
      </c>
      <c r="O269" t="s">
        <v>74</v>
      </c>
      <c r="P269" t="s">
        <v>74</v>
      </c>
      <c r="Q269" t="s">
        <v>74</v>
      </c>
      <c r="R269" t="s">
        <v>74</v>
      </c>
      <c r="S269" t="s">
        <v>74</v>
      </c>
      <c r="T269" t="s">
        <v>74</v>
      </c>
      <c r="U269" t="s">
        <v>5718</v>
      </c>
      <c r="V269" t="s">
        <v>5719</v>
      </c>
      <c r="W269" t="s">
        <v>5720</v>
      </c>
      <c r="X269" t="s">
        <v>5721</v>
      </c>
      <c r="Y269" t="s">
        <v>5722</v>
      </c>
      <c r="Z269" t="s">
        <v>5723</v>
      </c>
      <c r="AA269" t="s">
        <v>5724</v>
      </c>
      <c r="AB269" t="s">
        <v>5725</v>
      </c>
      <c r="AC269" t="s">
        <v>5726</v>
      </c>
      <c r="AD269" t="s">
        <v>5727</v>
      </c>
      <c r="AE269" t="s">
        <v>5728</v>
      </c>
      <c r="AF269" t="s">
        <v>74</v>
      </c>
      <c r="AG269">
        <v>66</v>
      </c>
      <c r="AH269">
        <v>4</v>
      </c>
      <c r="AI269">
        <v>6</v>
      </c>
      <c r="AJ269">
        <v>2</v>
      </c>
      <c r="AK269">
        <v>20</v>
      </c>
      <c r="AL269" t="s">
        <v>219</v>
      </c>
      <c r="AM269" t="s">
        <v>220</v>
      </c>
      <c r="AN269" t="s">
        <v>221</v>
      </c>
      <c r="AO269" t="s">
        <v>5729</v>
      </c>
      <c r="AP269" t="s">
        <v>5730</v>
      </c>
      <c r="AQ269" t="s">
        <v>74</v>
      </c>
      <c r="AR269" t="s">
        <v>5731</v>
      </c>
      <c r="AS269" t="s">
        <v>5732</v>
      </c>
      <c r="AT269" t="s">
        <v>2623</v>
      </c>
      <c r="AU269">
        <v>2021</v>
      </c>
      <c r="AV269">
        <v>66</v>
      </c>
      <c r="AW269">
        <v>2</v>
      </c>
      <c r="AX269" t="s">
        <v>74</v>
      </c>
      <c r="AY269" t="s">
        <v>74</v>
      </c>
      <c r="AZ269" t="s">
        <v>74</v>
      </c>
      <c r="BA269" t="s">
        <v>74</v>
      </c>
      <c r="BB269">
        <v>405</v>
      </c>
      <c r="BC269">
        <v>421</v>
      </c>
      <c r="BD269" t="s">
        <v>74</v>
      </c>
      <c r="BE269" t="s">
        <v>5733</v>
      </c>
      <c r="BF269" t="str">
        <f>HYPERLINK("http://dx.doi.org/10.1002/lno.11612","http://dx.doi.org/10.1002/lno.11612")</f>
        <v>http://dx.doi.org/10.1002/lno.11612</v>
      </c>
      <c r="BG269" t="s">
        <v>74</v>
      </c>
      <c r="BH269" t="s">
        <v>3429</v>
      </c>
      <c r="BI269">
        <v>17</v>
      </c>
      <c r="BJ269" t="s">
        <v>5734</v>
      </c>
      <c r="BK269" t="s">
        <v>100</v>
      </c>
      <c r="BL269" t="s">
        <v>643</v>
      </c>
      <c r="BM269" t="s">
        <v>5735</v>
      </c>
      <c r="BN269" t="s">
        <v>74</v>
      </c>
      <c r="BO269" t="s">
        <v>74</v>
      </c>
      <c r="BP269" t="s">
        <v>74</v>
      </c>
      <c r="BQ269" t="s">
        <v>74</v>
      </c>
      <c r="BR269" t="s">
        <v>104</v>
      </c>
      <c r="BS269" t="s">
        <v>5736</v>
      </c>
      <c r="BT269" t="str">
        <f>HYPERLINK("https%3A%2F%2Fwww.webofscience.com%2Fwos%2Fwoscc%2Ffull-record%2FWOS:000578425100001","View Full Record in Web of Science")</f>
        <v>View Full Record in Web of Science</v>
      </c>
    </row>
    <row r="270" spans="1:72" x14ac:dyDescent="0.15">
      <c r="A270" t="s">
        <v>72</v>
      </c>
      <c r="B270" t="s">
        <v>5737</v>
      </c>
      <c r="C270" t="s">
        <v>74</v>
      </c>
      <c r="D270" t="s">
        <v>74</v>
      </c>
      <c r="E270" t="s">
        <v>74</v>
      </c>
      <c r="F270" t="s">
        <v>5738</v>
      </c>
      <c r="G270" t="s">
        <v>74</v>
      </c>
      <c r="H270" t="s">
        <v>74</v>
      </c>
      <c r="I270" t="s">
        <v>5739</v>
      </c>
      <c r="J270" t="s">
        <v>5740</v>
      </c>
      <c r="K270" t="s">
        <v>74</v>
      </c>
      <c r="L270" t="s">
        <v>74</v>
      </c>
      <c r="M270" t="s">
        <v>78</v>
      </c>
      <c r="N270" t="s">
        <v>79</v>
      </c>
      <c r="O270" t="s">
        <v>74</v>
      </c>
      <c r="P270" t="s">
        <v>74</v>
      </c>
      <c r="Q270" t="s">
        <v>74</v>
      </c>
      <c r="R270" t="s">
        <v>74</v>
      </c>
      <c r="S270" t="s">
        <v>74</v>
      </c>
      <c r="T270" t="s">
        <v>5741</v>
      </c>
      <c r="U270" t="s">
        <v>5742</v>
      </c>
      <c r="V270" t="s">
        <v>5743</v>
      </c>
      <c r="W270" t="s">
        <v>5744</v>
      </c>
      <c r="X270" t="s">
        <v>5745</v>
      </c>
      <c r="Y270" t="s">
        <v>5746</v>
      </c>
      <c r="Z270" t="s">
        <v>5747</v>
      </c>
      <c r="AA270" t="s">
        <v>5748</v>
      </c>
      <c r="AB270" t="s">
        <v>5749</v>
      </c>
      <c r="AC270" t="s">
        <v>5750</v>
      </c>
      <c r="AD270" t="s">
        <v>5751</v>
      </c>
      <c r="AE270" t="s">
        <v>5752</v>
      </c>
      <c r="AF270" t="s">
        <v>74</v>
      </c>
      <c r="AG270">
        <v>68</v>
      </c>
      <c r="AH270">
        <v>8</v>
      </c>
      <c r="AI270">
        <v>9</v>
      </c>
      <c r="AJ270">
        <v>1</v>
      </c>
      <c r="AK270">
        <v>28</v>
      </c>
      <c r="AL270" t="s">
        <v>219</v>
      </c>
      <c r="AM270" t="s">
        <v>220</v>
      </c>
      <c r="AN270" t="s">
        <v>221</v>
      </c>
      <c r="AO270" t="s">
        <v>5753</v>
      </c>
      <c r="AP270" t="s">
        <v>5754</v>
      </c>
      <c r="AQ270" t="s">
        <v>74</v>
      </c>
      <c r="AR270" t="s">
        <v>5755</v>
      </c>
      <c r="AS270" t="s">
        <v>5756</v>
      </c>
      <c r="AT270" t="s">
        <v>1212</v>
      </c>
      <c r="AU270">
        <v>2020</v>
      </c>
      <c r="AV270">
        <v>28</v>
      </c>
      <c r="AW270">
        <v>6</v>
      </c>
      <c r="AX270" t="s">
        <v>74</v>
      </c>
      <c r="AY270" t="s">
        <v>74</v>
      </c>
      <c r="AZ270" t="s">
        <v>74</v>
      </c>
      <c r="BA270" t="s">
        <v>74</v>
      </c>
      <c r="BB270">
        <v>1475</v>
      </c>
      <c r="BC270">
        <v>1484</v>
      </c>
      <c r="BD270" t="s">
        <v>74</v>
      </c>
      <c r="BE270" t="s">
        <v>5757</v>
      </c>
      <c r="BF270" t="str">
        <f>HYPERLINK("http://dx.doi.org/10.1111/rec.13236","http://dx.doi.org/10.1111/rec.13236")</f>
        <v>http://dx.doi.org/10.1111/rec.13236</v>
      </c>
      <c r="BG270" t="s">
        <v>74</v>
      </c>
      <c r="BH270" t="s">
        <v>3429</v>
      </c>
      <c r="BI270">
        <v>10</v>
      </c>
      <c r="BJ270" t="s">
        <v>823</v>
      </c>
      <c r="BK270" t="s">
        <v>100</v>
      </c>
      <c r="BL270" t="s">
        <v>284</v>
      </c>
      <c r="BM270" t="s">
        <v>5758</v>
      </c>
      <c r="BN270" t="s">
        <v>74</v>
      </c>
      <c r="BO270" t="s">
        <v>1432</v>
      </c>
      <c r="BP270" t="s">
        <v>74</v>
      </c>
      <c r="BQ270" t="s">
        <v>74</v>
      </c>
      <c r="BR270" t="s">
        <v>104</v>
      </c>
      <c r="BS270" t="s">
        <v>5759</v>
      </c>
      <c r="BT270" t="str">
        <f>HYPERLINK("https%3A%2F%2Fwww.webofscience.com%2Fwos%2Fwoscc%2Ffull-record%2FWOS:000578486200001","View Full Record in Web of Science")</f>
        <v>View Full Record in Web of Science</v>
      </c>
    </row>
    <row r="271" spans="1:72" x14ac:dyDescent="0.15">
      <c r="A271" t="s">
        <v>72</v>
      </c>
      <c r="B271" t="s">
        <v>5760</v>
      </c>
      <c r="C271" t="s">
        <v>74</v>
      </c>
      <c r="D271" t="s">
        <v>74</v>
      </c>
      <c r="E271" t="s">
        <v>74</v>
      </c>
      <c r="F271" t="s">
        <v>5761</v>
      </c>
      <c r="G271" t="s">
        <v>74</v>
      </c>
      <c r="H271" t="s">
        <v>74</v>
      </c>
      <c r="I271" t="s">
        <v>5762</v>
      </c>
      <c r="J271" t="s">
        <v>263</v>
      </c>
      <c r="K271" t="s">
        <v>74</v>
      </c>
      <c r="L271" t="s">
        <v>74</v>
      </c>
      <c r="M271" t="s">
        <v>78</v>
      </c>
      <c r="N271" t="s">
        <v>79</v>
      </c>
      <c r="O271" t="s">
        <v>74</v>
      </c>
      <c r="P271" t="s">
        <v>74</v>
      </c>
      <c r="Q271" t="s">
        <v>74</v>
      </c>
      <c r="R271" t="s">
        <v>74</v>
      </c>
      <c r="S271" t="s">
        <v>74</v>
      </c>
      <c r="T271" t="s">
        <v>5763</v>
      </c>
      <c r="U271" t="s">
        <v>5764</v>
      </c>
      <c r="V271" t="s">
        <v>5765</v>
      </c>
      <c r="W271" t="s">
        <v>5766</v>
      </c>
      <c r="X271" t="s">
        <v>5767</v>
      </c>
      <c r="Y271" t="s">
        <v>5768</v>
      </c>
      <c r="Z271" t="s">
        <v>5769</v>
      </c>
      <c r="AA271" t="s">
        <v>5770</v>
      </c>
      <c r="AB271" t="s">
        <v>5771</v>
      </c>
      <c r="AC271" t="s">
        <v>5772</v>
      </c>
      <c r="AD271" t="s">
        <v>5773</v>
      </c>
      <c r="AE271" t="s">
        <v>5774</v>
      </c>
      <c r="AF271" t="s">
        <v>74</v>
      </c>
      <c r="AG271">
        <v>123</v>
      </c>
      <c r="AH271">
        <v>110</v>
      </c>
      <c r="AI271">
        <v>118</v>
      </c>
      <c r="AJ271">
        <v>18</v>
      </c>
      <c r="AK271">
        <v>171</v>
      </c>
      <c r="AL271" t="s">
        <v>275</v>
      </c>
      <c r="AM271" t="s">
        <v>276</v>
      </c>
      <c r="AN271" t="s">
        <v>277</v>
      </c>
      <c r="AO271" t="s">
        <v>278</v>
      </c>
      <c r="AP271" t="s">
        <v>279</v>
      </c>
      <c r="AQ271" t="s">
        <v>74</v>
      </c>
      <c r="AR271" t="s">
        <v>280</v>
      </c>
      <c r="AS271" t="s">
        <v>281</v>
      </c>
      <c r="AT271" t="s">
        <v>5775</v>
      </c>
      <c r="AU271">
        <v>2020</v>
      </c>
      <c r="AV271">
        <v>738</v>
      </c>
      <c r="AW271" t="s">
        <v>74</v>
      </c>
      <c r="AX271" t="s">
        <v>74</v>
      </c>
      <c r="AY271" t="s">
        <v>74</v>
      </c>
      <c r="AZ271" t="s">
        <v>74</v>
      </c>
      <c r="BA271" t="s">
        <v>74</v>
      </c>
      <c r="BB271" t="s">
        <v>74</v>
      </c>
      <c r="BC271" t="s">
        <v>74</v>
      </c>
      <c r="BD271">
        <v>140349</v>
      </c>
      <c r="BE271" t="s">
        <v>5776</v>
      </c>
      <c r="BF271" t="str">
        <f>HYPERLINK("http://dx.doi.org/10.1016/j.scitotenv.2020.140349","http://dx.doi.org/10.1016/j.scitotenv.2020.140349")</f>
        <v>http://dx.doi.org/10.1016/j.scitotenv.2020.140349</v>
      </c>
      <c r="BG271" t="s">
        <v>74</v>
      </c>
      <c r="BH271" t="s">
        <v>74</v>
      </c>
      <c r="BI271">
        <v>9</v>
      </c>
      <c r="BJ271" t="s">
        <v>283</v>
      </c>
      <c r="BK271" t="s">
        <v>100</v>
      </c>
      <c r="BL271" t="s">
        <v>284</v>
      </c>
      <c r="BM271" t="s">
        <v>5777</v>
      </c>
      <c r="BN271">
        <v>32806379</v>
      </c>
      <c r="BO271" t="s">
        <v>3798</v>
      </c>
      <c r="BP271" t="s">
        <v>74</v>
      </c>
      <c r="BQ271" t="s">
        <v>74</v>
      </c>
      <c r="BR271" t="s">
        <v>104</v>
      </c>
      <c r="BS271" t="s">
        <v>5778</v>
      </c>
      <c r="BT271" t="str">
        <f>HYPERLINK("https%3A%2F%2Fwww.webofscience.com%2Fwos%2Fwoscc%2Ffull-record%2FWOS:000559085400006","View Full Record in Web of Science")</f>
        <v>View Full Record in Web of Science</v>
      </c>
    </row>
    <row r="272" spans="1:72" x14ac:dyDescent="0.15">
      <c r="A272" t="s">
        <v>72</v>
      </c>
      <c r="B272" t="s">
        <v>5779</v>
      </c>
      <c r="C272" t="s">
        <v>74</v>
      </c>
      <c r="D272" t="s">
        <v>74</v>
      </c>
      <c r="E272" t="s">
        <v>74</v>
      </c>
      <c r="F272" t="s">
        <v>5780</v>
      </c>
      <c r="G272" t="s">
        <v>74</v>
      </c>
      <c r="H272" t="s">
        <v>74</v>
      </c>
      <c r="I272" t="s">
        <v>5781</v>
      </c>
      <c r="J272" t="s">
        <v>263</v>
      </c>
      <c r="K272" t="s">
        <v>74</v>
      </c>
      <c r="L272" t="s">
        <v>74</v>
      </c>
      <c r="M272" t="s">
        <v>78</v>
      </c>
      <c r="N272" t="s">
        <v>138</v>
      </c>
      <c r="O272" t="s">
        <v>74</v>
      </c>
      <c r="P272" t="s">
        <v>74</v>
      </c>
      <c r="Q272" t="s">
        <v>74</v>
      </c>
      <c r="R272" t="s">
        <v>74</v>
      </c>
      <c r="S272" t="s">
        <v>74</v>
      </c>
      <c r="T272" t="s">
        <v>5782</v>
      </c>
      <c r="U272" t="s">
        <v>5783</v>
      </c>
      <c r="V272" t="s">
        <v>5784</v>
      </c>
      <c r="W272" t="s">
        <v>5785</v>
      </c>
      <c r="X272" t="s">
        <v>5786</v>
      </c>
      <c r="Y272" t="s">
        <v>5787</v>
      </c>
      <c r="Z272" t="s">
        <v>5788</v>
      </c>
      <c r="AA272" t="s">
        <v>5789</v>
      </c>
      <c r="AB272" t="s">
        <v>5790</v>
      </c>
      <c r="AC272" t="s">
        <v>5791</v>
      </c>
      <c r="AD272" t="s">
        <v>4100</v>
      </c>
      <c r="AE272" t="s">
        <v>5792</v>
      </c>
      <c r="AF272" t="s">
        <v>74</v>
      </c>
      <c r="AG272">
        <v>72</v>
      </c>
      <c r="AH272">
        <v>35</v>
      </c>
      <c r="AI272">
        <v>41</v>
      </c>
      <c r="AJ272">
        <v>2</v>
      </c>
      <c r="AK272">
        <v>83</v>
      </c>
      <c r="AL272" t="s">
        <v>275</v>
      </c>
      <c r="AM272" t="s">
        <v>276</v>
      </c>
      <c r="AN272" t="s">
        <v>277</v>
      </c>
      <c r="AO272" t="s">
        <v>278</v>
      </c>
      <c r="AP272" t="s">
        <v>279</v>
      </c>
      <c r="AQ272" t="s">
        <v>74</v>
      </c>
      <c r="AR272" t="s">
        <v>280</v>
      </c>
      <c r="AS272" t="s">
        <v>281</v>
      </c>
      <c r="AT272" t="s">
        <v>5775</v>
      </c>
      <c r="AU272">
        <v>2020</v>
      </c>
      <c r="AV272">
        <v>738</v>
      </c>
      <c r="AW272" t="s">
        <v>74</v>
      </c>
      <c r="AX272" t="s">
        <v>74</v>
      </c>
      <c r="AY272" t="s">
        <v>74</v>
      </c>
      <c r="AZ272" t="s">
        <v>74</v>
      </c>
      <c r="BA272" t="s">
        <v>74</v>
      </c>
      <c r="BB272" t="s">
        <v>74</v>
      </c>
      <c r="BC272" t="s">
        <v>74</v>
      </c>
      <c r="BD272">
        <v>140337</v>
      </c>
      <c r="BE272" t="s">
        <v>5793</v>
      </c>
      <c r="BF272" t="str">
        <f>HYPERLINK("http://dx.doi.org/10.1016/j.scitotenv.2020.140337","http://dx.doi.org/10.1016/j.scitotenv.2020.140337")</f>
        <v>http://dx.doi.org/10.1016/j.scitotenv.2020.140337</v>
      </c>
      <c r="BG272" t="s">
        <v>74</v>
      </c>
      <c r="BH272" t="s">
        <v>74</v>
      </c>
      <c r="BI272">
        <v>9</v>
      </c>
      <c r="BJ272" t="s">
        <v>283</v>
      </c>
      <c r="BK272" t="s">
        <v>100</v>
      </c>
      <c r="BL272" t="s">
        <v>284</v>
      </c>
      <c r="BM272" t="s">
        <v>5777</v>
      </c>
      <c r="BN272">
        <v>32806360</v>
      </c>
      <c r="BO272" t="s">
        <v>74</v>
      </c>
      <c r="BP272" t="s">
        <v>74</v>
      </c>
      <c r="BQ272" t="s">
        <v>74</v>
      </c>
      <c r="BR272" t="s">
        <v>104</v>
      </c>
      <c r="BS272" t="s">
        <v>5794</v>
      </c>
      <c r="BT272" t="str">
        <f>HYPERLINK("https%3A%2F%2Fwww.webofscience.com%2Fwos%2Fwoscc%2Ffull-record%2FWOS:000559085400007","View Full Record in Web of Science")</f>
        <v>View Full Record in Web of Science</v>
      </c>
    </row>
    <row r="273" spans="1:72" x14ac:dyDescent="0.15">
      <c r="A273" t="s">
        <v>72</v>
      </c>
      <c r="B273" t="s">
        <v>5795</v>
      </c>
      <c r="C273" t="s">
        <v>74</v>
      </c>
      <c r="D273" t="s">
        <v>74</v>
      </c>
      <c r="E273" t="s">
        <v>74</v>
      </c>
      <c r="F273" t="s">
        <v>5796</v>
      </c>
      <c r="G273" t="s">
        <v>74</v>
      </c>
      <c r="H273" t="s">
        <v>74</v>
      </c>
      <c r="I273" t="s">
        <v>5797</v>
      </c>
      <c r="J273" t="s">
        <v>5798</v>
      </c>
      <c r="K273" t="s">
        <v>74</v>
      </c>
      <c r="L273" t="s">
        <v>74</v>
      </c>
      <c r="M273" t="s">
        <v>78</v>
      </c>
      <c r="N273" t="s">
        <v>79</v>
      </c>
      <c r="O273" t="s">
        <v>74</v>
      </c>
      <c r="P273" t="s">
        <v>74</v>
      </c>
      <c r="Q273" t="s">
        <v>74</v>
      </c>
      <c r="R273" t="s">
        <v>74</v>
      </c>
      <c r="S273" t="s">
        <v>74</v>
      </c>
      <c r="T273" t="s">
        <v>74</v>
      </c>
      <c r="U273" t="s">
        <v>5799</v>
      </c>
      <c r="V273" t="s">
        <v>5800</v>
      </c>
      <c r="W273" t="s">
        <v>5801</v>
      </c>
      <c r="X273" t="s">
        <v>5802</v>
      </c>
      <c r="Y273" t="s">
        <v>5803</v>
      </c>
      <c r="Z273" t="s">
        <v>5804</v>
      </c>
      <c r="AA273" t="s">
        <v>5805</v>
      </c>
      <c r="AB273" t="s">
        <v>5806</v>
      </c>
      <c r="AC273" t="s">
        <v>74</v>
      </c>
      <c r="AD273" t="s">
        <v>74</v>
      </c>
      <c r="AE273" t="s">
        <v>74</v>
      </c>
      <c r="AF273" t="s">
        <v>74</v>
      </c>
      <c r="AG273">
        <v>46</v>
      </c>
      <c r="AH273">
        <v>6</v>
      </c>
      <c r="AI273">
        <v>6</v>
      </c>
      <c r="AJ273">
        <v>0</v>
      </c>
      <c r="AK273">
        <v>17</v>
      </c>
      <c r="AL273" t="s">
        <v>5807</v>
      </c>
      <c r="AM273" t="s">
        <v>4984</v>
      </c>
      <c r="AN273" t="s">
        <v>5808</v>
      </c>
      <c r="AO273" t="s">
        <v>5809</v>
      </c>
      <c r="AP273" t="s">
        <v>74</v>
      </c>
      <c r="AQ273" t="s">
        <v>74</v>
      </c>
      <c r="AR273" t="s">
        <v>5798</v>
      </c>
      <c r="AS273" t="s">
        <v>5810</v>
      </c>
      <c r="AT273" t="s">
        <v>5811</v>
      </c>
      <c r="AU273">
        <v>2020</v>
      </c>
      <c r="AV273">
        <v>15</v>
      </c>
      <c r="AW273">
        <v>10</v>
      </c>
      <c r="AX273" t="s">
        <v>74</v>
      </c>
      <c r="AY273" t="s">
        <v>74</v>
      </c>
      <c r="AZ273" t="s">
        <v>74</v>
      </c>
      <c r="BA273" t="s">
        <v>74</v>
      </c>
      <c r="BB273" t="s">
        <v>74</v>
      </c>
      <c r="BC273" t="s">
        <v>74</v>
      </c>
      <c r="BD273" t="s">
        <v>5812</v>
      </c>
      <c r="BE273" t="s">
        <v>5813</v>
      </c>
      <c r="BF273" t="str">
        <f>HYPERLINK("http://dx.doi.org/10.1371/journal.pone.0237243","http://dx.doi.org/10.1371/journal.pone.0237243")</f>
        <v>http://dx.doi.org/10.1371/journal.pone.0237243</v>
      </c>
      <c r="BG273" t="s">
        <v>74</v>
      </c>
      <c r="BH273" t="s">
        <v>74</v>
      </c>
      <c r="BI273">
        <v>10</v>
      </c>
      <c r="BJ273" t="s">
        <v>329</v>
      </c>
      <c r="BK273" t="s">
        <v>100</v>
      </c>
      <c r="BL273" t="s">
        <v>330</v>
      </c>
      <c r="BM273" t="s">
        <v>5814</v>
      </c>
      <c r="BN273">
        <v>33035231</v>
      </c>
      <c r="BO273" t="s">
        <v>397</v>
      </c>
      <c r="BP273" t="s">
        <v>74</v>
      </c>
      <c r="BQ273" t="s">
        <v>74</v>
      </c>
      <c r="BR273" t="s">
        <v>104</v>
      </c>
      <c r="BS273" t="s">
        <v>5815</v>
      </c>
      <c r="BT273" t="str">
        <f>HYPERLINK("https%3A%2F%2Fwww.webofscience.com%2Fwos%2Fwoscc%2Ffull-record%2FWOS:000581817500047","View Full Record in Web of Science")</f>
        <v>View Full Record in Web of Science</v>
      </c>
    </row>
    <row r="274" spans="1:72" x14ac:dyDescent="0.15">
      <c r="A274" t="s">
        <v>72</v>
      </c>
      <c r="B274" t="s">
        <v>5816</v>
      </c>
      <c r="C274" t="s">
        <v>74</v>
      </c>
      <c r="D274" t="s">
        <v>74</v>
      </c>
      <c r="E274" t="s">
        <v>74</v>
      </c>
      <c r="F274" t="s">
        <v>5817</v>
      </c>
      <c r="G274" t="s">
        <v>74</v>
      </c>
      <c r="H274" t="s">
        <v>74</v>
      </c>
      <c r="I274" t="s">
        <v>5818</v>
      </c>
      <c r="J274" t="s">
        <v>5798</v>
      </c>
      <c r="K274" t="s">
        <v>74</v>
      </c>
      <c r="L274" t="s">
        <v>74</v>
      </c>
      <c r="M274" t="s">
        <v>78</v>
      </c>
      <c r="N274" t="s">
        <v>79</v>
      </c>
      <c r="O274" t="s">
        <v>74</v>
      </c>
      <c r="P274" t="s">
        <v>74</v>
      </c>
      <c r="Q274" t="s">
        <v>74</v>
      </c>
      <c r="R274" t="s">
        <v>74</v>
      </c>
      <c r="S274" t="s">
        <v>74</v>
      </c>
      <c r="T274" t="s">
        <v>74</v>
      </c>
      <c r="U274" t="s">
        <v>5819</v>
      </c>
      <c r="V274" t="s">
        <v>5820</v>
      </c>
      <c r="W274" t="s">
        <v>5821</v>
      </c>
      <c r="X274" t="s">
        <v>5822</v>
      </c>
      <c r="Y274" t="s">
        <v>5823</v>
      </c>
      <c r="Z274" t="s">
        <v>5824</v>
      </c>
      <c r="AA274" t="s">
        <v>5825</v>
      </c>
      <c r="AB274" t="s">
        <v>5826</v>
      </c>
      <c r="AC274" t="s">
        <v>5827</v>
      </c>
      <c r="AD274" t="s">
        <v>5828</v>
      </c>
      <c r="AE274" t="s">
        <v>5829</v>
      </c>
      <c r="AF274" t="s">
        <v>74</v>
      </c>
      <c r="AG274">
        <v>50</v>
      </c>
      <c r="AH274">
        <v>4</v>
      </c>
      <c r="AI274">
        <v>5</v>
      </c>
      <c r="AJ274">
        <v>3</v>
      </c>
      <c r="AK274">
        <v>18</v>
      </c>
      <c r="AL274" t="s">
        <v>5807</v>
      </c>
      <c r="AM274" t="s">
        <v>4984</v>
      </c>
      <c r="AN274" t="s">
        <v>5808</v>
      </c>
      <c r="AO274" t="s">
        <v>5809</v>
      </c>
      <c r="AP274" t="s">
        <v>74</v>
      </c>
      <c r="AQ274" t="s">
        <v>74</v>
      </c>
      <c r="AR274" t="s">
        <v>5798</v>
      </c>
      <c r="AS274" t="s">
        <v>5810</v>
      </c>
      <c r="AT274" t="s">
        <v>5811</v>
      </c>
      <c r="AU274">
        <v>2020</v>
      </c>
      <c r="AV274">
        <v>15</v>
      </c>
      <c r="AW274">
        <v>10</v>
      </c>
      <c r="AX274" t="s">
        <v>74</v>
      </c>
      <c r="AY274" t="s">
        <v>74</v>
      </c>
      <c r="AZ274" t="s">
        <v>74</v>
      </c>
      <c r="BA274" t="s">
        <v>74</v>
      </c>
      <c r="BB274" t="s">
        <v>74</v>
      </c>
      <c r="BC274" t="s">
        <v>74</v>
      </c>
      <c r="BD274" t="s">
        <v>5830</v>
      </c>
      <c r="BE274" t="s">
        <v>5831</v>
      </c>
      <c r="BF274" t="str">
        <f>HYPERLINK("http://dx.doi.org/10.1371/journal.pone.0239136","http://dx.doi.org/10.1371/journal.pone.0239136")</f>
        <v>http://dx.doi.org/10.1371/journal.pone.0239136</v>
      </c>
      <c r="BG274" t="s">
        <v>74</v>
      </c>
      <c r="BH274" t="s">
        <v>74</v>
      </c>
      <c r="BI274">
        <v>16</v>
      </c>
      <c r="BJ274" t="s">
        <v>329</v>
      </c>
      <c r="BK274" t="s">
        <v>100</v>
      </c>
      <c r="BL274" t="s">
        <v>330</v>
      </c>
      <c r="BM274" t="s">
        <v>5814</v>
      </c>
      <c r="BN274">
        <v>33035224</v>
      </c>
      <c r="BO274" t="s">
        <v>512</v>
      </c>
      <c r="BP274" t="s">
        <v>74</v>
      </c>
      <c r="BQ274" t="s">
        <v>74</v>
      </c>
      <c r="BR274" t="s">
        <v>104</v>
      </c>
      <c r="BS274" t="s">
        <v>5832</v>
      </c>
      <c r="BT274" t="str">
        <f>HYPERLINK("https%3A%2F%2Fwww.webofscience.com%2Fwos%2Fwoscc%2Ffull-record%2FWOS:000581817500034","View Full Record in Web of Science")</f>
        <v>View Full Record in Web of Science</v>
      </c>
    </row>
    <row r="275" spans="1:72" x14ac:dyDescent="0.15">
      <c r="A275" t="s">
        <v>72</v>
      </c>
      <c r="B275" t="s">
        <v>5833</v>
      </c>
      <c r="C275" t="s">
        <v>74</v>
      </c>
      <c r="D275" t="s">
        <v>74</v>
      </c>
      <c r="E275" t="s">
        <v>74</v>
      </c>
      <c r="F275" t="s">
        <v>5834</v>
      </c>
      <c r="G275" t="s">
        <v>74</v>
      </c>
      <c r="H275" t="s">
        <v>74</v>
      </c>
      <c r="I275" t="s">
        <v>5835</v>
      </c>
      <c r="J275" t="s">
        <v>4046</v>
      </c>
      <c r="K275" t="s">
        <v>74</v>
      </c>
      <c r="L275" t="s">
        <v>74</v>
      </c>
      <c r="M275" t="s">
        <v>78</v>
      </c>
      <c r="N275" t="s">
        <v>79</v>
      </c>
      <c r="O275" t="s">
        <v>74</v>
      </c>
      <c r="P275" t="s">
        <v>74</v>
      </c>
      <c r="Q275" t="s">
        <v>74</v>
      </c>
      <c r="R275" t="s">
        <v>74</v>
      </c>
      <c r="S275" t="s">
        <v>74</v>
      </c>
      <c r="T275" t="s">
        <v>5836</v>
      </c>
      <c r="U275" t="s">
        <v>5837</v>
      </c>
      <c r="V275" t="s">
        <v>5838</v>
      </c>
      <c r="W275" t="s">
        <v>5839</v>
      </c>
      <c r="X275" t="s">
        <v>5840</v>
      </c>
      <c r="Y275" t="s">
        <v>5841</v>
      </c>
      <c r="Z275" t="s">
        <v>5842</v>
      </c>
      <c r="AA275" t="s">
        <v>5843</v>
      </c>
      <c r="AB275" t="s">
        <v>5844</v>
      </c>
      <c r="AC275" t="s">
        <v>5845</v>
      </c>
      <c r="AD275" t="s">
        <v>5846</v>
      </c>
      <c r="AE275" t="s">
        <v>5847</v>
      </c>
      <c r="AF275" t="s">
        <v>74</v>
      </c>
      <c r="AG275">
        <v>67</v>
      </c>
      <c r="AH275">
        <v>6</v>
      </c>
      <c r="AI275">
        <v>6</v>
      </c>
      <c r="AJ275">
        <v>3</v>
      </c>
      <c r="AK275">
        <v>11</v>
      </c>
      <c r="AL275" t="s">
        <v>866</v>
      </c>
      <c r="AM275" t="s">
        <v>867</v>
      </c>
      <c r="AN275" t="s">
        <v>868</v>
      </c>
      <c r="AO275" t="s">
        <v>4058</v>
      </c>
      <c r="AP275" t="s">
        <v>74</v>
      </c>
      <c r="AQ275" t="s">
        <v>74</v>
      </c>
      <c r="AR275" t="s">
        <v>4059</v>
      </c>
      <c r="AS275" t="s">
        <v>4060</v>
      </c>
      <c r="AT275" t="s">
        <v>5811</v>
      </c>
      <c r="AU275">
        <v>2020</v>
      </c>
      <c r="AV275">
        <v>11</v>
      </c>
      <c r="AW275" t="s">
        <v>74</v>
      </c>
      <c r="AX275" t="s">
        <v>74</v>
      </c>
      <c r="AY275" t="s">
        <v>74</v>
      </c>
      <c r="AZ275" t="s">
        <v>74</v>
      </c>
      <c r="BA275" t="s">
        <v>74</v>
      </c>
      <c r="BB275" t="s">
        <v>74</v>
      </c>
      <c r="BC275" t="s">
        <v>74</v>
      </c>
      <c r="BD275">
        <v>573588</v>
      </c>
      <c r="BE275" t="s">
        <v>5848</v>
      </c>
      <c r="BF275" t="str">
        <f>HYPERLINK("http://dx.doi.org/10.3389/fmicb.2020.573588","http://dx.doi.org/10.3389/fmicb.2020.573588")</f>
        <v>http://dx.doi.org/10.3389/fmicb.2020.573588</v>
      </c>
      <c r="BG275" t="s">
        <v>74</v>
      </c>
      <c r="BH275" t="s">
        <v>74</v>
      </c>
      <c r="BI275">
        <v>14</v>
      </c>
      <c r="BJ275" t="s">
        <v>229</v>
      </c>
      <c r="BK275" t="s">
        <v>100</v>
      </c>
      <c r="BL275" t="s">
        <v>229</v>
      </c>
      <c r="BM275" t="s">
        <v>5849</v>
      </c>
      <c r="BN275">
        <v>33162955</v>
      </c>
      <c r="BO275" t="s">
        <v>5850</v>
      </c>
      <c r="BP275" t="s">
        <v>74</v>
      </c>
      <c r="BQ275" t="s">
        <v>74</v>
      </c>
      <c r="BR275" t="s">
        <v>104</v>
      </c>
      <c r="BS275" t="s">
        <v>5851</v>
      </c>
      <c r="BT275" t="str">
        <f>HYPERLINK("https%3A%2F%2Fwww.webofscience.com%2Fwos%2Fwoscc%2Ffull-record%2FWOS:000581097500001","View Full Record in Web of Science")</f>
        <v>View Full Record in Web of Science</v>
      </c>
    </row>
    <row r="276" spans="1:72" x14ac:dyDescent="0.15">
      <c r="A276" t="s">
        <v>72</v>
      </c>
      <c r="B276" t="s">
        <v>5852</v>
      </c>
      <c r="C276" t="s">
        <v>74</v>
      </c>
      <c r="D276" t="s">
        <v>74</v>
      </c>
      <c r="E276" t="s">
        <v>74</v>
      </c>
      <c r="F276" t="s">
        <v>5853</v>
      </c>
      <c r="G276" t="s">
        <v>74</v>
      </c>
      <c r="H276" t="s">
        <v>74</v>
      </c>
      <c r="I276" t="s">
        <v>5854</v>
      </c>
      <c r="J276" t="s">
        <v>77</v>
      </c>
      <c r="K276" t="s">
        <v>74</v>
      </c>
      <c r="L276" t="s">
        <v>74</v>
      </c>
      <c r="M276" t="s">
        <v>78</v>
      </c>
      <c r="N276" t="s">
        <v>79</v>
      </c>
      <c r="O276" t="s">
        <v>74</v>
      </c>
      <c r="P276" t="s">
        <v>74</v>
      </c>
      <c r="Q276" t="s">
        <v>74</v>
      </c>
      <c r="R276" t="s">
        <v>74</v>
      </c>
      <c r="S276" t="s">
        <v>74</v>
      </c>
      <c r="T276" t="s">
        <v>74</v>
      </c>
      <c r="U276" t="s">
        <v>5855</v>
      </c>
      <c r="V276" t="s">
        <v>5856</v>
      </c>
      <c r="W276" t="s">
        <v>5857</v>
      </c>
      <c r="X276" t="s">
        <v>5858</v>
      </c>
      <c r="Y276" t="s">
        <v>5859</v>
      </c>
      <c r="Z276" t="s">
        <v>5860</v>
      </c>
      <c r="AA276" t="s">
        <v>5861</v>
      </c>
      <c r="AB276" t="s">
        <v>5862</v>
      </c>
      <c r="AC276" t="s">
        <v>5863</v>
      </c>
      <c r="AD276" t="s">
        <v>5864</v>
      </c>
      <c r="AE276" t="s">
        <v>5865</v>
      </c>
      <c r="AF276" t="s">
        <v>74</v>
      </c>
      <c r="AG276">
        <v>49</v>
      </c>
      <c r="AH276">
        <v>15</v>
      </c>
      <c r="AI276">
        <v>16</v>
      </c>
      <c r="AJ276">
        <v>2</v>
      </c>
      <c r="AK276">
        <v>5</v>
      </c>
      <c r="AL276" t="s">
        <v>91</v>
      </c>
      <c r="AM276" t="s">
        <v>92</v>
      </c>
      <c r="AN276" t="s">
        <v>93</v>
      </c>
      <c r="AO276" t="s">
        <v>94</v>
      </c>
      <c r="AP276" t="s">
        <v>95</v>
      </c>
      <c r="AQ276" t="s">
        <v>74</v>
      </c>
      <c r="AR276" t="s">
        <v>77</v>
      </c>
      <c r="AS276" t="s">
        <v>96</v>
      </c>
      <c r="AT276" t="s">
        <v>5811</v>
      </c>
      <c r="AU276">
        <v>2020</v>
      </c>
      <c r="AV276">
        <v>14</v>
      </c>
      <c r="AW276">
        <v>10</v>
      </c>
      <c r="AX276" t="s">
        <v>74</v>
      </c>
      <c r="AY276" t="s">
        <v>74</v>
      </c>
      <c r="AZ276" t="s">
        <v>74</v>
      </c>
      <c r="BA276" t="s">
        <v>74</v>
      </c>
      <c r="BB276">
        <v>3367</v>
      </c>
      <c r="BC276">
        <v>3380</v>
      </c>
      <c r="BD276" t="s">
        <v>74</v>
      </c>
      <c r="BE276" t="s">
        <v>5866</v>
      </c>
      <c r="BF276" t="str">
        <f>HYPERLINK("http://dx.doi.org/10.5194/tc-14-3367-2020","http://dx.doi.org/10.5194/tc-14-3367-2020")</f>
        <v>http://dx.doi.org/10.5194/tc-14-3367-2020</v>
      </c>
      <c r="BG276" t="s">
        <v>74</v>
      </c>
      <c r="BH276" t="s">
        <v>74</v>
      </c>
      <c r="BI276">
        <v>14</v>
      </c>
      <c r="BJ276" t="s">
        <v>99</v>
      </c>
      <c r="BK276" t="s">
        <v>100</v>
      </c>
      <c r="BL276" t="s">
        <v>101</v>
      </c>
      <c r="BM276" t="s">
        <v>5867</v>
      </c>
      <c r="BN276" t="s">
        <v>74</v>
      </c>
      <c r="BO276" t="s">
        <v>4932</v>
      </c>
      <c r="BP276" t="s">
        <v>74</v>
      </c>
      <c r="BQ276" t="s">
        <v>74</v>
      </c>
      <c r="BR276" t="s">
        <v>104</v>
      </c>
      <c r="BS276" t="s">
        <v>5868</v>
      </c>
      <c r="BT276" t="str">
        <f>HYPERLINK("https%3A%2F%2Fwww.webofscience.com%2Fwos%2Fwoscc%2Ffull-record%2FWOS:000580538300001","View Full Record in Web of Science")</f>
        <v>View Full Record in Web of Science</v>
      </c>
    </row>
    <row r="277" spans="1:72" x14ac:dyDescent="0.15">
      <c r="A277" t="s">
        <v>72</v>
      </c>
      <c r="B277" t="s">
        <v>5869</v>
      </c>
      <c r="C277" t="s">
        <v>74</v>
      </c>
      <c r="D277" t="s">
        <v>74</v>
      </c>
      <c r="E277" t="s">
        <v>74</v>
      </c>
      <c r="F277" t="s">
        <v>5870</v>
      </c>
      <c r="G277" t="s">
        <v>74</v>
      </c>
      <c r="H277" t="s">
        <v>74</v>
      </c>
      <c r="I277" t="s">
        <v>5871</v>
      </c>
      <c r="J277" t="s">
        <v>1063</v>
      </c>
      <c r="K277" t="s">
        <v>74</v>
      </c>
      <c r="L277" t="s">
        <v>74</v>
      </c>
      <c r="M277" t="s">
        <v>78</v>
      </c>
      <c r="N277" t="s">
        <v>79</v>
      </c>
      <c r="O277" t="s">
        <v>74</v>
      </c>
      <c r="P277" t="s">
        <v>74</v>
      </c>
      <c r="Q277" t="s">
        <v>74</v>
      </c>
      <c r="R277" t="s">
        <v>74</v>
      </c>
      <c r="S277" t="s">
        <v>74</v>
      </c>
      <c r="T277" t="s">
        <v>5872</v>
      </c>
      <c r="U277" t="s">
        <v>5873</v>
      </c>
      <c r="V277" t="s">
        <v>5874</v>
      </c>
      <c r="W277" t="s">
        <v>5875</v>
      </c>
      <c r="X277" t="s">
        <v>5876</v>
      </c>
      <c r="Y277" t="s">
        <v>5877</v>
      </c>
      <c r="Z277" t="s">
        <v>5878</v>
      </c>
      <c r="AA277" t="s">
        <v>5879</v>
      </c>
      <c r="AB277" t="s">
        <v>5880</v>
      </c>
      <c r="AC277" t="s">
        <v>5881</v>
      </c>
      <c r="AD277" t="s">
        <v>5882</v>
      </c>
      <c r="AE277" t="s">
        <v>5883</v>
      </c>
      <c r="AF277" t="s">
        <v>74</v>
      </c>
      <c r="AG277">
        <v>41</v>
      </c>
      <c r="AH277">
        <v>4</v>
      </c>
      <c r="AI277">
        <v>4</v>
      </c>
      <c r="AJ277">
        <v>1</v>
      </c>
      <c r="AK277">
        <v>16</v>
      </c>
      <c r="AL277" t="s">
        <v>482</v>
      </c>
      <c r="AM277" t="s">
        <v>483</v>
      </c>
      <c r="AN277" t="s">
        <v>484</v>
      </c>
      <c r="AO277" t="s">
        <v>1075</v>
      </c>
      <c r="AP277" t="s">
        <v>1076</v>
      </c>
      <c r="AQ277" t="s">
        <v>74</v>
      </c>
      <c r="AR277" t="s">
        <v>1077</v>
      </c>
      <c r="AS277" t="s">
        <v>1078</v>
      </c>
      <c r="AT277" t="s">
        <v>720</v>
      </c>
      <c r="AU277">
        <v>2020</v>
      </c>
      <c r="AV277">
        <v>43</v>
      </c>
      <c r="AW277">
        <v>12</v>
      </c>
      <c r="AX277" t="s">
        <v>74</v>
      </c>
      <c r="AY277" t="s">
        <v>74</v>
      </c>
      <c r="AZ277" t="s">
        <v>74</v>
      </c>
      <c r="BA277" t="s">
        <v>74</v>
      </c>
      <c r="BB277">
        <v>2003</v>
      </c>
      <c r="BC277">
        <v>2010</v>
      </c>
      <c r="BD277" t="s">
        <v>74</v>
      </c>
      <c r="BE277" t="s">
        <v>5884</v>
      </c>
      <c r="BF277" t="str">
        <f>HYPERLINK("http://dx.doi.org/10.1007/s00300-020-02758-4","http://dx.doi.org/10.1007/s00300-020-02758-4")</f>
        <v>http://dx.doi.org/10.1007/s00300-020-02758-4</v>
      </c>
      <c r="BG277" t="s">
        <v>74</v>
      </c>
      <c r="BH277" t="s">
        <v>3429</v>
      </c>
      <c r="BI277">
        <v>8</v>
      </c>
      <c r="BJ277" t="s">
        <v>1080</v>
      </c>
      <c r="BK277" t="s">
        <v>100</v>
      </c>
      <c r="BL277" t="s">
        <v>256</v>
      </c>
      <c r="BM277" t="s">
        <v>1081</v>
      </c>
      <c r="BN277" t="s">
        <v>74</v>
      </c>
      <c r="BO277" t="s">
        <v>74</v>
      </c>
      <c r="BP277" t="s">
        <v>74</v>
      </c>
      <c r="BQ277" t="s">
        <v>74</v>
      </c>
      <c r="BR277" t="s">
        <v>104</v>
      </c>
      <c r="BS277" t="s">
        <v>5885</v>
      </c>
      <c r="BT277" t="str">
        <f>HYPERLINK("https%3A%2F%2Fwww.webofscience.com%2Fwos%2Fwoscc%2Ffull-record%2FWOS:000578465700001","View Full Record in Web of Science")</f>
        <v>View Full Record in Web of Science</v>
      </c>
    </row>
    <row r="278" spans="1:72" x14ac:dyDescent="0.15">
      <c r="A278" t="s">
        <v>72</v>
      </c>
      <c r="B278" t="s">
        <v>5886</v>
      </c>
      <c r="C278" t="s">
        <v>74</v>
      </c>
      <c r="D278" t="s">
        <v>74</v>
      </c>
      <c r="E278" t="s">
        <v>74</v>
      </c>
      <c r="F278" t="s">
        <v>5887</v>
      </c>
      <c r="G278" t="s">
        <v>74</v>
      </c>
      <c r="H278" t="s">
        <v>74</v>
      </c>
      <c r="I278" t="s">
        <v>5888</v>
      </c>
      <c r="J278" t="s">
        <v>878</v>
      </c>
      <c r="K278" t="s">
        <v>74</v>
      </c>
      <c r="L278" t="s">
        <v>74</v>
      </c>
      <c r="M278" t="s">
        <v>78</v>
      </c>
      <c r="N278" t="s">
        <v>79</v>
      </c>
      <c r="O278" t="s">
        <v>74</v>
      </c>
      <c r="P278" t="s">
        <v>74</v>
      </c>
      <c r="Q278" t="s">
        <v>74</v>
      </c>
      <c r="R278" t="s">
        <v>74</v>
      </c>
      <c r="S278" t="s">
        <v>74</v>
      </c>
      <c r="T278" t="s">
        <v>5889</v>
      </c>
      <c r="U278" t="s">
        <v>5890</v>
      </c>
      <c r="V278" t="s">
        <v>5891</v>
      </c>
      <c r="W278" t="s">
        <v>5892</v>
      </c>
      <c r="X278" t="s">
        <v>5893</v>
      </c>
      <c r="Y278" t="s">
        <v>5894</v>
      </c>
      <c r="Z278" t="s">
        <v>5895</v>
      </c>
      <c r="AA278" t="s">
        <v>5896</v>
      </c>
      <c r="AB278" t="s">
        <v>5897</v>
      </c>
      <c r="AC278" t="s">
        <v>5898</v>
      </c>
      <c r="AD278" t="s">
        <v>5898</v>
      </c>
      <c r="AE278" t="s">
        <v>5899</v>
      </c>
      <c r="AF278" t="s">
        <v>74</v>
      </c>
      <c r="AG278">
        <v>48</v>
      </c>
      <c r="AH278">
        <v>1</v>
      </c>
      <c r="AI278">
        <v>1</v>
      </c>
      <c r="AJ278">
        <v>2</v>
      </c>
      <c r="AK278">
        <v>19</v>
      </c>
      <c r="AL278" t="s">
        <v>482</v>
      </c>
      <c r="AM278" t="s">
        <v>483</v>
      </c>
      <c r="AN278" t="s">
        <v>484</v>
      </c>
      <c r="AO278" t="s">
        <v>891</v>
      </c>
      <c r="AP278" t="s">
        <v>892</v>
      </c>
      <c r="AQ278" t="s">
        <v>74</v>
      </c>
      <c r="AR278" t="s">
        <v>878</v>
      </c>
      <c r="AS278" t="s">
        <v>893</v>
      </c>
      <c r="AT278" t="s">
        <v>252</v>
      </c>
      <c r="AU278">
        <v>2023</v>
      </c>
      <c r="AV278">
        <v>26</v>
      </c>
      <c r="AW278">
        <v>1</v>
      </c>
      <c r="AX278" t="s">
        <v>74</v>
      </c>
      <c r="AY278" t="s">
        <v>74</v>
      </c>
      <c r="AZ278" t="s">
        <v>74</v>
      </c>
      <c r="BA278" t="s">
        <v>74</v>
      </c>
      <c r="BB278">
        <v>232</v>
      </c>
      <c r="BC278">
        <v>251</v>
      </c>
      <c r="BD278" t="s">
        <v>74</v>
      </c>
      <c r="BE278" t="s">
        <v>5900</v>
      </c>
      <c r="BF278" t="str">
        <f>HYPERLINK("http://dx.doi.org/10.1007/s10021-020-00560-1","http://dx.doi.org/10.1007/s10021-020-00560-1")</f>
        <v>http://dx.doi.org/10.1007/s10021-020-00560-1</v>
      </c>
      <c r="BG278" t="s">
        <v>74</v>
      </c>
      <c r="BH278" t="s">
        <v>3429</v>
      </c>
      <c r="BI278">
        <v>20</v>
      </c>
      <c r="BJ278" t="s">
        <v>823</v>
      </c>
      <c r="BK278" t="s">
        <v>100</v>
      </c>
      <c r="BL278" t="s">
        <v>284</v>
      </c>
      <c r="BM278" t="s">
        <v>5901</v>
      </c>
      <c r="BN278" t="s">
        <v>74</v>
      </c>
      <c r="BO278" t="s">
        <v>74</v>
      </c>
      <c r="BP278" t="s">
        <v>74</v>
      </c>
      <c r="BQ278" t="s">
        <v>74</v>
      </c>
      <c r="BR278" t="s">
        <v>104</v>
      </c>
      <c r="BS278" t="s">
        <v>5902</v>
      </c>
      <c r="BT278" t="str">
        <f>HYPERLINK("https%3A%2F%2Fwww.webofscience.com%2Fwos%2Fwoscc%2Ffull-record%2FWOS:000576871000002","View Full Record in Web of Science")</f>
        <v>View Full Record in Web of Science</v>
      </c>
    </row>
    <row r="279" spans="1:72" x14ac:dyDescent="0.15">
      <c r="A279" t="s">
        <v>72</v>
      </c>
      <c r="B279" t="s">
        <v>5903</v>
      </c>
      <c r="C279" t="s">
        <v>74</v>
      </c>
      <c r="D279" t="s">
        <v>74</v>
      </c>
      <c r="E279" t="s">
        <v>74</v>
      </c>
      <c r="F279" t="s">
        <v>5904</v>
      </c>
      <c r="G279" t="s">
        <v>74</v>
      </c>
      <c r="H279" t="s">
        <v>74</v>
      </c>
      <c r="I279" t="s">
        <v>5905</v>
      </c>
      <c r="J279" t="s">
        <v>3480</v>
      </c>
      <c r="K279" t="s">
        <v>74</v>
      </c>
      <c r="L279" t="s">
        <v>74</v>
      </c>
      <c r="M279" t="s">
        <v>78</v>
      </c>
      <c r="N279" t="s">
        <v>3481</v>
      </c>
      <c r="O279" t="s">
        <v>74</v>
      </c>
      <c r="P279" t="s">
        <v>74</v>
      </c>
      <c r="Q279" t="s">
        <v>74</v>
      </c>
      <c r="R279" t="s">
        <v>74</v>
      </c>
      <c r="S279" t="s">
        <v>74</v>
      </c>
      <c r="T279" t="s">
        <v>5906</v>
      </c>
      <c r="U279" t="s">
        <v>74</v>
      </c>
      <c r="V279" t="s">
        <v>5907</v>
      </c>
      <c r="W279" t="s">
        <v>5908</v>
      </c>
      <c r="X279" t="s">
        <v>811</v>
      </c>
      <c r="Y279" t="s">
        <v>5909</v>
      </c>
      <c r="Z279" t="s">
        <v>74</v>
      </c>
      <c r="AA279" t="s">
        <v>5910</v>
      </c>
      <c r="AB279" t="s">
        <v>5911</v>
      </c>
      <c r="AC279" t="s">
        <v>74</v>
      </c>
      <c r="AD279" t="s">
        <v>74</v>
      </c>
      <c r="AE279" t="s">
        <v>74</v>
      </c>
      <c r="AF279" t="s">
        <v>74</v>
      </c>
      <c r="AG279">
        <v>0</v>
      </c>
      <c r="AH279">
        <v>0</v>
      </c>
      <c r="AI279">
        <v>0</v>
      </c>
      <c r="AJ279">
        <v>1</v>
      </c>
      <c r="AK279">
        <v>4</v>
      </c>
      <c r="AL279" t="s">
        <v>321</v>
      </c>
      <c r="AM279" t="s">
        <v>322</v>
      </c>
      <c r="AN279" t="s">
        <v>323</v>
      </c>
      <c r="AO279" t="s">
        <v>3484</v>
      </c>
      <c r="AP279" t="s">
        <v>3485</v>
      </c>
      <c r="AQ279" t="s">
        <v>74</v>
      </c>
      <c r="AR279" t="s">
        <v>3480</v>
      </c>
      <c r="AS279" t="s">
        <v>3486</v>
      </c>
      <c r="AT279" t="s">
        <v>5912</v>
      </c>
      <c r="AU279">
        <v>2020</v>
      </c>
      <c r="AV279">
        <v>586</v>
      </c>
      <c r="AW279">
        <v>7828</v>
      </c>
      <c r="AX279" t="s">
        <v>74</v>
      </c>
      <c r="AY279" t="s">
        <v>74</v>
      </c>
      <c r="AZ279" t="s">
        <v>74</v>
      </c>
      <c r="BA279" t="s">
        <v>74</v>
      </c>
      <c r="BB279">
        <v>328</v>
      </c>
      <c r="BC279">
        <v>328</v>
      </c>
      <c r="BD279" t="s">
        <v>74</v>
      </c>
      <c r="BE279" t="s">
        <v>5913</v>
      </c>
      <c r="BF279" t="str">
        <f>HYPERLINK("http://dx.doi.org/10.1038/d41586-020-02802-7","http://dx.doi.org/10.1038/d41586-020-02802-7")</f>
        <v>http://dx.doi.org/10.1038/d41586-020-02802-7</v>
      </c>
      <c r="BG279" t="s">
        <v>74</v>
      </c>
      <c r="BH279" t="s">
        <v>74</v>
      </c>
      <c r="BI279">
        <v>1</v>
      </c>
      <c r="BJ279" t="s">
        <v>329</v>
      </c>
      <c r="BK279" t="s">
        <v>255</v>
      </c>
      <c r="BL279" t="s">
        <v>330</v>
      </c>
      <c r="BM279" t="s">
        <v>5914</v>
      </c>
      <c r="BN279">
        <v>33020602</v>
      </c>
      <c r="BO279" t="s">
        <v>74</v>
      </c>
      <c r="BP279" t="s">
        <v>74</v>
      </c>
      <c r="BQ279" t="s">
        <v>74</v>
      </c>
      <c r="BR279" t="s">
        <v>104</v>
      </c>
      <c r="BS279" t="s">
        <v>5915</v>
      </c>
      <c r="BT279" t="str">
        <f>HYPERLINK("https%3A%2F%2Fwww.webofscience.com%2Fwos%2Fwoscc%2Ffull-record%2FWOS:000575153700001","View Full Record in Web of Science")</f>
        <v>View Full Record in Web of Science</v>
      </c>
    </row>
    <row r="280" spans="1:72" x14ac:dyDescent="0.15">
      <c r="A280" t="s">
        <v>72</v>
      </c>
      <c r="B280" t="s">
        <v>5916</v>
      </c>
      <c r="C280" t="s">
        <v>74</v>
      </c>
      <c r="D280" t="s">
        <v>74</v>
      </c>
      <c r="E280" t="s">
        <v>74</v>
      </c>
      <c r="F280" t="s">
        <v>5917</v>
      </c>
      <c r="G280" t="s">
        <v>74</v>
      </c>
      <c r="H280" t="s">
        <v>74</v>
      </c>
      <c r="I280" t="s">
        <v>5918</v>
      </c>
      <c r="J280" t="s">
        <v>5919</v>
      </c>
      <c r="K280" t="s">
        <v>74</v>
      </c>
      <c r="L280" t="s">
        <v>74</v>
      </c>
      <c r="M280" t="s">
        <v>78</v>
      </c>
      <c r="N280" t="s">
        <v>79</v>
      </c>
      <c r="O280" t="s">
        <v>74</v>
      </c>
      <c r="P280" t="s">
        <v>74</v>
      </c>
      <c r="Q280" t="s">
        <v>74</v>
      </c>
      <c r="R280" t="s">
        <v>74</v>
      </c>
      <c r="S280" t="s">
        <v>74</v>
      </c>
      <c r="T280" t="s">
        <v>5920</v>
      </c>
      <c r="U280" t="s">
        <v>5921</v>
      </c>
      <c r="V280" t="s">
        <v>5922</v>
      </c>
      <c r="W280" t="s">
        <v>5923</v>
      </c>
      <c r="X280" t="s">
        <v>5924</v>
      </c>
      <c r="Y280" t="s">
        <v>5925</v>
      </c>
      <c r="Z280" t="s">
        <v>5926</v>
      </c>
      <c r="AA280" t="s">
        <v>5927</v>
      </c>
      <c r="AB280" t="s">
        <v>5928</v>
      </c>
      <c r="AC280" t="s">
        <v>5929</v>
      </c>
      <c r="AD280" t="s">
        <v>5930</v>
      </c>
      <c r="AE280" t="s">
        <v>5931</v>
      </c>
      <c r="AF280" t="s">
        <v>74</v>
      </c>
      <c r="AG280">
        <v>113</v>
      </c>
      <c r="AH280">
        <v>129</v>
      </c>
      <c r="AI280">
        <v>134</v>
      </c>
      <c r="AJ280">
        <v>12</v>
      </c>
      <c r="AK280">
        <v>32</v>
      </c>
      <c r="AL280" t="s">
        <v>5932</v>
      </c>
      <c r="AM280" t="s">
        <v>5933</v>
      </c>
      <c r="AN280" t="s">
        <v>5934</v>
      </c>
      <c r="AO280" t="s">
        <v>74</v>
      </c>
      <c r="AP280" t="s">
        <v>5935</v>
      </c>
      <c r="AQ280" t="s">
        <v>74</v>
      </c>
      <c r="AR280" t="s">
        <v>5936</v>
      </c>
      <c r="AS280" t="s">
        <v>5937</v>
      </c>
      <c r="AT280" t="s">
        <v>74</v>
      </c>
      <c r="AU280">
        <v>2020</v>
      </c>
      <c r="AV280">
        <v>70</v>
      </c>
      <c r="AW280">
        <v>1</v>
      </c>
      <c r="AX280" t="s">
        <v>74</v>
      </c>
      <c r="AY280" t="s">
        <v>74</v>
      </c>
      <c r="AZ280" t="s">
        <v>74</v>
      </c>
      <c r="BA280" t="s">
        <v>74</v>
      </c>
      <c r="BB280">
        <v>225</v>
      </c>
      <c r="BC280">
        <v>251</v>
      </c>
      <c r="BD280" t="s">
        <v>74</v>
      </c>
      <c r="BE280" t="s">
        <v>5938</v>
      </c>
      <c r="BF280" t="str">
        <f>HYPERLINK("http://dx.doi.org/10.1071/ES19040","http://dx.doi.org/10.1071/ES19040")</f>
        <v>http://dx.doi.org/10.1071/ES19040</v>
      </c>
      <c r="BG280" t="s">
        <v>74</v>
      </c>
      <c r="BH280" t="s">
        <v>3429</v>
      </c>
      <c r="BI280">
        <v>27</v>
      </c>
      <c r="BJ280" t="s">
        <v>4760</v>
      </c>
      <c r="BK280" t="s">
        <v>100</v>
      </c>
      <c r="BL280" t="s">
        <v>4760</v>
      </c>
      <c r="BM280" t="s">
        <v>5939</v>
      </c>
      <c r="BN280" t="s">
        <v>74</v>
      </c>
      <c r="BO280" t="s">
        <v>677</v>
      </c>
      <c r="BP280" t="s">
        <v>417</v>
      </c>
      <c r="BQ280" t="s">
        <v>418</v>
      </c>
      <c r="BR280" t="s">
        <v>104</v>
      </c>
      <c r="BS280" t="s">
        <v>5940</v>
      </c>
      <c r="BT280" t="str">
        <f>HYPERLINK("https%3A%2F%2Fwww.webofscience.com%2Fwos%2Fwoscc%2Ffull-record%2FWOS:000598035600001","View Full Record in Web of Science")</f>
        <v>View Full Record in Web of Science</v>
      </c>
    </row>
    <row r="281" spans="1:72" x14ac:dyDescent="0.15">
      <c r="A281" t="s">
        <v>72</v>
      </c>
      <c r="B281" t="s">
        <v>5941</v>
      </c>
      <c r="C281" t="s">
        <v>74</v>
      </c>
      <c r="D281" t="s">
        <v>74</v>
      </c>
      <c r="E281" t="s">
        <v>74</v>
      </c>
      <c r="F281" t="s">
        <v>5942</v>
      </c>
      <c r="G281" t="s">
        <v>74</v>
      </c>
      <c r="H281" t="s">
        <v>74</v>
      </c>
      <c r="I281" t="s">
        <v>5943</v>
      </c>
      <c r="J281" t="s">
        <v>3492</v>
      </c>
      <c r="K281" t="s">
        <v>74</v>
      </c>
      <c r="L281" t="s">
        <v>74</v>
      </c>
      <c r="M281" t="s">
        <v>78</v>
      </c>
      <c r="N281" t="s">
        <v>79</v>
      </c>
      <c r="O281" t="s">
        <v>74</v>
      </c>
      <c r="P281" t="s">
        <v>74</v>
      </c>
      <c r="Q281" t="s">
        <v>74</v>
      </c>
      <c r="R281" t="s">
        <v>74</v>
      </c>
      <c r="S281" t="s">
        <v>74</v>
      </c>
      <c r="T281" t="s">
        <v>5944</v>
      </c>
      <c r="U281" t="s">
        <v>5945</v>
      </c>
      <c r="V281" t="s">
        <v>5946</v>
      </c>
      <c r="W281" t="s">
        <v>5947</v>
      </c>
      <c r="X281" t="s">
        <v>5948</v>
      </c>
      <c r="Y281" t="s">
        <v>5949</v>
      </c>
      <c r="Z281" t="s">
        <v>5950</v>
      </c>
      <c r="AA281" t="s">
        <v>5951</v>
      </c>
      <c r="AB281" t="s">
        <v>5952</v>
      </c>
      <c r="AC281" t="s">
        <v>5953</v>
      </c>
      <c r="AD281" t="s">
        <v>5954</v>
      </c>
      <c r="AE281" t="s">
        <v>5955</v>
      </c>
      <c r="AF281" t="s">
        <v>74</v>
      </c>
      <c r="AG281">
        <v>47</v>
      </c>
      <c r="AH281">
        <v>3</v>
      </c>
      <c r="AI281">
        <v>3</v>
      </c>
      <c r="AJ281">
        <v>0</v>
      </c>
      <c r="AK281">
        <v>1</v>
      </c>
      <c r="AL281" t="s">
        <v>866</v>
      </c>
      <c r="AM281" t="s">
        <v>867</v>
      </c>
      <c r="AN281" t="s">
        <v>868</v>
      </c>
      <c r="AO281" t="s">
        <v>74</v>
      </c>
      <c r="AP281" t="s">
        <v>3505</v>
      </c>
      <c r="AQ281" t="s">
        <v>74</v>
      </c>
      <c r="AR281" t="s">
        <v>3506</v>
      </c>
      <c r="AS281" t="s">
        <v>3507</v>
      </c>
      <c r="AT281" t="s">
        <v>5912</v>
      </c>
      <c r="AU281">
        <v>2020</v>
      </c>
      <c r="AV281">
        <v>8</v>
      </c>
      <c r="AW281" t="s">
        <v>74</v>
      </c>
      <c r="AX281" t="s">
        <v>74</v>
      </c>
      <c r="AY281" t="s">
        <v>74</v>
      </c>
      <c r="AZ281" t="s">
        <v>74</v>
      </c>
      <c r="BA281" t="s">
        <v>74</v>
      </c>
      <c r="BB281" t="s">
        <v>74</v>
      </c>
      <c r="BC281" t="s">
        <v>74</v>
      </c>
      <c r="BD281">
        <v>580675</v>
      </c>
      <c r="BE281" t="s">
        <v>5956</v>
      </c>
      <c r="BF281" t="str">
        <f>HYPERLINK("http://dx.doi.org/10.3389/feart.2020.580675","http://dx.doi.org/10.3389/feart.2020.580675")</f>
        <v>http://dx.doi.org/10.3389/feart.2020.580675</v>
      </c>
      <c r="BG281" t="s">
        <v>74</v>
      </c>
      <c r="BH281" t="s">
        <v>74</v>
      </c>
      <c r="BI281">
        <v>15</v>
      </c>
      <c r="BJ281" t="s">
        <v>534</v>
      </c>
      <c r="BK281" t="s">
        <v>100</v>
      </c>
      <c r="BL281" t="s">
        <v>535</v>
      </c>
      <c r="BM281" t="s">
        <v>5957</v>
      </c>
      <c r="BN281" t="s">
        <v>74</v>
      </c>
      <c r="BO281" t="s">
        <v>512</v>
      </c>
      <c r="BP281" t="s">
        <v>74</v>
      </c>
      <c r="BQ281" t="s">
        <v>74</v>
      </c>
      <c r="BR281" t="s">
        <v>104</v>
      </c>
      <c r="BS281" t="s">
        <v>5958</v>
      </c>
      <c r="BT281" t="str">
        <f>HYPERLINK("https%3A%2F%2Fwww.webofscience.com%2Fwos%2Fwoscc%2Ffull-record%2FWOS:000580569300001","View Full Record in Web of Science")</f>
        <v>View Full Record in Web of Science</v>
      </c>
    </row>
    <row r="282" spans="1:72" x14ac:dyDescent="0.15">
      <c r="A282" t="s">
        <v>72</v>
      </c>
      <c r="B282" t="s">
        <v>5959</v>
      </c>
      <c r="C282" t="s">
        <v>74</v>
      </c>
      <c r="D282" t="s">
        <v>74</v>
      </c>
      <c r="E282" t="s">
        <v>74</v>
      </c>
      <c r="F282" t="s">
        <v>5960</v>
      </c>
      <c r="G282" t="s">
        <v>74</v>
      </c>
      <c r="H282" t="s">
        <v>74</v>
      </c>
      <c r="I282" t="s">
        <v>5961</v>
      </c>
      <c r="J282" t="s">
        <v>3492</v>
      </c>
      <c r="K282" t="s">
        <v>74</v>
      </c>
      <c r="L282" t="s">
        <v>74</v>
      </c>
      <c r="M282" t="s">
        <v>78</v>
      </c>
      <c r="N282" t="s">
        <v>79</v>
      </c>
      <c r="O282" t="s">
        <v>74</v>
      </c>
      <c r="P282" t="s">
        <v>74</v>
      </c>
      <c r="Q282" t="s">
        <v>74</v>
      </c>
      <c r="R282" t="s">
        <v>74</v>
      </c>
      <c r="S282" t="s">
        <v>74</v>
      </c>
      <c r="T282" t="s">
        <v>5962</v>
      </c>
      <c r="U282" t="s">
        <v>5963</v>
      </c>
      <c r="V282" t="s">
        <v>5964</v>
      </c>
      <c r="W282" t="s">
        <v>5965</v>
      </c>
      <c r="X282" t="s">
        <v>5966</v>
      </c>
      <c r="Y282" t="s">
        <v>5967</v>
      </c>
      <c r="Z282" t="s">
        <v>5968</v>
      </c>
      <c r="AA282" t="s">
        <v>5969</v>
      </c>
      <c r="AB282" t="s">
        <v>5970</v>
      </c>
      <c r="AC282" t="s">
        <v>74</v>
      </c>
      <c r="AD282" t="s">
        <v>74</v>
      </c>
      <c r="AE282" t="s">
        <v>74</v>
      </c>
      <c r="AF282" t="s">
        <v>74</v>
      </c>
      <c r="AG282">
        <v>60</v>
      </c>
      <c r="AH282">
        <v>4</v>
      </c>
      <c r="AI282">
        <v>4</v>
      </c>
      <c r="AJ282">
        <v>3</v>
      </c>
      <c r="AK282">
        <v>12</v>
      </c>
      <c r="AL282" t="s">
        <v>866</v>
      </c>
      <c r="AM282" t="s">
        <v>867</v>
      </c>
      <c r="AN282" t="s">
        <v>868</v>
      </c>
      <c r="AO282" t="s">
        <v>74</v>
      </c>
      <c r="AP282" t="s">
        <v>3505</v>
      </c>
      <c r="AQ282" t="s">
        <v>74</v>
      </c>
      <c r="AR282" t="s">
        <v>3506</v>
      </c>
      <c r="AS282" t="s">
        <v>3507</v>
      </c>
      <c r="AT282" t="s">
        <v>5912</v>
      </c>
      <c r="AU282">
        <v>2020</v>
      </c>
      <c r="AV282">
        <v>8</v>
      </c>
      <c r="AW282" t="s">
        <v>74</v>
      </c>
      <c r="AX282" t="s">
        <v>74</v>
      </c>
      <c r="AY282" t="s">
        <v>74</v>
      </c>
      <c r="AZ282" t="s">
        <v>74</v>
      </c>
      <c r="BA282" t="s">
        <v>74</v>
      </c>
      <c r="BB282" t="s">
        <v>74</v>
      </c>
      <c r="BC282" t="s">
        <v>74</v>
      </c>
      <c r="BD282">
        <v>550312</v>
      </c>
      <c r="BE282" t="s">
        <v>5971</v>
      </c>
      <c r="BF282" t="str">
        <f>HYPERLINK("http://dx.doi.org/10.3389/feart.2020.550312","http://dx.doi.org/10.3389/feart.2020.550312")</f>
        <v>http://dx.doi.org/10.3389/feart.2020.550312</v>
      </c>
      <c r="BG282" t="s">
        <v>74</v>
      </c>
      <c r="BH282" t="s">
        <v>74</v>
      </c>
      <c r="BI282">
        <v>21</v>
      </c>
      <c r="BJ282" t="s">
        <v>534</v>
      </c>
      <c r="BK282" t="s">
        <v>100</v>
      </c>
      <c r="BL282" t="s">
        <v>535</v>
      </c>
      <c r="BM282" t="s">
        <v>5972</v>
      </c>
      <c r="BN282" t="s">
        <v>74</v>
      </c>
      <c r="BO282" t="s">
        <v>202</v>
      </c>
      <c r="BP282" t="s">
        <v>74</v>
      </c>
      <c r="BQ282" t="s">
        <v>74</v>
      </c>
      <c r="BR282" t="s">
        <v>104</v>
      </c>
      <c r="BS282" t="s">
        <v>5973</v>
      </c>
      <c r="BT282" t="str">
        <f>HYPERLINK("https%3A%2F%2Fwww.webofscience.com%2Fwos%2Fwoscc%2Ffull-record%2FWOS:000580643300001","View Full Record in Web of Science")</f>
        <v>View Full Record in Web of Science</v>
      </c>
    </row>
    <row r="283" spans="1:72" x14ac:dyDescent="0.15">
      <c r="A283" t="s">
        <v>5974</v>
      </c>
      <c r="B283" t="s">
        <v>5975</v>
      </c>
      <c r="C283" t="s">
        <v>74</v>
      </c>
      <c r="D283" t="s">
        <v>74</v>
      </c>
      <c r="E283" t="s">
        <v>74</v>
      </c>
      <c r="F283" t="s">
        <v>5976</v>
      </c>
      <c r="G283" t="s">
        <v>74</v>
      </c>
      <c r="H283" t="s">
        <v>74</v>
      </c>
      <c r="I283" t="s">
        <v>5977</v>
      </c>
      <c r="J283" t="s">
        <v>5978</v>
      </c>
      <c r="K283" t="s">
        <v>74</v>
      </c>
      <c r="L283" t="s">
        <v>74</v>
      </c>
      <c r="M283" t="s">
        <v>78</v>
      </c>
      <c r="N283" t="s">
        <v>5979</v>
      </c>
      <c r="O283" t="s">
        <v>5980</v>
      </c>
      <c r="P283" t="s">
        <v>5981</v>
      </c>
      <c r="Q283" t="s">
        <v>5982</v>
      </c>
      <c r="R283" t="s">
        <v>74</v>
      </c>
      <c r="S283" t="s">
        <v>74</v>
      </c>
      <c r="T283" t="s">
        <v>74</v>
      </c>
      <c r="U283" t="s">
        <v>5983</v>
      </c>
      <c r="V283" t="s">
        <v>5984</v>
      </c>
      <c r="W283" t="s">
        <v>5985</v>
      </c>
      <c r="X283" t="s">
        <v>5986</v>
      </c>
      <c r="Y283" t="s">
        <v>5987</v>
      </c>
      <c r="Z283" t="s">
        <v>5988</v>
      </c>
      <c r="AA283" t="s">
        <v>5989</v>
      </c>
      <c r="AB283" t="s">
        <v>5990</v>
      </c>
      <c r="AC283" t="s">
        <v>5991</v>
      </c>
      <c r="AD283" t="s">
        <v>5992</v>
      </c>
      <c r="AE283" t="s">
        <v>5993</v>
      </c>
      <c r="AF283" t="s">
        <v>74</v>
      </c>
      <c r="AG283">
        <v>22</v>
      </c>
      <c r="AH283">
        <v>0</v>
      </c>
      <c r="AI283">
        <v>0</v>
      </c>
      <c r="AJ283">
        <v>0</v>
      </c>
      <c r="AK283">
        <v>0</v>
      </c>
      <c r="AL283" t="s">
        <v>91</v>
      </c>
      <c r="AM283" t="s">
        <v>92</v>
      </c>
      <c r="AN283" t="s">
        <v>93</v>
      </c>
      <c r="AO283" t="s">
        <v>5994</v>
      </c>
      <c r="AP283" t="s">
        <v>5995</v>
      </c>
      <c r="AQ283" t="s">
        <v>74</v>
      </c>
      <c r="AR283" t="s">
        <v>5996</v>
      </c>
      <c r="AS283" t="s">
        <v>5997</v>
      </c>
      <c r="AT283" t="s">
        <v>5912</v>
      </c>
      <c r="AU283">
        <v>2020</v>
      </c>
      <c r="AV283">
        <v>17</v>
      </c>
      <c r="AW283" t="s">
        <v>74</v>
      </c>
      <c r="AX283" t="s">
        <v>74</v>
      </c>
      <c r="AY283" t="s">
        <v>74</v>
      </c>
      <c r="AZ283" t="s">
        <v>74</v>
      </c>
      <c r="BA283" t="s">
        <v>74</v>
      </c>
      <c r="BB283">
        <v>209</v>
      </c>
      <c r="BC283">
        <v>217</v>
      </c>
      <c r="BD283" t="s">
        <v>74</v>
      </c>
      <c r="BE283" t="s">
        <v>5998</v>
      </c>
      <c r="BF283" t="str">
        <f>HYPERLINK("http://dx.doi.org/10.5194/asr-17-209-2020","http://dx.doi.org/10.5194/asr-17-209-2020")</f>
        <v>http://dx.doi.org/10.5194/asr-17-209-2020</v>
      </c>
      <c r="BG283" t="s">
        <v>74</v>
      </c>
      <c r="BH283" t="s">
        <v>74</v>
      </c>
      <c r="BI283">
        <v>9</v>
      </c>
      <c r="BJ283" t="s">
        <v>329</v>
      </c>
      <c r="BK283" t="s">
        <v>5999</v>
      </c>
      <c r="BL283" t="s">
        <v>330</v>
      </c>
      <c r="BM283" t="s">
        <v>6000</v>
      </c>
      <c r="BN283" t="s">
        <v>74</v>
      </c>
      <c r="BO283" t="s">
        <v>677</v>
      </c>
      <c r="BP283" t="s">
        <v>74</v>
      </c>
      <c r="BQ283" t="s">
        <v>74</v>
      </c>
      <c r="BR283" t="s">
        <v>104</v>
      </c>
      <c r="BS283" t="s">
        <v>6001</v>
      </c>
      <c r="BT283" t="str">
        <f>HYPERLINK("https%3A%2F%2Fwww.webofscience.com%2Fwos%2Fwoscc%2Ffull-record%2FWOS:000579050400001","View Full Record in Web of Science")</f>
        <v>View Full Record in Web of Science</v>
      </c>
    </row>
    <row r="284" spans="1:72" x14ac:dyDescent="0.15">
      <c r="A284" t="s">
        <v>72</v>
      </c>
      <c r="B284" t="s">
        <v>6002</v>
      </c>
      <c r="C284" t="s">
        <v>74</v>
      </c>
      <c r="D284" t="s">
        <v>74</v>
      </c>
      <c r="E284" t="s">
        <v>74</v>
      </c>
      <c r="F284" t="s">
        <v>6003</v>
      </c>
      <c r="G284" t="s">
        <v>74</v>
      </c>
      <c r="H284" t="s">
        <v>74</v>
      </c>
      <c r="I284" t="s">
        <v>6004</v>
      </c>
      <c r="J284" t="s">
        <v>6005</v>
      </c>
      <c r="K284" t="s">
        <v>74</v>
      </c>
      <c r="L284" t="s">
        <v>74</v>
      </c>
      <c r="M284" t="s">
        <v>78</v>
      </c>
      <c r="N284" t="s">
        <v>79</v>
      </c>
      <c r="O284" t="s">
        <v>74</v>
      </c>
      <c r="P284" t="s">
        <v>74</v>
      </c>
      <c r="Q284" t="s">
        <v>74</v>
      </c>
      <c r="R284" t="s">
        <v>74</v>
      </c>
      <c r="S284" t="s">
        <v>74</v>
      </c>
      <c r="T284" t="s">
        <v>74</v>
      </c>
      <c r="U284" t="s">
        <v>6006</v>
      </c>
      <c r="V284" t="s">
        <v>6007</v>
      </c>
      <c r="W284" t="s">
        <v>6008</v>
      </c>
      <c r="X284" t="s">
        <v>6009</v>
      </c>
      <c r="Y284" t="s">
        <v>6010</v>
      </c>
      <c r="Z284" t="s">
        <v>6011</v>
      </c>
      <c r="AA284" t="s">
        <v>74</v>
      </c>
      <c r="AB284" t="s">
        <v>6012</v>
      </c>
      <c r="AC284" t="s">
        <v>6013</v>
      </c>
      <c r="AD284" t="s">
        <v>6014</v>
      </c>
      <c r="AE284" t="s">
        <v>6015</v>
      </c>
      <c r="AF284" t="s">
        <v>74</v>
      </c>
      <c r="AG284">
        <v>67</v>
      </c>
      <c r="AH284">
        <v>9</v>
      </c>
      <c r="AI284">
        <v>10</v>
      </c>
      <c r="AJ284">
        <v>1</v>
      </c>
      <c r="AK284">
        <v>7</v>
      </c>
      <c r="AL284" t="s">
        <v>413</v>
      </c>
      <c r="AM284" t="s">
        <v>322</v>
      </c>
      <c r="AN284" t="s">
        <v>323</v>
      </c>
      <c r="AO284" t="s">
        <v>6016</v>
      </c>
      <c r="AP284" t="s">
        <v>74</v>
      </c>
      <c r="AQ284" t="s">
        <v>74</v>
      </c>
      <c r="AR284" t="s">
        <v>6017</v>
      </c>
      <c r="AS284" t="s">
        <v>6018</v>
      </c>
      <c r="AT284" t="s">
        <v>5912</v>
      </c>
      <c r="AU284">
        <v>2020</v>
      </c>
      <c r="AV284">
        <v>3</v>
      </c>
      <c r="AW284">
        <v>1</v>
      </c>
      <c r="AX284" t="s">
        <v>74</v>
      </c>
      <c r="AY284" t="s">
        <v>74</v>
      </c>
      <c r="AZ284" t="s">
        <v>74</v>
      </c>
      <c r="BA284" t="s">
        <v>74</v>
      </c>
      <c r="BB284" t="s">
        <v>74</v>
      </c>
      <c r="BC284" t="s">
        <v>74</v>
      </c>
      <c r="BD284">
        <v>39</v>
      </c>
      <c r="BE284" t="s">
        <v>6019</v>
      </c>
      <c r="BF284" t="str">
        <f>HYPERLINK("http://dx.doi.org/10.1038/s41612-020-00143-w","http://dx.doi.org/10.1038/s41612-020-00143-w")</f>
        <v>http://dx.doi.org/10.1038/s41612-020-00143-w</v>
      </c>
      <c r="BG284" t="s">
        <v>74</v>
      </c>
      <c r="BH284" t="s">
        <v>74</v>
      </c>
      <c r="BI284">
        <v>10</v>
      </c>
      <c r="BJ284" t="s">
        <v>800</v>
      </c>
      <c r="BK284" t="s">
        <v>100</v>
      </c>
      <c r="BL284" t="s">
        <v>800</v>
      </c>
      <c r="BM284" t="s">
        <v>6020</v>
      </c>
      <c r="BN284" t="s">
        <v>74</v>
      </c>
      <c r="BO284" t="s">
        <v>202</v>
      </c>
      <c r="BP284" t="s">
        <v>74</v>
      </c>
      <c r="BQ284" t="s">
        <v>74</v>
      </c>
      <c r="BR284" t="s">
        <v>104</v>
      </c>
      <c r="BS284" t="s">
        <v>6021</v>
      </c>
      <c r="BT284" t="str">
        <f>HYPERLINK("https%3A%2F%2Fwww.webofscience.com%2Fwos%2Fwoscc%2Ffull-record%2FWOS:000577555400001","View Full Record in Web of Science")</f>
        <v>View Full Record in Web of Science</v>
      </c>
    </row>
    <row r="285" spans="1:72" x14ac:dyDescent="0.15">
      <c r="A285" t="s">
        <v>72</v>
      </c>
      <c r="B285" t="s">
        <v>6022</v>
      </c>
      <c r="C285" t="s">
        <v>74</v>
      </c>
      <c r="D285" t="s">
        <v>74</v>
      </c>
      <c r="E285" t="s">
        <v>74</v>
      </c>
      <c r="F285" t="s">
        <v>6023</v>
      </c>
      <c r="G285" t="s">
        <v>74</v>
      </c>
      <c r="H285" t="s">
        <v>74</v>
      </c>
      <c r="I285" t="s">
        <v>6024</v>
      </c>
      <c r="J285" t="s">
        <v>6025</v>
      </c>
      <c r="K285" t="s">
        <v>74</v>
      </c>
      <c r="L285" t="s">
        <v>74</v>
      </c>
      <c r="M285" t="s">
        <v>78</v>
      </c>
      <c r="N285" t="s">
        <v>79</v>
      </c>
      <c r="O285" t="s">
        <v>74</v>
      </c>
      <c r="P285" t="s">
        <v>74</v>
      </c>
      <c r="Q285" t="s">
        <v>74</v>
      </c>
      <c r="R285" t="s">
        <v>74</v>
      </c>
      <c r="S285" t="s">
        <v>74</v>
      </c>
      <c r="T285" t="s">
        <v>6026</v>
      </c>
      <c r="U285" t="s">
        <v>6027</v>
      </c>
      <c r="V285" t="s">
        <v>6028</v>
      </c>
      <c r="W285" t="s">
        <v>6029</v>
      </c>
      <c r="X285" t="s">
        <v>6030</v>
      </c>
      <c r="Y285" t="s">
        <v>6031</v>
      </c>
      <c r="Z285" t="s">
        <v>6032</v>
      </c>
      <c r="AA285" t="s">
        <v>6033</v>
      </c>
      <c r="AB285" t="s">
        <v>6034</v>
      </c>
      <c r="AC285" t="s">
        <v>6035</v>
      </c>
      <c r="AD285" t="s">
        <v>6036</v>
      </c>
      <c r="AE285" t="s">
        <v>6037</v>
      </c>
      <c r="AF285" t="s">
        <v>74</v>
      </c>
      <c r="AG285">
        <v>134</v>
      </c>
      <c r="AH285">
        <v>22</v>
      </c>
      <c r="AI285">
        <v>23</v>
      </c>
      <c r="AJ285">
        <v>7</v>
      </c>
      <c r="AK285">
        <v>47</v>
      </c>
      <c r="AL285" t="s">
        <v>482</v>
      </c>
      <c r="AM285" t="s">
        <v>554</v>
      </c>
      <c r="AN285" t="s">
        <v>555</v>
      </c>
      <c r="AO285" t="s">
        <v>6038</v>
      </c>
      <c r="AP285" t="s">
        <v>6039</v>
      </c>
      <c r="AQ285" t="s">
        <v>74</v>
      </c>
      <c r="AR285" t="s">
        <v>6040</v>
      </c>
      <c r="AS285" t="s">
        <v>6041</v>
      </c>
      <c r="AT285" t="s">
        <v>894</v>
      </c>
      <c r="AU285">
        <v>2021</v>
      </c>
      <c r="AV285">
        <v>149</v>
      </c>
      <c r="AW285" t="s">
        <v>4223</v>
      </c>
      <c r="AX285" t="s">
        <v>74</v>
      </c>
      <c r="AY285" t="s">
        <v>74</v>
      </c>
      <c r="AZ285" t="s">
        <v>489</v>
      </c>
      <c r="BA285" t="s">
        <v>74</v>
      </c>
      <c r="BB285">
        <v>135</v>
      </c>
      <c r="BC285">
        <v>153</v>
      </c>
      <c r="BD285" t="s">
        <v>74</v>
      </c>
      <c r="BE285" t="s">
        <v>6042</v>
      </c>
      <c r="BF285" t="str">
        <f>HYPERLINK("http://dx.doi.org/10.1007/s11120-020-00785-0","http://dx.doi.org/10.1007/s11120-020-00785-0")</f>
        <v>http://dx.doi.org/10.1007/s11120-020-00785-0</v>
      </c>
      <c r="BG285" t="s">
        <v>74</v>
      </c>
      <c r="BH285" t="s">
        <v>3429</v>
      </c>
      <c r="BI285">
        <v>19</v>
      </c>
      <c r="BJ285" t="s">
        <v>176</v>
      </c>
      <c r="BK285" t="s">
        <v>100</v>
      </c>
      <c r="BL285" t="s">
        <v>176</v>
      </c>
      <c r="BM285" t="s">
        <v>6043</v>
      </c>
      <c r="BN285">
        <v>33033976</v>
      </c>
      <c r="BO285" t="s">
        <v>74</v>
      </c>
      <c r="BP285" t="s">
        <v>74</v>
      </c>
      <c r="BQ285" t="s">
        <v>74</v>
      </c>
      <c r="BR285" t="s">
        <v>104</v>
      </c>
      <c r="BS285" t="s">
        <v>6044</v>
      </c>
      <c r="BT285" t="str">
        <f>HYPERLINK("https%3A%2F%2Fwww.webofscience.com%2Fwos%2Fwoscc%2Ffull-record%2FWOS:000577993600001","View Full Record in Web of Science")</f>
        <v>View Full Record in Web of Science</v>
      </c>
    </row>
    <row r="286" spans="1:72" x14ac:dyDescent="0.15">
      <c r="A286" t="s">
        <v>72</v>
      </c>
      <c r="B286" t="s">
        <v>6045</v>
      </c>
      <c r="C286" t="s">
        <v>74</v>
      </c>
      <c r="D286" t="s">
        <v>74</v>
      </c>
      <c r="E286" t="s">
        <v>74</v>
      </c>
      <c r="F286" t="s">
        <v>6046</v>
      </c>
      <c r="G286" t="s">
        <v>74</v>
      </c>
      <c r="H286" t="s">
        <v>74</v>
      </c>
      <c r="I286" t="s">
        <v>6047</v>
      </c>
      <c r="J286" t="s">
        <v>309</v>
      </c>
      <c r="K286" t="s">
        <v>74</v>
      </c>
      <c r="L286" t="s">
        <v>74</v>
      </c>
      <c r="M286" t="s">
        <v>78</v>
      </c>
      <c r="N286" t="s">
        <v>79</v>
      </c>
      <c r="O286" t="s">
        <v>74</v>
      </c>
      <c r="P286" t="s">
        <v>74</v>
      </c>
      <c r="Q286" t="s">
        <v>74</v>
      </c>
      <c r="R286" t="s">
        <v>74</v>
      </c>
      <c r="S286" t="s">
        <v>74</v>
      </c>
      <c r="T286" t="s">
        <v>74</v>
      </c>
      <c r="U286" t="s">
        <v>6048</v>
      </c>
      <c r="V286" t="s">
        <v>6049</v>
      </c>
      <c r="W286" t="s">
        <v>6050</v>
      </c>
      <c r="X286" t="s">
        <v>6051</v>
      </c>
      <c r="Y286" t="s">
        <v>6052</v>
      </c>
      <c r="Z286" t="s">
        <v>6053</v>
      </c>
      <c r="AA286" t="s">
        <v>6054</v>
      </c>
      <c r="AB286" t="s">
        <v>6055</v>
      </c>
      <c r="AC286" t="s">
        <v>6056</v>
      </c>
      <c r="AD286" t="s">
        <v>6056</v>
      </c>
      <c r="AE286" t="s">
        <v>6057</v>
      </c>
      <c r="AF286" t="s">
        <v>74</v>
      </c>
      <c r="AG286">
        <v>42</v>
      </c>
      <c r="AH286">
        <v>4</v>
      </c>
      <c r="AI286">
        <v>5</v>
      </c>
      <c r="AJ286">
        <v>3</v>
      </c>
      <c r="AK286">
        <v>12</v>
      </c>
      <c r="AL286" t="s">
        <v>321</v>
      </c>
      <c r="AM286" t="s">
        <v>322</v>
      </c>
      <c r="AN286" t="s">
        <v>323</v>
      </c>
      <c r="AO286" t="s">
        <v>324</v>
      </c>
      <c r="AP286" t="s">
        <v>74</v>
      </c>
      <c r="AQ286" t="s">
        <v>74</v>
      </c>
      <c r="AR286" t="s">
        <v>325</v>
      </c>
      <c r="AS286" t="s">
        <v>326</v>
      </c>
      <c r="AT286" t="s">
        <v>5912</v>
      </c>
      <c r="AU286">
        <v>2020</v>
      </c>
      <c r="AV286">
        <v>10</v>
      </c>
      <c r="AW286">
        <v>1</v>
      </c>
      <c r="AX286" t="s">
        <v>74</v>
      </c>
      <c r="AY286" t="s">
        <v>74</v>
      </c>
      <c r="AZ286" t="s">
        <v>74</v>
      </c>
      <c r="BA286" t="s">
        <v>74</v>
      </c>
      <c r="BB286" t="s">
        <v>74</v>
      </c>
      <c r="BC286" t="s">
        <v>74</v>
      </c>
      <c r="BD286">
        <v>16796</v>
      </c>
      <c r="BE286" t="s">
        <v>6058</v>
      </c>
      <c r="BF286" t="str">
        <f>HYPERLINK("http://dx.doi.org/10.1038/s41598-020-73823-5","http://dx.doi.org/10.1038/s41598-020-73823-5")</f>
        <v>http://dx.doi.org/10.1038/s41598-020-73823-5</v>
      </c>
      <c r="BG286" t="s">
        <v>74</v>
      </c>
      <c r="BH286" t="s">
        <v>74</v>
      </c>
      <c r="BI286">
        <v>11</v>
      </c>
      <c r="BJ286" t="s">
        <v>329</v>
      </c>
      <c r="BK286" t="s">
        <v>100</v>
      </c>
      <c r="BL286" t="s">
        <v>330</v>
      </c>
      <c r="BM286" t="s">
        <v>6059</v>
      </c>
      <c r="BN286">
        <v>33033314</v>
      </c>
      <c r="BO286" t="s">
        <v>332</v>
      </c>
      <c r="BP286" t="s">
        <v>74</v>
      </c>
      <c r="BQ286" t="s">
        <v>74</v>
      </c>
      <c r="BR286" t="s">
        <v>104</v>
      </c>
      <c r="BS286" t="s">
        <v>6060</v>
      </c>
      <c r="BT286" t="str">
        <f>HYPERLINK("https%3A%2F%2Fwww.webofscience.com%2Fwos%2Fwoscc%2Ffull-record%2FWOS:000577475100020","View Full Record in Web of Science")</f>
        <v>View Full Record in Web of Science</v>
      </c>
    </row>
    <row r="287" spans="1:72" x14ac:dyDescent="0.15">
      <c r="A287" t="s">
        <v>72</v>
      </c>
      <c r="B287" t="s">
        <v>6061</v>
      </c>
      <c r="C287" t="s">
        <v>74</v>
      </c>
      <c r="D287" t="s">
        <v>74</v>
      </c>
      <c r="E287" t="s">
        <v>74</v>
      </c>
      <c r="F287" t="s">
        <v>6062</v>
      </c>
      <c r="G287" t="s">
        <v>74</v>
      </c>
      <c r="H287" t="s">
        <v>74</v>
      </c>
      <c r="I287" t="s">
        <v>6063</v>
      </c>
      <c r="J287" t="s">
        <v>6064</v>
      </c>
      <c r="K287" t="s">
        <v>74</v>
      </c>
      <c r="L287" t="s">
        <v>74</v>
      </c>
      <c r="M287" t="s">
        <v>78</v>
      </c>
      <c r="N287" t="s">
        <v>79</v>
      </c>
      <c r="O287" t="s">
        <v>74</v>
      </c>
      <c r="P287" t="s">
        <v>74</v>
      </c>
      <c r="Q287" t="s">
        <v>74</v>
      </c>
      <c r="R287" t="s">
        <v>74</v>
      </c>
      <c r="S287" t="s">
        <v>74</v>
      </c>
      <c r="T287" t="s">
        <v>6065</v>
      </c>
      <c r="U287" t="s">
        <v>6066</v>
      </c>
      <c r="V287" t="s">
        <v>6067</v>
      </c>
      <c r="W287" t="s">
        <v>6068</v>
      </c>
      <c r="X287" t="s">
        <v>6069</v>
      </c>
      <c r="Y287" t="s">
        <v>6070</v>
      </c>
      <c r="Z287" t="s">
        <v>6071</v>
      </c>
      <c r="AA287" t="s">
        <v>74</v>
      </c>
      <c r="AB287" t="s">
        <v>6072</v>
      </c>
      <c r="AC287" t="s">
        <v>6073</v>
      </c>
      <c r="AD287" t="s">
        <v>6074</v>
      </c>
      <c r="AE287" t="s">
        <v>6075</v>
      </c>
      <c r="AF287" t="s">
        <v>74</v>
      </c>
      <c r="AG287">
        <v>73</v>
      </c>
      <c r="AH287">
        <v>17</v>
      </c>
      <c r="AI287">
        <v>17</v>
      </c>
      <c r="AJ287">
        <v>1</v>
      </c>
      <c r="AK287">
        <v>8</v>
      </c>
      <c r="AL287" t="s">
        <v>122</v>
      </c>
      <c r="AM287" t="s">
        <v>123</v>
      </c>
      <c r="AN287" t="s">
        <v>124</v>
      </c>
      <c r="AO287" t="s">
        <v>6076</v>
      </c>
      <c r="AP287" t="s">
        <v>74</v>
      </c>
      <c r="AQ287" t="s">
        <v>74</v>
      </c>
      <c r="AR287" t="s">
        <v>6077</v>
      </c>
      <c r="AS287" t="s">
        <v>6078</v>
      </c>
      <c r="AT287" t="s">
        <v>6079</v>
      </c>
      <c r="AU287">
        <v>2020</v>
      </c>
      <c r="AV287">
        <v>7</v>
      </c>
      <c r="AW287">
        <v>10</v>
      </c>
      <c r="AX287" t="s">
        <v>74</v>
      </c>
      <c r="AY287" t="s">
        <v>74</v>
      </c>
      <c r="AZ287" t="s">
        <v>74</v>
      </c>
      <c r="BA287" t="s">
        <v>74</v>
      </c>
      <c r="BB287" t="s">
        <v>74</v>
      </c>
      <c r="BC287" t="s">
        <v>74</v>
      </c>
      <c r="BD287">
        <v>192112</v>
      </c>
      <c r="BE287" t="s">
        <v>6080</v>
      </c>
      <c r="BF287" t="str">
        <f>HYPERLINK("http://dx.doi.org/10.1098/rsos.192112","http://dx.doi.org/10.1098/rsos.192112")</f>
        <v>http://dx.doi.org/10.1098/rsos.192112</v>
      </c>
      <c r="BG287" t="s">
        <v>74</v>
      </c>
      <c r="BH287" t="s">
        <v>74</v>
      </c>
      <c r="BI287">
        <v>14</v>
      </c>
      <c r="BJ287" t="s">
        <v>329</v>
      </c>
      <c r="BK287" t="s">
        <v>100</v>
      </c>
      <c r="BL287" t="s">
        <v>330</v>
      </c>
      <c r="BM287" t="s">
        <v>6081</v>
      </c>
      <c r="BN287">
        <v>33204440</v>
      </c>
      <c r="BO287" t="s">
        <v>2113</v>
      </c>
      <c r="BP287" t="s">
        <v>74</v>
      </c>
      <c r="BQ287" t="s">
        <v>74</v>
      </c>
      <c r="BR287" t="s">
        <v>104</v>
      </c>
      <c r="BS287" t="s">
        <v>6082</v>
      </c>
      <c r="BT287" t="str">
        <f>HYPERLINK("https%3A%2F%2Fwww.webofscience.com%2Fwos%2Fwoscc%2Ffull-record%2FWOS:000582233500001","View Full Record in Web of Science")</f>
        <v>View Full Record in Web of Science</v>
      </c>
    </row>
    <row r="288" spans="1:72" x14ac:dyDescent="0.15">
      <c r="A288" t="s">
        <v>72</v>
      </c>
      <c r="B288" t="s">
        <v>6083</v>
      </c>
      <c r="C288" t="s">
        <v>74</v>
      </c>
      <c r="D288" t="s">
        <v>74</v>
      </c>
      <c r="E288" t="s">
        <v>74</v>
      </c>
      <c r="F288" t="s">
        <v>6084</v>
      </c>
      <c r="G288" t="s">
        <v>74</v>
      </c>
      <c r="H288" t="s">
        <v>74</v>
      </c>
      <c r="I288" t="s">
        <v>6085</v>
      </c>
      <c r="J288" t="s">
        <v>6086</v>
      </c>
      <c r="K288" t="s">
        <v>74</v>
      </c>
      <c r="L288" t="s">
        <v>74</v>
      </c>
      <c r="M288" t="s">
        <v>78</v>
      </c>
      <c r="N288" t="s">
        <v>79</v>
      </c>
      <c r="O288" t="s">
        <v>74</v>
      </c>
      <c r="P288" t="s">
        <v>74</v>
      </c>
      <c r="Q288" t="s">
        <v>74</v>
      </c>
      <c r="R288" t="s">
        <v>74</v>
      </c>
      <c r="S288" t="s">
        <v>74</v>
      </c>
      <c r="T288" t="s">
        <v>74</v>
      </c>
      <c r="U288" t="s">
        <v>6087</v>
      </c>
      <c r="V288" t="s">
        <v>6088</v>
      </c>
      <c r="W288" t="s">
        <v>6089</v>
      </c>
      <c r="X288" t="s">
        <v>6090</v>
      </c>
      <c r="Y288" t="s">
        <v>6091</v>
      </c>
      <c r="Z288" t="s">
        <v>6092</v>
      </c>
      <c r="AA288" t="s">
        <v>6093</v>
      </c>
      <c r="AB288" t="s">
        <v>6094</v>
      </c>
      <c r="AC288" t="s">
        <v>6095</v>
      </c>
      <c r="AD288" t="s">
        <v>6096</v>
      </c>
      <c r="AE288" t="s">
        <v>6097</v>
      </c>
      <c r="AF288" t="s">
        <v>74</v>
      </c>
      <c r="AG288">
        <v>50</v>
      </c>
      <c r="AH288">
        <v>0</v>
      </c>
      <c r="AI288">
        <v>0</v>
      </c>
      <c r="AJ288">
        <v>1</v>
      </c>
      <c r="AK288">
        <v>3</v>
      </c>
      <c r="AL288" t="s">
        <v>6098</v>
      </c>
      <c r="AM288" t="s">
        <v>6099</v>
      </c>
      <c r="AN288" t="s">
        <v>6100</v>
      </c>
      <c r="AO288" t="s">
        <v>74</v>
      </c>
      <c r="AP288" t="s">
        <v>6101</v>
      </c>
      <c r="AQ288" t="s">
        <v>74</v>
      </c>
      <c r="AR288" t="s">
        <v>6102</v>
      </c>
      <c r="AS288" t="s">
        <v>6103</v>
      </c>
      <c r="AT288" t="s">
        <v>6079</v>
      </c>
      <c r="AU288">
        <v>2020</v>
      </c>
      <c r="AV288">
        <v>2</v>
      </c>
      <c r="AW288">
        <v>4</v>
      </c>
      <c r="AX288" t="s">
        <v>74</v>
      </c>
      <c r="AY288" t="s">
        <v>74</v>
      </c>
      <c r="AZ288" t="s">
        <v>74</v>
      </c>
      <c r="BA288" t="s">
        <v>74</v>
      </c>
      <c r="BB288" t="s">
        <v>74</v>
      </c>
      <c r="BC288" t="s">
        <v>74</v>
      </c>
      <c r="BD288">
        <v>43040</v>
      </c>
      <c r="BE288" t="s">
        <v>6104</v>
      </c>
      <c r="BF288" t="str">
        <f>HYPERLINK("http://dx.doi.org/10.1103/PhysRevResearch.2.043040","http://dx.doi.org/10.1103/PhysRevResearch.2.043040")</f>
        <v>http://dx.doi.org/10.1103/PhysRevResearch.2.043040</v>
      </c>
      <c r="BG288" t="s">
        <v>74</v>
      </c>
      <c r="BH288" t="s">
        <v>74</v>
      </c>
      <c r="BI288">
        <v>11</v>
      </c>
      <c r="BJ288" t="s">
        <v>6105</v>
      </c>
      <c r="BK288" t="s">
        <v>1214</v>
      </c>
      <c r="BL288" t="s">
        <v>6106</v>
      </c>
      <c r="BM288" t="s">
        <v>6107</v>
      </c>
      <c r="BN288" t="s">
        <v>74</v>
      </c>
      <c r="BO288" t="s">
        <v>202</v>
      </c>
      <c r="BP288" t="s">
        <v>74</v>
      </c>
      <c r="BQ288" t="s">
        <v>74</v>
      </c>
      <c r="BR288" t="s">
        <v>104</v>
      </c>
      <c r="BS288" t="s">
        <v>6108</v>
      </c>
      <c r="BT288" t="str">
        <f>HYPERLINK("https%3A%2F%2Fwww.webofscience.com%2Fwos%2Fwoscc%2Ffull-record%2FWOS:000605390500009","View Full Record in Web of Science")</f>
        <v>View Full Record in Web of Science</v>
      </c>
    </row>
    <row r="289" spans="1:72" x14ac:dyDescent="0.15">
      <c r="A289" t="s">
        <v>72</v>
      </c>
      <c r="B289" t="s">
        <v>6109</v>
      </c>
      <c r="C289" t="s">
        <v>74</v>
      </c>
      <c r="D289" t="s">
        <v>74</v>
      </c>
      <c r="E289" t="s">
        <v>74</v>
      </c>
      <c r="F289" t="s">
        <v>6110</v>
      </c>
      <c r="G289" t="s">
        <v>74</v>
      </c>
      <c r="H289" t="s">
        <v>74</v>
      </c>
      <c r="I289" t="s">
        <v>6111</v>
      </c>
      <c r="J289" t="s">
        <v>6112</v>
      </c>
      <c r="K289" t="s">
        <v>74</v>
      </c>
      <c r="L289" t="s">
        <v>74</v>
      </c>
      <c r="M289" t="s">
        <v>78</v>
      </c>
      <c r="N289" t="s">
        <v>79</v>
      </c>
      <c r="O289" t="s">
        <v>74</v>
      </c>
      <c r="P289" t="s">
        <v>74</v>
      </c>
      <c r="Q289" t="s">
        <v>74</v>
      </c>
      <c r="R289" t="s">
        <v>74</v>
      </c>
      <c r="S289" t="s">
        <v>74</v>
      </c>
      <c r="T289" t="s">
        <v>74</v>
      </c>
      <c r="U289" t="s">
        <v>6113</v>
      </c>
      <c r="V289" t="s">
        <v>6114</v>
      </c>
      <c r="W289" t="s">
        <v>6115</v>
      </c>
      <c r="X289" t="s">
        <v>6116</v>
      </c>
      <c r="Y289" t="s">
        <v>6117</v>
      </c>
      <c r="Z289" t="s">
        <v>6118</v>
      </c>
      <c r="AA289" t="s">
        <v>74</v>
      </c>
      <c r="AB289" t="s">
        <v>74</v>
      </c>
      <c r="AC289" t="s">
        <v>74</v>
      </c>
      <c r="AD289" t="s">
        <v>74</v>
      </c>
      <c r="AE289" t="s">
        <v>74</v>
      </c>
      <c r="AF289" t="s">
        <v>74</v>
      </c>
      <c r="AG289">
        <v>42</v>
      </c>
      <c r="AH289">
        <v>7</v>
      </c>
      <c r="AI289">
        <v>7</v>
      </c>
      <c r="AJ289">
        <v>2</v>
      </c>
      <c r="AK289">
        <v>11</v>
      </c>
      <c r="AL289" t="s">
        <v>4315</v>
      </c>
      <c r="AM289" t="s">
        <v>123</v>
      </c>
      <c r="AN289" t="s">
        <v>4316</v>
      </c>
      <c r="AO289" t="s">
        <v>6119</v>
      </c>
      <c r="AP289" t="s">
        <v>6120</v>
      </c>
      <c r="AQ289" t="s">
        <v>74</v>
      </c>
      <c r="AR289" t="s">
        <v>6121</v>
      </c>
      <c r="AS289" t="s">
        <v>6122</v>
      </c>
      <c r="AT289" t="s">
        <v>6079</v>
      </c>
      <c r="AU289">
        <v>2020</v>
      </c>
      <c r="AV289">
        <v>2020</v>
      </c>
      <c r="AW289" t="s">
        <v>74</v>
      </c>
      <c r="AX289" t="s">
        <v>74</v>
      </c>
      <c r="AY289" t="s">
        <v>74</v>
      </c>
      <c r="AZ289" t="s">
        <v>74</v>
      </c>
      <c r="BA289" t="s">
        <v>74</v>
      </c>
      <c r="BB289" t="s">
        <v>74</v>
      </c>
      <c r="BC289" t="s">
        <v>74</v>
      </c>
      <c r="BD289">
        <v>9534137</v>
      </c>
      <c r="BE289" t="s">
        <v>6123</v>
      </c>
      <c r="BF289" t="str">
        <f>HYPERLINK("http://dx.doi.org/10.1155/2020/9534137","http://dx.doi.org/10.1155/2020/9534137")</f>
        <v>http://dx.doi.org/10.1155/2020/9534137</v>
      </c>
      <c r="BG289" t="s">
        <v>74</v>
      </c>
      <c r="BH289" t="s">
        <v>74</v>
      </c>
      <c r="BI289">
        <v>13</v>
      </c>
      <c r="BJ289" t="s">
        <v>6124</v>
      </c>
      <c r="BK289" t="s">
        <v>100</v>
      </c>
      <c r="BL289" t="s">
        <v>6124</v>
      </c>
      <c r="BM289" t="s">
        <v>6125</v>
      </c>
      <c r="BN289">
        <v>33082834</v>
      </c>
      <c r="BO289" t="s">
        <v>332</v>
      </c>
      <c r="BP289" t="s">
        <v>74</v>
      </c>
      <c r="BQ289" t="s">
        <v>74</v>
      </c>
      <c r="BR289" t="s">
        <v>104</v>
      </c>
      <c r="BS289" t="s">
        <v>6126</v>
      </c>
      <c r="BT289" t="str">
        <f>HYPERLINK("https%3A%2F%2Fwww.webofscience.com%2Fwos%2Fwoscc%2Ffull-record%2FWOS:000583241300002","View Full Record in Web of Science")</f>
        <v>View Full Record in Web of Science</v>
      </c>
    </row>
    <row r="290" spans="1:72" x14ac:dyDescent="0.15">
      <c r="A290" t="s">
        <v>72</v>
      </c>
      <c r="B290" t="s">
        <v>6127</v>
      </c>
      <c r="C290" t="s">
        <v>74</v>
      </c>
      <c r="D290" t="s">
        <v>74</v>
      </c>
      <c r="E290" t="s">
        <v>74</v>
      </c>
      <c r="F290" t="s">
        <v>6128</v>
      </c>
      <c r="G290" t="s">
        <v>74</v>
      </c>
      <c r="H290" t="s">
        <v>74</v>
      </c>
      <c r="I290" t="s">
        <v>6129</v>
      </c>
      <c r="J290" t="s">
        <v>6130</v>
      </c>
      <c r="K290" t="s">
        <v>74</v>
      </c>
      <c r="L290" t="s">
        <v>74</v>
      </c>
      <c r="M290" t="s">
        <v>78</v>
      </c>
      <c r="N290" t="s">
        <v>79</v>
      </c>
      <c r="O290" t="s">
        <v>74</v>
      </c>
      <c r="P290" t="s">
        <v>74</v>
      </c>
      <c r="Q290" t="s">
        <v>74</v>
      </c>
      <c r="R290" t="s">
        <v>74</v>
      </c>
      <c r="S290" t="s">
        <v>74</v>
      </c>
      <c r="T290" t="s">
        <v>6131</v>
      </c>
      <c r="U290" t="s">
        <v>6132</v>
      </c>
      <c r="V290" t="s">
        <v>6133</v>
      </c>
      <c r="W290" t="s">
        <v>6134</v>
      </c>
      <c r="X290" t="s">
        <v>6135</v>
      </c>
      <c r="Y290" t="s">
        <v>6136</v>
      </c>
      <c r="Z290" t="s">
        <v>6137</v>
      </c>
      <c r="AA290" t="s">
        <v>6138</v>
      </c>
      <c r="AB290" t="s">
        <v>6139</v>
      </c>
      <c r="AC290" t="s">
        <v>6140</v>
      </c>
      <c r="AD290" t="s">
        <v>6141</v>
      </c>
      <c r="AE290" t="s">
        <v>6142</v>
      </c>
      <c r="AF290" t="s">
        <v>74</v>
      </c>
      <c r="AG290">
        <v>61</v>
      </c>
      <c r="AH290">
        <v>21</v>
      </c>
      <c r="AI290">
        <v>22</v>
      </c>
      <c r="AJ290">
        <v>12</v>
      </c>
      <c r="AK290">
        <v>85</v>
      </c>
      <c r="AL290" t="s">
        <v>937</v>
      </c>
      <c r="AM290" t="s">
        <v>609</v>
      </c>
      <c r="AN290" t="s">
        <v>938</v>
      </c>
      <c r="AO290" t="s">
        <v>6143</v>
      </c>
      <c r="AP290" t="s">
        <v>6144</v>
      </c>
      <c r="AQ290" t="s">
        <v>74</v>
      </c>
      <c r="AR290" t="s">
        <v>6145</v>
      </c>
      <c r="AS290" t="s">
        <v>6146</v>
      </c>
      <c r="AT290" t="s">
        <v>6079</v>
      </c>
      <c r="AU290">
        <v>2020</v>
      </c>
      <c r="AV290">
        <v>68</v>
      </c>
      <c r="AW290">
        <v>40</v>
      </c>
      <c r="AX290" t="s">
        <v>74</v>
      </c>
      <c r="AY290" t="s">
        <v>74</v>
      </c>
      <c r="AZ290" t="s">
        <v>74</v>
      </c>
      <c r="BA290" t="s">
        <v>74</v>
      </c>
      <c r="BB290">
        <v>11290</v>
      </c>
      <c r="BC290">
        <v>11300</v>
      </c>
      <c r="BD290" t="s">
        <v>74</v>
      </c>
      <c r="BE290" t="s">
        <v>6147</v>
      </c>
      <c r="BF290" t="str">
        <f>HYPERLINK("http://dx.doi.org/10.1021/acs.jafc.0c03223","http://dx.doi.org/10.1021/acs.jafc.0c03223")</f>
        <v>http://dx.doi.org/10.1021/acs.jafc.0c03223</v>
      </c>
      <c r="BG290" t="s">
        <v>74</v>
      </c>
      <c r="BH290" t="s">
        <v>74</v>
      </c>
      <c r="BI290">
        <v>11</v>
      </c>
      <c r="BJ290" t="s">
        <v>6148</v>
      </c>
      <c r="BK290" t="s">
        <v>5355</v>
      </c>
      <c r="BL290" t="s">
        <v>6149</v>
      </c>
      <c r="BM290" t="s">
        <v>6150</v>
      </c>
      <c r="BN290">
        <v>32914618</v>
      </c>
      <c r="BO290" t="s">
        <v>74</v>
      </c>
      <c r="BP290" t="s">
        <v>74</v>
      </c>
      <c r="BQ290" t="s">
        <v>74</v>
      </c>
      <c r="BR290" t="s">
        <v>104</v>
      </c>
      <c r="BS290" t="s">
        <v>6151</v>
      </c>
      <c r="BT290" t="str">
        <f>HYPERLINK("https%3A%2F%2Fwww.webofscience.com%2Fwos%2Fwoscc%2Ffull-record%2FWOS:000580512000025","View Full Record in Web of Science")</f>
        <v>View Full Record in Web of Science</v>
      </c>
    </row>
    <row r="291" spans="1:72" x14ac:dyDescent="0.15">
      <c r="A291" t="s">
        <v>72</v>
      </c>
      <c r="B291" t="s">
        <v>6152</v>
      </c>
      <c r="C291" t="s">
        <v>74</v>
      </c>
      <c r="D291" t="s">
        <v>74</v>
      </c>
      <c r="E291" t="s">
        <v>74</v>
      </c>
      <c r="F291" t="s">
        <v>6153</v>
      </c>
      <c r="G291" t="s">
        <v>74</v>
      </c>
      <c r="H291" t="s">
        <v>74</v>
      </c>
      <c r="I291" t="s">
        <v>6154</v>
      </c>
      <c r="J291" t="s">
        <v>901</v>
      </c>
      <c r="K291" t="s">
        <v>74</v>
      </c>
      <c r="L291" t="s">
        <v>74</v>
      </c>
      <c r="M291" t="s">
        <v>78</v>
      </c>
      <c r="N291" t="s">
        <v>79</v>
      </c>
      <c r="O291" t="s">
        <v>74</v>
      </c>
      <c r="P291" t="s">
        <v>74</v>
      </c>
      <c r="Q291" t="s">
        <v>74</v>
      </c>
      <c r="R291" t="s">
        <v>74</v>
      </c>
      <c r="S291" t="s">
        <v>74</v>
      </c>
      <c r="T291" t="s">
        <v>6155</v>
      </c>
      <c r="U291" t="s">
        <v>6156</v>
      </c>
      <c r="V291" t="s">
        <v>6157</v>
      </c>
      <c r="W291" t="s">
        <v>6158</v>
      </c>
      <c r="X291" t="s">
        <v>6159</v>
      </c>
      <c r="Y291" t="s">
        <v>6160</v>
      </c>
      <c r="Z291" t="s">
        <v>6161</v>
      </c>
      <c r="AA291" t="s">
        <v>6162</v>
      </c>
      <c r="AB291" t="s">
        <v>6163</v>
      </c>
      <c r="AC291" t="s">
        <v>6164</v>
      </c>
      <c r="AD291" t="s">
        <v>6165</v>
      </c>
      <c r="AE291" t="s">
        <v>6166</v>
      </c>
      <c r="AF291" t="s">
        <v>74</v>
      </c>
      <c r="AG291">
        <v>129</v>
      </c>
      <c r="AH291">
        <v>7</v>
      </c>
      <c r="AI291">
        <v>7</v>
      </c>
      <c r="AJ291">
        <v>0</v>
      </c>
      <c r="AK291">
        <v>17</v>
      </c>
      <c r="AL291" t="s">
        <v>866</v>
      </c>
      <c r="AM291" t="s">
        <v>867</v>
      </c>
      <c r="AN291" t="s">
        <v>868</v>
      </c>
      <c r="AO291" t="s">
        <v>74</v>
      </c>
      <c r="AP291" t="s">
        <v>914</v>
      </c>
      <c r="AQ291" t="s">
        <v>74</v>
      </c>
      <c r="AR291" t="s">
        <v>915</v>
      </c>
      <c r="AS291" t="s">
        <v>916</v>
      </c>
      <c r="AT291" t="s">
        <v>6079</v>
      </c>
      <c r="AU291">
        <v>2020</v>
      </c>
      <c r="AV291">
        <v>7</v>
      </c>
      <c r="AW291" t="s">
        <v>74</v>
      </c>
      <c r="AX291" t="s">
        <v>74</v>
      </c>
      <c r="AY291" t="s">
        <v>74</v>
      </c>
      <c r="AZ291" t="s">
        <v>74</v>
      </c>
      <c r="BA291" t="s">
        <v>74</v>
      </c>
      <c r="BB291" t="s">
        <v>74</v>
      </c>
      <c r="BC291" t="s">
        <v>74</v>
      </c>
      <c r="BD291">
        <v>554663</v>
      </c>
      <c r="BE291" t="s">
        <v>6167</v>
      </c>
      <c r="BF291" t="str">
        <f>HYPERLINK("http://dx.doi.org/10.3389/fmars.2020.554663","http://dx.doi.org/10.3389/fmars.2020.554663")</f>
        <v>http://dx.doi.org/10.3389/fmars.2020.554663</v>
      </c>
      <c r="BG291" t="s">
        <v>74</v>
      </c>
      <c r="BH291" t="s">
        <v>74</v>
      </c>
      <c r="BI291">
        <v>18</v>
      </c>
      <c r="BJ291" t="s">
        <v>918</v>
      </c>
      <c r="BK291" t="s">
        <v>100</v>
      </c>
      <c r="BL291" t="s">
        <v>919</v>
      </c>
      <c r="BM291" t="s">
        <v>6168</v>
      </c>
      <c r="BN291" t="s">
        <v>74</v>
      </c>
      <c r="BO291" t="s">
        <v>5105</v>
      </c>
      <c r="BP291" t="s">
        <v>74</v>
      </c>
      <c r="BQ291" t="s">
        <v>74</v>
      </c>
      <c r="BR291" t="s">
        <v>104</v>
      </c>
      <c r="BS291" t="s">
        <v>6169</v>
      </c>
      <c r="BT291" t="str">
        <f>HYPERLINK("https%3A%2F%2Fwww.webofscience.com%2Fwos%2Fwoscc%2Ffull-record%2FWOS:000577101700001","View Full Record in Web of Science")</f>
        <v>View Full Record in Web of Science</v>
      </c>
    </row>
    <row r="292" spans="1:72" x14ac:dyDescent="0.15">
      <c r="A292" t="s">
        <v>72</v>
      </c>
      <c r="B292" t="s">
        <v>6170</v>
      </c>
      <c r="C292" t="s">
        <v>74</v>
      </c>
      <c r="D292" t="s">
        <v>74</v>
      </c>
      <c r="E292" t="s">
        <v>74</v>
      </c>
      <c r="F292" t="s">
        <v>6171</v>
      </c>
      <c r="G292" t="s">
        <v>74</v>
      </c>
      <c r="H292" t="s">
        <v>74</v>
      </c>
      <c r="I292" t="s">
        <v>6172</v>
      </c>
      <c r="J292" t="s">
        <v>1010</v>
      </c>
      <c r="K292" t="s">
        <v>74</v>
      </c>
      <c r="L292" t="s">
        <v>74</v>
      </c>
      <c r="M292" t="s">
        <v>78</v>
      </c>
      <c r="N292" t="s">
        <v>79</v>
      </c>
      <c r="O292" t="s">
        <v>74</v>
      </c>
      <c r="P292" t="s">
        <v>74</v>
      </c>
      <c r="Q292" t="s">
        <v>74</v>
      </c>
      <c r="R292" t="s">
        <v>74</v>
      </c>
      <c r="S292" t="s">
        <v>74</v>
      </c>
      <c r="T292" t="s">
        <v>74</v>
      </c>
      <c r="U292" t="s">
        <v>6173</v>
      </c>
      <c r="V292" t="s">
        <v>6174</v>
      </c>
      <c r="W292" t="s">
        <v>6175</v>
      </c>
      <c r="X292" t="s">
        <v>6176</v>
      </c>
      <c r="Y292" t="s">
        <v>6177</v>
      </c>
      <c r="Z292" t="s">
        <v>6178</v>
      </c>
      <c r="AA292" t="s">
        <v>74</v>
      </c>
      <c r="AB292" t="s">
        <v>6179</v>
      </c>
      <c r="AC292" t="s">
        <v>6180</v>
      </c>
      <c r="AD292" t="s">
        <v>6181</v>
      </c>
      <c r="AE292" t="s">
        <v>6182</v>
      </c>
      <c r="AF292" t="s">
        <v>74</v>
      </c>
      <c r="AG292">
        <v>34</v>
      </c>
      <c r="AH292">
        <v>4</v>
      </c>
      <c r="AI292">
        <v>4</v>
      </c>
      <c r="AJ292">
        <v>3</v>
      </c>
      <c r="AK292">
        <v>14</v>
      </c>
      <c r="AL292" t="s">
        <v>91</v>
      </c>
      <c r="AM292" t="s">
        <v>92</v>
      </c>
      <c r="AN292" t="s">
        <v>93</v>
      </c>
      <c r="AO292" t="s">
        <v>1022</v>
      </c>
      <c r="AP292" t="s">
        <v>1023</v>
      </c>
      <c r="AQ292" t="s">
        <v>74</v>
      </c>
      <c r="AR292" t="s">
        <v>1024</v>
      </c>
      <c r="AS292" t="s">
        <v>1025</v>
      </c>
      <c r="AT292" t="s">
        <v>6183</v>
      </c>
      <c r="AU292">
        <v>2020</v>
      </c>
      <c r="AV292">
        <v>20</v>
      </c>
      <c r="AW292">
        <v>19</v>
      </c>
      <c r="AX292" t="s">
        <v>74</v>
      </c>
      <c r="AY292" t="s">
        <v>74</v>
      </c>
      <c r="AZ292" t="s">
        <v>74</v>
      </c>
      <c r="BA292" t="s">
        <v>74</v>
      </c>
      <c r="BB292">
        <v>11435</v>
      </c>
      <c r="BC292">
        <v>11449</v>
      </c>
      <c r="BD292" t="s">
        <v>74</v>
      </c>
      <c r="BE292" t="s">
        <v>6184</v>
      </c>
      <c r="BF292" t="str">
        <f>HYPERLINK("http://dx.doi.org/10.5194/acp-20-11435-2020","http://dx.doi.org/10.5194/acp-20-11435-2020")</f>
        <v>http://dx.doi.org/10.5194/acp-20-11435-2020</v>
      </c>
      <c r="BG292" t="s">
        <v>74</v>
      </c>
      <c r="BH292" t="s">
        <v>74</v>
      </c>
      <c r="BI292">
        <v>15</v>
      </c>
      <c r="BJ292" t="s">
        <v>1027</v>
      </c>
      <c r="BK292" t="s">
        <v>100</v>
      </c>
      <c r="BL292" t="s">
        <v>1028</v>
      </c>
      <c r="BM292" t="s">
        <v>6185</v>
      </c>
      <c r="BN292" t="s">
        <v>74</v>
      </c>
      <c r="BO292" t="s">
        <v>1030</v>
      </c>
      <c r="BP292" t="s">
        <v>74</v>
      </c>
      <c r="BQ292" t="s">
        <v>74</v>
      </c>
      <c r="BR292" t="s">
        <v>104</v>
      </c>
      <c r="BS292" t="s">
        <v>6186</v>
      </c>
      <c r="BT292" t="str">
        <f>HYPERLINK("https%3A%2F%2Fwww.webofscience.com%2Fwos%2Fwoscc%2Ffull-record%2FWOS:000578984200001","View Full Record in Web of Science")</f>
        <v>View Full Record in Web of Science</v>
      </c>
    </row>
    <row r="293" spans="1:72" x14ac:dyDescent="0.15">
      <c r="A293" t="s">
        <v>72</v>
      </c>
      <c r="B293" t="s">
        <v>6187</v>
      </c>
      <c r="C293" t="s">
        <v>74</v>
      </c>
      <c r="D293" t="s">
        <v>74</v>
      </c>
      <c r="E293" t="s">
        <v>74</v>
      </c>
      <c r="F293" t="s">
        <v>6188</v>
      </c>
      <c r="G293" t="s">
        <v>74</v>
      </c>
      <c r="H293" t="s">
        <v>74</v>
      </c>
      <c r="I293" t="s">
        <v>6189</v>
      </c>
      <c r="J293" t="s">
        <v>6190</v>
      </c>
      <c r="K293" t="s">
        <v>74</v>
      </c>
      <c r="L293" t="s">
        <v>74</v>
      </c>
      <c r="M293" t="s">
        <v>78</v>
      </c>
      <c r="N293" t="s">
        <v>79</v>
      </c>
      <c r="O293" t="s">
        <v>74</v>
      </c>
      <c r="P293" t="s">
        <v>74</v>
      </c>
      <c r="Q293" t="s">
        <v>74</v>
      </c>
      <c r="R293" t="s">
        <v>74</v>
      </c>
      <c r="S293" t="s">
        <v>74</v>
      </c>
      <c r="T293" t="s">
        <v>6191</v>
      </c>
      <c r="U293" t="s">
        <v>6192</v>
      </c>
      <c r="V293" t="s">
        <v>6193</v>
      </c>
      <c r="W293" t="s">
        <v>6194</v>
      </c>
      <c r="X293" t="s">
        <v>6195</v>
      </c>
      <c r="Y293" t="s">
        <v>6196</v>
      </c>
      <c r="Z293" t="s">
        <v>6197</v>
      </c>
      <c r="AA293" t="s">
        <v>6198</v>
      </c>
      <c r="AB293" t="s">
        <v>6199</v>
      </c>
      <c r="AC293" t="s">
        <v>6200</v>
      </c>
      <c r="AD293" t="s">
        <v>6201</v>
      </c>
      <c r="AE293" t="s">
        <v>6202</v>
      </c>
      <c r="AF293" t="s">
        <v>74</v>
      </c>
      <c r="AG293">
        <v>69</v>
      </c>
      <c r="AH293">
        <v>12</v>
      </c>
      <c r="AI293">
        <v>15</v>
      </c>
      <c r="AJ293">
        <v>0</v>
      </c>
      <c r="AK293">
        <v>12</v>
      </c>
      <c r="AL293" t="s">
        <v>219</v>
      </c>
      <c r="AM293" t="s">
        <v>220</v>
      </c>
      <c r="AN293" t="s">
        <v>221</v>
      </c>
      <c r="AO293" t="s">
        <v>6203</v>
      </c>
      <c r="AP293" t="s">
        <v>6204</v>
      </c>
      <c r="AQ293" t="s">
        <v>74</v>
      </c>
      <c r="AR293" t="s">
        <v>6205</v>
      </c>
      <c r="AS293" t="s">
        <v>6206</v>
      </c>
      <c r="AT293" t="s">
        <v>252</v>
      </c>
      <c r="AU293">
        <v>2021</v>
      </c>
      <c r="AV293">
        <v>48</v>
      </c>
      <c r="AW293">
        <v>1</v>
      </c>
      <c r="AX293" t="s">
        <v>74</v>
      </c>
      <c r="AY293" t="s">
        <v>74</v>
      </c>
      <c r="AZ293" t="s">
        <v>74</v>
      </c>
      <c r="BA293" t="s">
        <v>74</v>
      </c>
      <c r="BB293">
        <v>78</v>
      </c>
      <c r="BC293">
        <v>90</v>
      </c>
      <c r="BD293" t="s">
        <v>74</v>
      </c>
      <c r="BE293" t="s">
        <v>6207</v>
      </c>
      <c r="BF293" t="str">
        <f>HYPERLINK("http://dx.doi.org/10.1111/jbi.13983","http://dx.doi.org/10.1111/jbi.13983")</f>
        <v>http://dx.doi.org/10.1111/jbi.13983</v>
      </c>
      <c r="BG293" t="s">
        <v>74</v>
      </c>
      <c r="BH293" t="s">
        <v>3429</v>
      </c>
      <c r="BI293">
        <v>13</v>
      </c>
      <c r="BJ293" t="s">
        <v>4821</v>
      </c>
      <c r="BK293" t="s">
        <v>100</v>
      </c>
      <c r="BL293" t="s">
        <v>4822</v>
      </c>
      <c r="BM293" t="s">
        <v>6208</v>
      </c>
      <c r="BN293" t="s">
        <v>74</v>
      </c>
      <c r="BO293" t="s">
        <v>74</v>
      </c>
      <c r="BP293" t="s">
        <v>74</v>
      </c>
      <c r="BQ293" t="s">
        <v>74</v>
      </c>
      <c r="BR293" t="s">
        <v>104</v>
      </c>
      <c r="BS293" t="s">
        <v>6209</v>
      </c>
      <c r="BT293" t="str">
        <f>HYPERLINK("https%3A%2F%2Fwww.webofscience.com%2Fwos%2Fwoscc%2Ffull-record%2FWOS:000575314900001","View Full Record in Web of Science")</f>
        <v>View Full Record in Web of Science</v>
      </c>
    </row>
    <row r="294" spans="1:72" x14ac:dyDescent="0.15">
      <c r="A294" t="s">
        <v>72</v>
      </c>
      <c r="B294" t="s">
        <v>6210</v>
      </c>
      <c r="C294" t="s">
        <v>74</v>
      </c>
      <c r="D294" t="s">
        <v>74</v>
      </c>
      <c r="E294" t="s">
        <v>74</v>
      </c>
      <c r="F294" t="s">
        <v>6211</v>
      </c>
      <c r="G294" t="s">
        <v>74</v>
      </c>
      <c r="H294" t="s">
        <v>74</v>
      </c>
      <c r="I294" t="s">
        <v>6212</v>
      </c>
      <c r="J294" t="s">
        <v>6213</v>
      </c>
      <c r="K294" t="s">
        <v>74</v>
      </c>
      <c r="L294" t="s">
        <v>74</v>
      </c>
      <c r="M294" t="s">
        <v>78</v>
      </c>
      <c r="N294" t="s">
        <v>79</v>
      </c>
      <c r="O294" t="s">
        <v>74</v>
      </c>
      <c r="P294" t="s">
        <v>74</v>
      </c>
      <c r="Q294" t="s">
        <v>74</v>
      </c>
      <c r="R294" t="s">
        <v>74</v>
      </c>
      <c r="S294" t="s">
        <v>74</v>
      </c>
      <c r="T294" t="s">
        <v>6214</v>
      </c>
      <c r="U294" t="s">
        <v>6215</v>
      </c>
      <c r="V294" t="s">
        <v>6216</v>
      </c>
      <c r="W294" t="s">
        <v>6217</v>
      </c>
      <c r="X294" t="s">
        <v>74</v>
      </c>
      <c r="Y294" t="s">
        <v>6218</v>
      </c>
      <c r="Z294" t="s">
        <v>6219</v>
      </c>
      <c r="AA294" t="s">
        <v>74</v>
      </c>
      <c r="AB294" t="s">
        <v>74</v>
      </c>
      <c r="AC294" t="s">
        <v>74</v>
      </c>
      <c r="AD294" t="s">
        <v>74</v>
      </c>
      <c r="AE294" t="s">
        <v>74</v>
      </c>
      <c r="AF294" t="s">
        <v>74</v>
      </c>
      <c r="AG294">
        <v>31</v>
      </c>
      <c r="AH294">
        <v>6</v>
      </c>
      <c r="AI294">
        <v>6</v>
      </c>
      <c r="AJ294">
        <v>1</v>
      </c>
      <c r="AK294">
        <v>16</v>
      </c>
      <c r="AL294" t="s">
        <v>219</v>
      </c>
      <c r="AM294" t="s">
        <v>220</v>
      </c>
      <c r="AN294" t="s">
        <v>6220</v>
      </c>
      <c r="AO294" t="s">
        <v>74</v>
      </c>
      <c r="AP294" t="s">
        <v>6221</v>
      </c>
      <c r="AQ294" t="s">
        <v>74</v>
      </c>
      <c r="AR294" t="s">
        <v>6222</v>
      </c>
      <c r="AS294" t="s">
        <v>6223</v>
      </c>
      <c r="AT294" t="s">
        <v>462</v>
      </c>
      <c r="AU294">
        <v>2021</v>
      </c>
      <c r="AV294">
        <v>7</v>
      </c>
      <c r="AW294">
        <v>2</v>
      </c>
      <c r="AX294" t="s">
        <v>74</v>
      </c>
      <c r="AY294" t="s">
        <v>74</v>
      </c>
      <c r="AZ294" t="s">
        <v>74</v>
      </c>
      <c r="BA294" t="s">
        <v>74</v>
      </c>
      <c r="BB294">
        <v>370</v>
      </c>
      <c r="BC294">
        <v>377</v>
      </c>
      <c r="BD294" t="s">
        <v>74</v>
      </c>
      <c r="BE294" t="s">
        <v>6224</v>
      </c>
      <c r="BF294" t="str">
        <f>HYPERLINK("http://dx.doi.org/10.1002/vms3.369","http://dx.doi.org/10.1002/vms3.369")</f>
        <v>http://dx.doi.org/10.1002/vms3.369</v>
      </c>
      <c r="BG294" t="s">
        <v>74</v>
      </c>
      <c r="BH294" t="s">
        <v>3429</v>
      </c>
      <c r="BI294">
        <v>8</v>
      </c>
      <c r="BJ294" t="s">
        <v>6225</v>
      </c>
      <c r="BK294" t="s">
        <v>100</v>
      </c>
      <c r="BL294" t="s">
        <v>6225</v>
      </c>
      <c r="BM294" t="s">
        <v>6226</v>
      </c>
      <c r="BN294">
        <v>33022896</v>
      </c>
      <c r="BO294" t="s">
        <v>332</v>
      </c>
      <c r="BP294" t="s">
        <v>74</v>
      </c>
      <c r="BQ294" t="s">
        <v>74</v>
      </c>
      <c r="BR294" t="s">
        <v>104</v>
      </c>
      <c r="BS294" t="s">
        <v>6227</v>
      </c>
      <c r="BT294" t="str">
        <f>HYPERLINK("https%3A%2F%2Fwww.webofscience.com%2Fwos%2Fwoscc%2Ffull-record%2FWOS:000575316900001","View Full Record in Web of Science")</f>
        <v>View Full Record in Web of Science</v>
      </c>
    </row>
    <row r="295" spans="1:72" x14ac:dyDescent="0.15">
      <c r="A295" t="s">
        <v>72</v>
      </c>
      <c r="B295" t="s">
        <v>6228</v>
      </c>
      <c r="C295" t="s">
        <v>74</v>
      </c>
      <c r="D295" t="s">
        <v>74</v>
      </c>
      <c r="E295" t="s">
        <v>74</v>
      </c>
      <c r="F295" t="s">
        <v>6229</v>
      </c>
      <c r="G295" t="s">
        <v>74</v>
      </c>
      <c r="H295" t="s">
        <v>74</v>
      </c>
      <c r="I295" t="s">
        <v>6230</v>
      </c>
      <c r="J295" t="s">
        <v>469</v>
      </c>
      <c r="K295" t="s">
        <v>74</v>
      </c>
      <c r="L295" t="s">
        <v>74</v>
      </c>
      <c r="M295" t="s">
        <v>78</v>
      </c>
      <c r="N295" t="s">
        <v>79</v>
      </c>
      <c r="O295" t="s">
        <v>74</v>
      </c>
      <c r="P295" t="s">
        <v>74</v>
      </c>
      <c r="Q295" t="s">
        <v>74</v>
      </c>
      <c r="R295" t="s">
        <v>74</v>
      </c>
      <c r="S295" t="s">
        <v>74</v>
      </c>
      <c r="T295" t="s">
        <v>6231</v>
      </c>
      <c r="U295" t="s">
        <v>6232</v>
      </c>
      <c r="V295" t="s">
        <v>6233</v>
      </c>
      <c r="W295" t="s">
        <v>6234</v>
      </c>
      <c r="X295" t="s">
        <v>6235</v>
      </c>
      <c r="Y295" t="s">
        <v>6236</v>
      </c>
      <c r="Z295" t="s">
        <v>6237</v>
      </c>
      <c r="AA295" t="s">
        <v>6238</v>
      </c>
      <c r="AB295" t="s">
        <v>6239</v>
      </c>
      <c r="AC295" t="s">
        <v>6240</v>
      </c>
      <c r="AD295" t="s">
        <v>6241</v>
      </c>
      <c r="AE295" t="s">
        <v>6242</v>
      </c>
      <c r="AF295" t="s">
        <v>74</v>
      </c>
      <c r="AG295">
        <v>52</v>
      </c>
      <c r="AH295">
        <v>7</v>
      </c>
      <c r="AI295">
        <v>10</v>
      </c>
      <c r="AJ295">
        <v>7</v>
      </c>
      <c r="AK295">
        <v>25</v>
      </c>
      <c r="AL295" t="s">
        <v>482</v>
      </c>
      <c r="AM295" t="s">
        <v>483</v>
      </c>
      <c r="AN295" t="s">
        <v>484</v>
      </c>
      <c r="AO295" t="s">
        <v>485</v>
      </c>
      <c r="AP295" t="s">
        <v>486</v>
      </c>
      <c r="AQ295" t="s">
        <v>74</v>
      </c>
      <c r="AR295" t="s">
        <v>487</v>
      </c>
      <c r="AS295" t="s">
        <v>488</v>
      </c>
      <c r="AT295" t="s">
        <v>437</v>
      </c>
      <c r="AU295">
        <v>2021</v>
      </c>
      <c r="AV295">
        <v>81</v>
      </c>
      <c r="AW295">
        <v>3</v>
      </c>
      <c r="AX295" t="s">
        <v>74</v>
      </c>
      <c r="AY295" t="s">
        <v>74</v>
      </c>
      <c r="AZ295" t="s">
        <v>74</v>
      </c>
      <c r="BA295" t="s">
        <v>74</v>
      </c>
      <c r="BB295">
        <v>645</v>
      </c>
      <c r="BC295">
        <v>656</v>
      </c>
      <c r="BD295" t="s">
        <v>74</v>
      </c>
      <c r="BE295" t="s">
        <v>6243</v>
      </c>
      <c r="BF295" t="str">
        <f>HYPERLINK("http://dx.doi.org/10.1007/s00248-020-01614-6","http://dx.doi.org/10.1007/s00248-020-01614-6")</f>
        <v>http://dx.doi.org/10.1007/s00248-020-01614-6</v>
      </c>
      <c r="BG295" t="s">
        <v>74</v>
      </c>
      <c r="BH295" t="s">
        <v>3429</v>
      </c>
      <c r="BI295">
        <v>12</v>
      </c>
      <c r="BJ295" t="s">
        <v>491</v>
      </c>
      <c r="BK295" t="s">
        <v>100</v>
      </c>
      <c r="BL295" t="s">
        <v>492</v>
      </c>
      <c r="BM295" t="s">
        <v>6244</v>
      </c>
      <c r="BN295">
        <v>33025062</v>
      </c>
      <c r="BO295" t="s">
        <v>1894</v>
      </c>
      <c r="BP295" t="s">
        <v>74</v>
      </c>
      <c r="BQ295" t="s">
        <v>74</v>
      </c>
      <c r="BR295" t="s">
        <v>104</v>
      </c>
      <c r="BS295" t="s">
        <v>6245</v>
      </c>
      <c r="BT295" t="str">
        <f>HYPERLINK("https%3A%2F%2Fwww.webofscience.com%2Fwos%2Fwoscc%2Ffull-record%2FWOS:000575755400003","View Full Record in Web of Science")</f>
        <v>View Full Record in Web of Science</v>
      </c>
    </row>
    <row r="296" spans="1:72" x14ac:dyDescent="0.15">
      <c r="A296" t="s">
        <v>72</v>
      </c>
      <c r="B296" t="s">
        <v>6246</v>
      </c>
      <c r="C296" t="s">
        <v>74</v>
      </c>
      <c r="D296" t="s">
        <v>74</v>
      </c>
      <c r="E296" t="s">
        <v>74</v>
      </c>
      <c r="F296" t="s">
        <v>6247</v>
      </c>
      <c r="G296" t="s">
        <v>74</v>
      </c>
      <c r="H296" t="s">
        <v>74</v>
      </c>
      <c r="I296" t="s">
        <v>6248</v>
      </c>
      <c r="J296" t="s">
        <v>381</v>
      </c>
      <c r="K296" t="s">
        <v>74</v>
      </c>
      <c r="L296" t="s">
        <v>74</v>
      </c>
      <c r="M296" t="s">
        <v>78</v>
      </c>
      <c r="N296" t="s">
        <v>79</v>
      </c>
      <c r="O296" t="s">
        <v>74</v>
      </c>
      <c r="P296" t="s">
        <v>74</v>
      </c>
      <c r="Q296" t="s">
        <v>74</v>
      </c>
      <c r="R296" t="s">
        <v>74</v>
      </c>
      <c r="S296" t="s">
        <v>74</v>
      </c>
      <c r="T296" t="s">
        <v>74</v>
      </c>
      <c r="U296" t="s">
        <v>6249</v>
      </c>
      <c r="V296" t="s">
        <v>6250</v>
      </c>
      <c r="W296" t="s">
        <v>6251</v>
      </c>
      <c r="X296" t="s">
        <v>6252</v>
      </c>
      <c r="Y296" t="s">
        <v>6253</v>
      </c>
      <c r="Z296" t="s">
        <v>6254</v>
      </c>
      <c r="AA296" t="s">
        <v>6255</v>
      </c>
      <c r="AB296" t="s">
        <v>6256</v>
      </c>
      <c r="AC296" t="s">
        <v>6257</v>
      </c>
      <c r="AD296" t="s">
        <v>6257</v>
      </c>
      <c r="AE296" t="s">
        <v>6258</v>
      </c>
      <c r="AF296" t="s">
        <v>74</v>
      </c>
      <c r="AG296">
        <v>85</v>
      </c>
      <c r="AH296">
        <v>23</v>
      </c>
      <c r="AI296">
        <v>25</v>
      </c>
      <c r="AJ296">
        <v>6</v>
      </c>
      <c r="AK296">
        <v>38</v>
      </c>
      <c r="AL296" t="s">
        <v>413</v>
      </c>
      <c r="AM296" t="s">
        <v>322</v>
      </c>
      <c r="AN296" t="s">
        <v>323</v>
      </c>
      <c r="AO296" t="s">
        <v>74</v>
      </c>
      <c r="AP296" t="s">
        <v>392</v>
      </c>
      <c r="AQ296" t="s">
        <v>74</v>
      </c>
      <c r="AR296" t="s">
        <v>393</v>
      </c>
      <c r="AS296" t="s">
        <v>394</v>
      </c>
      <c r="AT296" t="s">
        <v>6183</v>
      </c>
      <c r="AU296">
        <v>2020</v>
      </c>
      <c r="AV296">
        <v>11</v>
      </c>
      <c r="AW296">
        <v>1</v>
      </c>
      <c r="AX296" t="s">
        <v>74</v>
      </c>
      <c r="AY296" t="s">
        <v>74</v>
      </c>
      <c r="AZ296" t="s">
        <v>74</v>
      </c>
      <c r="BA296" t="s">
        <v>74</v>
      </c>
      <c r="BB296" t="s">
        <v>74</v>
      </c>
      <c r="BC296" t="s">
        <v>74</v>
      </c>
      <c r="BD296">
        <v>5013</v>
      </c>
      <c r="BE296" t="s">
        <v>6259</v>
      </c>
      <c r="BF296" t="str">
        <f>HYPERLINK("http://dx.doi.org/10.1038/s41467-020-18733-w","http://dx.doi.org/10.1038/s41467-020-18733-w")</f>
        <v>http://dx.doi.org/10.1038/s41467-020-18733-w</v>
      </c>
      <c r="BG296" t="s">
        <v>74</v>
      </c>
      <c r="BH296" t="s">
        <v>74</v>
      </c>
      <c r="BI296">
        <v>10</v>
      </c>
      <c r="BJ296" t="s">
        <v>329</v>
      </c>
      <c r="BK296" t="s">
        <v>100</v>
      </c>
      <c r="BL296" t="s">
        <v>330</v>
      </c>
      <c r="BM296" t="s">
        <v>6260</v>
      </c>
      <c r="BN296">
        <v>33024102</v>
      </c>
      <c r="BO296" t="s">
        <v>2113</v>
      </c>
      <c r="BP296" t="s">
        <v>74</v>
      </c>
      <c r="BQ296" t="s">
        <v>74</v>
      </c>
      <c r="BR296" t="s">
        <v>104</v>
      </c>
      <c r="BS296" t="s">
        <v>6261</v>
      </c>
      <c r="BT296" t="str">
        <f>HYPERLINK("https%3A%2F%2Fwww.webofscience.com%2Fwos%2Fwoscc%2Ffull-record%2FWOS:000578458200009","View Full Record in Web of Science")</f>
        <v>View Full Record in Web of Science</v>
      </c>
    </row>
    <row r="297" spans="1:72" x14ac:dyDescent="0.15">
      <c r="A297" t="s">
        <v>72</v>
      </c>
      <c r="B297" t="s">
        <v>6262</v>
      </c>
      <c r="C297" t="s">
        <v>74</v>
      </c>
      <c r="D297" t="s">
        <v>74</v>
      </c>
      <c r="E297" t="s">
        <v>74</v>
      </c>
      <c r="F297" t="s">
        <v>6263</v>
      </c>
      <c r="G297" t="s">
        <v>74</v>
      </c>
      <c r="H297" t="s">
        <v>74</v>
      </c>
      <c r="I297" t="s">
        <v>6264</v>
      </c>
      <c r="J297" t="s">
        <v>6265</v>
      </c>
      <c r="K297" t="s">
        <v>74</v>
      </c>
      <c r="L297" t="s">
        <v>74</v>
      </c>
      <c r="M297" t="s">
        <v>78</v>
      </c>
      <c r="N297" t="s">
        <v>79</v>
      </c>
      <c r="O297" t="s">
        <v>74</v>
      </c>
      <c r="P297" t="s">
        <v>74</v>
      </c>
      <c r="Q297" t="s">
        <v>74</v>
      </c>
      <c r="R297" t="s">
        <v>74</v>
      </c>
      <c r="S297" t="s">
        <v>74</v>
      </c>
      <c r="T297" t="s">
        <v>6266</v>
      </c>
      <c r="U297" t="s">
        <v>6267</v>
      </c>
      <c r="V297" t="s">
        <v>6268</v>
      </c>
      <c r="W297" t="s">
        <v>6269</v>
      </c>
      <c r="X297" t="s">
        <v>6270</v>
      </c>
      <c r="Y297" t="s">
        <v>6271</v>
      </c>
      <c r="Z297" t="s">
        <v>6272</v>
      </c>
      <c r="AA297" t="s">
        <v>74</v>
      </c>
      <c r="AB297" t="s">
        <v>74</v>
      </c>
      <c r="AC297" t="s">
        <v>6273</v>
      </c>
      <c r="AD297" t="s">
        <v>6274</v>
      </c>
      <c r="AE297" t="s">
        <v>6275</v>
      </c>
      <c r="AF297" t="s">
        <v>74</v>
      </c>
      <c r="AG297">
        <v>55</v>
      </c>
      <c r="AH297">
        <v>5</v>
      </c>
      <c r="AI297">
        <v>5</v>
      </c>
      <c r="AJ297">
        <v>0</v>
      </c>
      <c r="AK297">
        <v>7</v>
      </c>
      <c r="AL297" t="s">
        <v>6276</v>
      </c>
      <c r="AM297" t="s">
        <v>6277</v>
      </c>
      <c r="AN297" t="s">
        <v>6278</v>
      </c>
      <c r="AO297" t="s">
        <v>74</v>
      </c>
      <c r="AP297" t="s">
        <v>6279</v>
      </c>
      <c r="AQ297" t="s">
        <v>74</v>
      </c>
      <c r="AR297" t="s">
        <v>6280</v>
      </c>
      <c r="AS297" t="s">
        <v>6281</v>
      </c>
      <c r="AT297" t="s">
        <v>6282</v>
      </c>
      <c r="AU297">
        <v>2020</v>
      </c>
      <c r="AV297">
        <v>720</v>
      </c>
      <c r="AW297" t="s">
        <v>74</v>
      </c>
      <c r="AX297" t="s">
        <v>74</v>
      </c>
      <c r="AY297" t="s">
        <v>74</v>
      </c>
      <c r="AZ297" t="s">
        <v>74</v>
      </c>
      <c r="BA297" t="s">
        <v>74</v>
      </c>
      <c r="BB297">
        <v>121</v>
      </c>
      <c r="BC297">
        <v>143</v>
      </c>
      <c r="BD297" t="s">
        <v>74</v>
      </c>
      <c r="BE297" t="s">
        <v>6283</v>
      </c>
      <c r="BF297" t="str">
        <f>HYPERLINK("http://dx.doi.org/10.5852/ejt.2020.720.1121","http://dx.doi.org/10.5852/ejt.2020.720.1121")</f>
        <v>http://dx.doi.org/10.5852/ejt.2020.720.1121</v>
      </c>
      <c r="BG297" t="s">
        <v>74</v>
      </c>
      <c r="BH297" t="s">
        <v>74</v>
      </c>
      <c r="BI297">
        <v>23</v>
      </c>
      <c r="BJ297" t="s">
        <v>6284</v>
      </c>
      <c r="BK297" t="s">
        <v>100</v>
      </c>
      <c r="BL297" t="s">
        <v>6284</v>
      </c>
      <c r="BM297" t="s">
        <v>6285</v>
      </c>
      <c r="BN297" t="s">
        <v>74</v>
      </c>
      <c r="BO297" t="s">
        <v>6286</v>
      </c>
      <c r="BP297" t="s">
        <v>74</v>
      </c>
      <c r="BQ297" t="s">
        <v>74</v>
      </c>
      <c r="BR297" t="s">
        <v>104</v>
      </c>
      <c r="BS297" t="s">
        <v>6287</v>
      </c>
      <c r="BT297" t="str">
        <f>HYPERLINK("https%3A%2F%2Fwww.webofscience.com%2Fwos%2Fwoscc%2Ffull-record%2FWOS:000604620400007","View Full Record in Web of Science")</f>
        <v>View Full Record in Web of Science</v>
      </c>
    </row>
    <row r="298" spans="1:72" x14ac:dyDescent="0.15">
      <c r="A298" t="s">
        <v>72</v>
      </c>
      <c r="B298" t="s">
        <v>6288</v>
      </c>
      <c r="C298" t="s">
        <v>74</v>
      </c>
      <c r="D298" t="s">
        <v>74</v>
      </c>
      <c r="E298" t="s">
        <v>74</v>
      </c>
      <c r="F298" t="s">
        <v>6289</v>
      </c>
      <c r="G298" t="s">
        <v>74</v>
      </c>
      <c r="H298" t="s">
        <v>74</v>
      </c>
      <c r="I298" t="s">
        <v>6290</v>
      </c>
      <c r="J298" t="s">
        <v>6291</v>
      </c>
      <c r="K298" t="s">
        <v>74</v>
      </c>
      <c r="L298" t="s">
        <v>74</v>
      </c>
      <c r="M298" t="s">
        <v>78</v>
      </c>
      <c r="N298" t="s">
        <v>79</v>
      </c>
      <c r="O298" t="s">
        <v>74</v>
      </c>
      <c r="P298" t="s">
        <v>74</v>
      </c>
      <c r="Q298" t="s">
        <v>74</v>
      </c>
      <c r="R298" t="s">
        <v>74</v>
      </c>
      <c r="S298" t="s">
        <v>74</v>
      </c>
      <c r="T298" t="s">
        <v>74</v>
      </c>
      <c r="U298" t="s">
        <v>6292</v>
      </c>
      <c r="V298" t="s">
        <v>6293</v>
      </c>
      <c r="W298" t="s">
        <v>6294</v>
      </c>
      <c r="X298" t="s">
        <v>6295</v>
      </c>
      <c r="Y298" t="s">
        <v>6296</v>
      </c>
      <c r="Z298" t="s">
        <v>6297</v>
      </c>
      <c r="AA298" t="s">
        <v>6298</v>
      </c>
      <c r="AB298" t="s">
        <v>6299</v>
      </c>
      <c r="AC298" t="s">
        <v>6300</v>
      </c>
      <c r="AD298" t="s">
        <v>6301</v>
      </c>
      <c r="AE298" t="s">
        <v>6302</v>
      </c>
      <c r="AF298" t="s">
        <v>74</v>
      </c>
      <c r="AG298">
        <v>72</v>
      </c>
      <c r="AH298">
        <v>8</v>
      </c>
      <c r="AI298">
        <v>8</v>
      </c>
      <c r="AJ298">
        <v>0</v>
      </c>
      <c r="AK298">
        <v>2</v>
      </c>
      <c r="AL298" t="s">
        <v>91</v>
      </c>
      <c r="AM298" t="s">
        <v>92</v>
      </c>
      <c r="AN298" t="s">
        <v>93</v>
      </c>
      <c r="AO298" t="s">
        <v>6303</v>
      </c>
      <c r="AP298" t="s">
        <v>6304</v>
      </c>
      <c r="AQ298" t="s">
        <v>74</v>
      </c>
      <c r="AR298" t="s">
        <v>6305</v>
      </c>
      <c r="AS298" t="s">
        <v>6306</v>
      </c>
      <c r="AT298" t="s">
        <v>6282</v>
      </c>
      <c r="AU298">
        <v>2020</v>
      </c>
      <c r="AV298">
        <v>13</v>
      </c>
      <c r="AW298">
        <v>10</v>
      </c>
      <c r="AX298" t="s">
        <v>74</v>
      </c>
      <c r="AY298" t="s">
        <v>74</v>
      </c>
      <c r="AZ298" t="s">
        <v>74</v>
      </c>
      <c r="BA298" t="s">
        <v>74</v>
      </c>
      <c r="BB298">
        <v>4773</v>
      </c>
      <c r="BC298">
        <v>4787</v>
      </c>
      <c r="BD298" t="s">
        <v>74</v>
      </c>
      <c r="BE298" t="s">
        <v>6307</v>
      </c>
      <c r="BF298" t="str">
        <f>HYPERLINK("http://dx.doi.org/10.5194/gmd-13-4773-2020","http://dx.doi.org/10.5194/gmd-13-4773-2020")</f>
        <v>http://dx.doi.org/10.5194/gmd-13-4773-2020</v>
      </c>
      <c r="BG298" t="s">
        <v>74</v>
      </c>
      <c r="BH298" t="s">
        <v>74</v>
      </c>
      <c r="BI298">
        <v>15</v>
      </c>
      <c r="BJ298" t="s">
        <v>534</v>
      </c>
      <c r="BK298" t="s">
        <v>100</v>
      </c>
      <c r="BL298" t="s">
        <v>535</v>
      </c>
      <c r="BM298" t="s">
        <v>6308</v>
      </c>
      <c r="BN298" t="s">
        <v>74</v>
      </c>
      <c r="BO298" t="s">
        <v>3064</v>
      </c>
      <c r="BP298" t="s">
        <v>74</v>
      </c>
      <c r="BQ298" t="s">
        <v>74</v>
      </c>
      <c r="BR298" t="s">
        <v>104</v>
      </c>
      <c r="BS298" t="s">
        <v>6309</v>
      </c>
      <c r="BT298" t="str">
        <f>HYPERLINK("https%3A%2F%2Fwww.webofscience.com%2Fwos%2Fwoscc%2Ffull-record%2FWOS:000577163100001","View Full Record in Web of Science")</f>
        <v>View Full Record in Web of Science</v>
      </c>
    </row>
    <row r="299" spans="1:72" x14ac:dyDescent="0.15">
      <c r="A299" t="s">
        <v>72</v>
      </c>
      <c r="B299" t="s">
        <v>6310</v>
      </c>
      <c r="C299" t="s">
        <v>74</v>
      </c>
      <c r="D299" t="s">
        <v>74</v>
      </c>
      <c r="E299" t="s">
        <v>74</v>
      </c>
      <c r="F299" t="s">
        <v>6311</v>
      </c>
      <c r="G299" t="s">
        <v>74</v>
      </c>
      <c r="H299" t="s">
        <v>74</v>
      </c>
      <c r="I299" t="s">
        <v>6312</v>
      </c>
      <c r="J299" t="s">
        <v>901</v>
      </c>
      <c r="K299" t="s">
        <v>74</v>
      </c>
      <c r="L299" t="s">
        <v>74</v>
      </c>
      <c r="M299" t="s">
        <v>78</v>
      </c>
      <c r="N299" t="s">
        <v>79</v>
      </c>
      <c r="O299" t="s">
        <v>74</v>
      </c>
      <c r="P299" t="s">
        <v>74</v>
      </c>
      <c r="Q299" t="s">
        <v>74</v>
      </c>
      <c r="R299" t="s">
        <v>74</v>
      </c>
      <c r="S299" t="s">
        <v>74</v>
      </c>
      <c r="T299" t="s">
        <v>6313</v>
      </c>
      <c r="U299" t="s">
        <v>6314</v>
      </c>
      <c r="V299" t="s">
        <v>6315</v>
      </c>
      <c r="W299" t="s">
        <v>6316</v>
      </c>
      <c r="X299" t="s">
        <v>6317</v>
      </c>
      <c r="Y299" t="s">
        <v>6318</v>
      </c>
      <c r="Z299" t="s">
        <v>6319</v>
      </c>
      <c r="AA299" t="s">
        <v>6320</v>
      </c>
      <c r="AB299" t="s">
        <v>6321</v>
      </c>
      <c r="AC299" t="s">
        <v>6322</v>
      </c>
      <c r="AD299" t="s">
        <v>6322</v>
      </c>
      <c r="AE299" t="s">
        <v>6323</v>
      </c>
      <c r="AF299" t="s">
        <v>74</v>
      </c>
      <c r="AG299">
        <v>63</v>
      </c>
      <c r="AH299">
        <v>137</v>
      </c>
      <c r="AI299">
        <v>142</v>
      </c>
      <c r="AJ299">
        <v>37</v>
      </c>
      <c r="AK299">
        <v>217</v>
      </c>
      <c r="AL299" t="s">
        <v>866</v>
      </c>
      <c r="AM299" t="s">
        <v>867</v>
      </c>
      <c r="AN299" t="s">
        <v>868</v>
      </c>
      <c r="AO299" t="s">
        <v>74</v>
      </c>
      <c r="AP299" t="s">
        <v>914</v>
      </c>
      <c r="AQ299" t="s">
        <v>74</v>
      </c>
      <c r="AR299" t="s">
        <v>915</v>
      </c>
      <c r="AS299" t="s">
        <v>916</v>
      </c>
      <c r="AT299" t="s">
        <v>6282</v>
      </c>
      <c r="AU299">
        <v>2020</v>
      </c>
      <c r="AV299">
        <v>7</v>
      </c>
      <c r="AW299" t="s">
        <v>74</v>
      </c>
      <c r="AX299" t="s">
        <v>74</v>
      </c>
      <c r="AY299" t="s">
        <v>74</v>
      </c>
      <c r="AZ299" t="s">
        <v>74</v>
      </c>
      <c r="BA299" t="s">
        <v>74</v>
      </c>
      <c r="BB299" t="s">
        <v>74</v>
      </c>
      <c r="BC299" t="s">
        <v>74</v>
      </c>
      <c r="BD299">
        <v>576170</v>
      </c>
      <c r="BE299" t="s">
        <v>6324</v>
      </c>
      <c r="BF299" t="str">
        <f>HYPERLINK("http://dx.doi.org/10.3389/fmars.2020.576170","http://dx.doi.org/10.3389/fmars.2020.576170")</f>
        <v>http://dx.doi.org/10.3389/fmars.2020.576170</v>
      </c>
      <c r="BG299" t="s">
        <v>74</v>
      </c>
      <c r="BH299" t="s">
        <v>74</v>
      </c>
      <c r="BI299">
        <v>10</v>
      </c>
      <c r="BJ299" t="s">
        <v>918</v>
      </c>
      <c r="BK299" t="s">
        <v>100</v>
      </c>
      <c r="BL299" t="s">
        <v>919</v>
      </c>
      <c r="BM299" t="s">
        <v>6325</v>
      </c>
      <c r="BN299" t="s">
        <v>74</v>
      </c>
      <c r="BO299" t="s">
        <v>332</v>
      </c>
      <c r="BP299" t="s">
        <v>417</v>
      </c>
      <c r="BQ299" t="s">
        <v>418</v>
      </c>
      <c r="BR299" t="s">
        <v>104</v>
      </c>
      <c r="BS299" t="s">
        <v>6326</v>
      </c>
      <c r="BT299" t="str">
        <f>HYPERLINK("https%3A%2F%2Fwww.webofscience.com%2Fwos%2Fwoscc%2Ffull-record%2FWOS:000576950400001","View Full Record in Web of Science")</f>
        <v>View Full Record in Web of Science</v>
      </c>
    </row>
    <row r="300" spans="1:72" x14ac:dyDescent="0.15">
      <c r="A300" t="s">
        <v>72</v>
      </c>
      <c r="B300" t="s">
        <v>6327</v>
      </c>
      <c r="C300" t="s">
        <v>74</v>
      </c>
      <c r="D300" t="s">
        <v>74</v>
      </c>
      <c r="E300" t="s">
        <v>74</v>
      </c>
      <c r="F300" t="s">
        <v>6328</v>
      </c>
      <c r="G300" t="s">
        <v>74</v>
      </c>
      <c r="H300" t="s">
        <v>74</v>
      </c>
      <c r="I300" t="s">
        <v>6329</v>
      </c>
      <c r="J300" t="s">
        <v>6330</v>
      </c>
      <c r="K300" t="s">
        <v>74</v>
      </c>
      <c r="L300" t="s">
        <v>74</v>
      </c>
      <c r="M300" t="s">
        <v>78</v>
      </c>
      <c r="N300" t="s">
        <v>79</v>
      </c>
      <c r="O300" t="s">
        <v>74</v>
      </c>
      <c r="P300" t="s">
        <v>74</v>
      </c>
      <c r="Q300" t="s">
        <v>74</v>
      </c>
      <c r="R300" t="s">
        <v>74</v>
      </c>
      <c r="S300" t="s">
        <v>74</v>
      </c>
      <c r="T300" t="s">
        <v>6331</v>
      </c>
      <c r="U300" t="s">
        <v>6332</v>
      </c>
      <c r="V300" t="s">
        <v>6333</v>
      </c>
      <c r="W300" t="s">
        <v>6334</v>
      </c>
      <c r="X300" t="s">
        <v>6335</v>
      </c>
      <c r="Y300" t="s">
        <v>6336</v>
      </c>
      <c r="Z300" t="s">
        <v>6337</v>
      </c>
      <c r="AA300" t="s">
        <v>6338</v>
      </c>
      <c r="AB300" t="s">
        <v>6339</v>
      </c>
      <c r="AC300" t="s">
        <v>6340</v>
      </c>
      <c r="AD300" t="s">
        <v>6341</v>
      </c>
      <c r="AE300" t="s">
        <v>6340</v>
      </c>
      <c r="AF300" t="s">
        <v>74</v>
      </c>
      <c r="AG300">
        <v>100</v>
      </c>
      <c r="AH300">
        <v>29</v>
      </c>
      <c r="AI300">
        <v>29</v>
      </c>
      <c r="AJ300">
        <v>0</v>
      </c>
      <c r="AK300">
        <v>14</v>
      </c>
      <c r="AL300" t="s">
        <v>219</v>
      </c>
      <c r="AM300" t="s">
        <v>220</v>
      </c>
      <c r="AN300" t="s">
        <v>221</v>
      </c>
      <c r="AO300" t="s">
        <v>6342</v>
      </c>
      <c r="AP300" t="s">
        <v>6343</v>
      </c>
      <c r="AQ300" t="s">
        <v>74</v>
      </c>
      <c r="AR300" t="s">
        <v>6344</v>
      </c>
      <c r="AS300" t="s">
        <v>6345</v>
      </c>
      <c r="AT300" t="s">
        <v>252</v>
      </c>
      <c r="AU300">
        <v>2021</v>
      </c>
      <c r="AV300">
        <v>52</v>
      </c>
      <c r="AW300">
        <v>1</v>
      </c>
      <c r="AX300" t="s">
        <v>74</v>
      </c>
      <c r="AY300" t="s">
        <v>74</v>
      </c>
      <c r="AZ300" t="s">
        <v>74</v>
      </c>
      <c r="BA300" t="s">
        <v>74</v>
      </c>
      <c r="BB300">
        <v>152</v>
      </c>
      <c r="BC300">
        <v>166</v>
      </c>
      <c r="BD300" t="s">
        <v>74</v>
      </c>
      <c r="BE300" t="s">
        <v>6346</v>
      </c>
      <c r="BF300" t="str">
        <f>HYPERLINK("http://dx.doi.org/10.1111/are.14877","http://dx.doi.org/10.1111/are.14877")</f>
        <v>http://dx.doi.org/10.1111/are.14877</v>
      </c>
      <c r="BG300" t="s">
        <v>74</v>
      </c>
      <c r="BH300" t="s">
        <v>3429</v>
      </c>
      <c r="BI300">
        <v>15</v>
      </c>
      <c r="BJ300" t="s">
        <v>439</v>
      </c>
      <c r="BK300" t="s">
        <v>100</v>
      </c>
      <c r="BL300" t="s">
        <v>439</v>
      </c>
      <c r="BM300" t="s">
        <v>6347</v>
      </c>
      <c r="BN300" t="s">
        <v>74</v>
      </c>
      <c r="BO300" t="s">
        <v>202</v>
      </c>
      <c r="BP300" t="s">
        <v>74</v>
      </c>
      <c r="BQ300" t="s">
        <v>74</v>
      </c>
      <c r="BR300" t="s">
        <v>104</v>
      </c>
      <c r="BS300" t="s">
        <v>6348</v>
      </c>
      <c r="BT300" t="str">
        <f>HYPERLINK("https%3A%2F%2Fwww.webofscience.com%2Fwos%2Fwoscc%2Ffull-record%2FWOS:000575127600001","View Full Record in Web of Science")</f>
        <v>View Full Record in Web of Science</v>
      </c>
    </row>
    <row r="301" spans="1:72" x14ac:dyDescent="0.15">
      <c r="A301" t="s">
        <v>72</v>
      </c>
      <c r="B301" t="s">
        <v>6349</v>
      </c>
      <c r="C301" t="s">
        <v>74</v>
      </c>
      <c r="D301" t="s">
        <v>74</v>
      </c>
      <c r="E301" t="s">
        <v>74</v>
      </c>
      <c r="F301" t="s">
        <v>6350</v>
      </c>
      <c r="G301" t="s">
        <v>74</v>
      </c>
      <c r="H301" t="s">
        <v>74</v>
      </c>
      <c r="I301" t="s">
        <v>6351</v>
      </c>
      <c r="J301" t="s">
        <v>6352</v>
      </c>
      <c r="K301" t="s">
        <v>74</v>
      </c>
      <c r="L301" t="s">
        <v>74</v>
      </c>
      <c r="M301" t="s">
        <v>78</v>
      </c>
      <c r="N301" t="s">
        <v>138</v>
      </c>
      <c r="O301" t="s">
        <v>74</v>
      </c>
      <c r="P301" t="s">
        <v>74</v>
      </c>
      <c r="Q301" t="s">
        <v>74</v>
      </c>
      <c r="R301" t="s">
        <v>74</v>
      </c>
      <c r="S301" t="s">
        <v>74</v>
      </c>
      <c r="T301" t="s">
        <v>6353</v>
      </c>
      <c r="U301" t="s">
        <v>6354</v>
      </c>
      <c r="V301" t="s">
        <v>6355</v>
      </c>
      <c r="W301" t="s">
        <v>6356</v>
      </c>
      <c r="X301" t="s">
        <v>6357</v>
      </c>
      <c r="Y301" t="s">
        <v>6358</v>
      </c>
      <c r="Z301" t="s">
        <v>6359</v>
      </c>
      <c r="AA301" t="s">
        <v>6360</v>
      </c>
      <c r="AB301" t="s">
        <v>6361</v>
      </c>
      <c r="AC301" t="s">
        <v>6362</v>
      </c>
      <c r="AD301" t="s">
        <v>6363</v>
      </c>
      <c r="AE301" t="s">
        <v>6364</v>
      </c>
      <c r="AF301" t="s">
        <v>74</v>
      </c>
      <c r="AG301">
        <v>212</v>
      </c>
      <c r="AH301">
        <v>24</v>
      </c>
      <c r="AI301">
        <v>25</v>
      </c>
      <c r="AJ301">
        <v>8</v>
      </c>
      <c r="AK301">
        <v>68</v>
      </c>
      <c r="AL301" t="s">
        <v>219</v>
      </c>
      <c r="AM301" t="s">
        <v>220</v>
      </c>
      <c r="AN301" t="s">
        <v>221</v>
      </c>
      <c r="AO301" t="s">
        <v>6365</v>
      </c>
      <c r="AP301" t="s">
        <v>6366</v>
      </c>
      <c r="AQ301" t="s">
        <v>74</v>
      </c>
      <c r="AR301" t="s">
        <v>6367</v>
      </c>
      <c r="AS301" t="s">
        <v>6368</v>
      </c>
      <c r="AT301" t="s">
        <v>252</v>
      </c>
      <c r="AU301">
        <v>2021</v>
      </c>
      <c r="AV301">
        <v>12</v>
      </c>
      <c r="AW301">
        <v>1</v>
      </c>
      <c r="AX301" t="s">
        <v>74</v>
      </c>
      <c r="AY301" t="s">
        <v>74</v>
      </c>
      <c r="AZ301" t="s">
        <v>74</v>
      </c>
      <c r="BA301" t="s">
        <v>74</v>
      </c>
      <c r="BB301" t="s">
        <v>74</v>
      </c>
      <c r="BC301" t="s">
        <v>74</v>
      </c>
      <c r="BD301" t="s">
        <v>6369</v>
      </c>
      <c r="BE301" t="s">
        <v>6370</v>
      </c>
      <c r="BF301" t="str">
        <f>HYPERLINK("http://dx.doi.org/10.1002/wcc.682","http://dx.doi.org/10.1002/wcc.682")</f>
        <v>http://dx.doi.org/10.1002/wcc.682</v>
      </c>
      <c r="BG301" t="s">
        <v>74</v>
      </c>
      <c r="BH301" t="s">
        <v>3429</v>
      </c>
      <c r="BI301">
        <v>28</v>
      </c>
      <c r="BJ301" t="s">
        <v>6371</v>
      </c>
      <c r="BK301" t="s">
        <v>255</v>
      </c>
      <c r="BL301" t="s">
        <v>1028</v>
      </c>
      <c r="BM301" t="s">
        <v>6372</v>
      </c>
      <c r="BN301" t="s">
        <v>74</v>
      </c>
      <c r="BO301" t="s">
        <v>775</v>
      </c>
      <c r="BP301" t="s">
        <v>74</v>
      </c>
      <c r="BQ301" t="s">
        <v>74</v>
      </c>
      <c r="BR301" t="s">
        <v>104</v>
      </c>
      <c r="BS301" t="s">
        <v>6373</v>
      </c>
      <c r="BT301" t="str">
        <f>HYPERLINK("https%3A%2F%2Fwww.webofscience.com%2Fwos%2Fwoscc%2Ffull-record%2FWOS:000575013800001","View Full Record in Web of Science")</f>
        <v>View Full Record in Web of Science</v>
      </c>
    </row>
    <row r="302" spans="1:72" x14ac:dyDescent="0.15">
      <c r="A302" t="s">
        <v>72</v>
      </c>
      <c r="B302" t="s">
        <v>6374</v>
      </c>
      <c r="C302" t="s">
        <v>74</v>
      </c>
      <c r="D302" t="s">
        <v>74</v>
      </c>
      <c r="E302" t="s">
        <v>74</v>
      </c>
      <c r="F302" t="s">
        <v>6375</v>
      </c>
      <c r="G302" t="s">
        <v>74</v>
      </c>
      <c r="H302" t="s">
        <v>74</v>
      </c>
      <c r="I302" t="s">
        <v>6376</v>
      </c>
      <c r="J302" t="s">
        <v>6377</v>
      </c>
      <c r="K302" t="s">
        <v>74</v>
      </c>
      <c r="L302" t="s">
        <v>74</v>
      </c>
      <c r="M302" t="s">
        <v>78</v>
      </c>
      <c r="N302" t="s">
        <v>79</v>
      </c>
      <c r="O302" t="s">
        <v>74</v>
      </c>
      <c r="P302" t="s">
        <v>74</v>
      </c>
      <c r="Q302" t="s">
        <v>74</v>
      </c>
      <c r="R302" t="s">
        <v>74</v>
      </c>
      <c r="S302" t="s">
        <v>74</v>
      </c>
      <c r="T302" t="s">
        <v>74</v>
      </c>
      <c r="U302" t="s">
        <v>6378</v>
      </c>
      <c r="V302" t="s">
        <v>74</v>
      </c>
      <c r="W302" t="s">
        <v>6379</v>
      </c>
      <c r="X302" t="s">
        <v>6380</v>
      </c>
      <c r="Y302" t="s">
        <v>6381</v>
      </c>
      <c r="Z302" t="s">
        <v>6382</v>
      </c>
      <c r="AA302" t="s">
        <v>6383</v>
      </c>
      <c r="AB302" t="s">
        <v>6384</v>
      </c>
      <c r="AC302" t="s">
        <v>6385</v>
      </c>
      <c r="AD302" t="s">
        <v>6386</v>
      </c>
      <c r="AE302" t="s">
        <v>6387</v>
      </c>
      <c r="AF302" t="s">
        <v>74</v>
      </c>
      <c r="AG302">
        <v>51</v>
      </c>
      <c r="AH302">
        <v>7</v>
      </c>
      <c r="AI302">
        <v>7</v>
      </c>
      <c r="AJ302">
        <v>4</v>
      </c>
      <c r="AK302">
        <v>75</v>
      </c>
      <c r="AL302" t="s">
        <v>1522</v>
      </c>
      <c r="AM302" t="s">
        <v>1407</v>
      </c>
      <c r="AN302" t="s">
        <v>1523</v>
      </c>
      <c r="AO302" t="s">
        <v>6388</v>
      </c>
      <c r="AP302" t="s">
        <v>6389</v>
      </c>
      <c r="AQ302" t="s">
        <v>74</v>
      </c>
      <c r="AR302" t="s">
        <v>6390</v>
      </c>
      <c r="AS302" t="s">
        <v>6391</v>
      </c>
      <c r="AT302" t="s">
        <v>6282</v>
      </c>
      <c r="AU302">
        <v>2020</v>
      </c>
      <c r="AV302">
        <v>239</v>
      </c>
      <c r="AW302" t="s">
        <v>74</v>
      </c>
      <c r="AX302" t="s">
        <v>74</v>
      </c>
      <c r="AY302" t="s">
        <v>74</v>
      </c>
      <c r="AZ302" t="s">
        <v>74</v>
      </c>
      <c r="BA302" t="s">
        <v>74</v>
      </c>
      <c r="BB302" t="s">
        <v>74</v>
      </c>
      <c r="BC302" t="s">
        <v>74</v>
      </c>
      <c r="BD302">
        <v>118458</v>
      </c>
      <c r="BE302" t="s">
        <v>6392</v>
      </c>
      <c r="BF302" t="str">
        <f>HYPERLINK("http://dx.doi.org/10.1016/j.saa.2020.118458","http://dx.doi.org/10.1016/j.saa.2020.118458")</f>
        <v>http://dx.doi.org/10.1016/j.saa.2020.118458</v>
      </c>
      <c r="BG302" t="s">
        <v>74</v>
      </c>
      <c r="BH302" t="s">
        <v>74</v>
      </c>
      <c r="BI302">
        <v>9</v>
      </c>
      <c r="BJ302" t="s">
        <v>6393</v>
      </c>
      <c r="BK302" t="s">
        <v>100</v>
      </c>
      <c r="BL302" t="s">
        <v>6393</v>
      </c>
      <c r="BM302" t="s">
        <v>6394</v>
      </c>
      <c r="BN302">
        <v>32480272</v>
      </c>
      <c r="BO302" t="s">
        <v>74</v>
      </c>
      <c r="BP302" t="s">
        <v>74</v>
      </c>
      <c r="BQ302" t="s">
        <v>74</v>
      </c>
      <c r="BR302" t="s">
        <v>104</v>
      </c>
      <c r="BS302" t="s">
        <v>6395</v>
      </c>
      <c r="BT302" t="str">
        <f>HYPERLINK("https%3A%2F%2Fwww.webofscience.com%2Fwos%2Fwoscc%2Ffull-record%2FWOS:000542569000004","View Full Record in Web of Science")</f>
        <v>View Full Record in Web of Science</v>
      </c>
    </row>
    <row r="303" spans="1:72" x14ac:dyDescent="0.15">
      <c r="A303" t="s">
        <v>72</v>
      </c>
      <c r="B303" t="s">
        <v>6396</v>
      </c>
      <c r="C303" t="s">
        <v>74</v>
      </c>
      <c r="D303" t="s">
        <v>74</v>
      </c>
      <c r="E303" t="s">
        <v>74</v>
      </c>
      <c r="F303" t="s">
        <v>6397</v>
      </c>
      <c r="G303" t="s">
        <v>74</v>
      </c>
      <c r="H303" t="s">
        <v>74</v>
      </c>
      <c r="I303" t="s">
        <v>6398</v>
      </c>
      <c r="J303" t="s">
        <v>706</v>
      </c>
      <c r="K303" t="s">
        <v>74</v>
      </c>
      <c r="L303" t="s">
        <v>74</v>
      </c>
      <c r="M303" t="s">
        <v>78</v>
      </c>
      <c r="N303" t="s">
        <v>79</v>
      </c>
      <c r="O303" t="s">
        <v>74</v>
      </c>
      <c r="P303" t="s">
        <v>74</v>
      </c>
      <c r="Q303" t="s">
        <v>74</v>
      </c>
      <c r="R303" t="s">
        <v>74</v>
      </c>
      <c r="S303" t="s">
        <v>74</v>
      </c>
      <c r="T303" t="s">
        <v>6399</v>
      </c>
      <c r="U303" t="s">
        <v>6400</v>
      </c>
      <c r="V303" t="s">
        <v>6401</v>
      </c>
      <c r="W303" t="s">
        <v>6402</v>
      </c>
      <c r="X303" t="s">
        <v>6403</v>
      </c>
      <c r="Y303" t="s">
        <v>6404</v>
      </c>
      <c r="Z303" t="s">
        <v>6405</v>
      </c>
      <c r="AA303" t="s">
        <v>6406</v>
      </c>
      <c r="AB303" t="s">
        <v>6407</v>
      </c>
      <c r="AC303" t="s">
        <v>6408</v>
      </c>
      <c r="AD303" t="s">
        <v>6409</v>
      </c>
      <c r="AE303" t="s">
        <v>6408</v>
      </c>
      <c r="AF303" t="s">
        <v>74</v>
      </c>
      <c r="AG303">
        <v>89</v>
      </c>
      <c r="AH303">
        <v>10</v>
      </c>
      <c r="AI303">
        <v>11</v>
      </c>
      <c r="AJ303">
        <v>2</v>
      </c>
      <c r="AK303">
        <v>21</v>
      </c>
      <c r="AL303" t="s">
        <v>219</v>
      </c>
      <c r="AM303" t="s">
        <v>220</v>
      </c>
      <c r="AN303" t="s">
        <v>221</v>
      </c>
      <c r="AO303" t="s">
        <v>717</v>
      </c>
      <c r="AP303" t="s">
        <v>74</v>
      </c>
      <c r="AQ303" t="s">
        <v>74</v>
      </c>
      <c r="AR303" t="s">
        <v>718</v>
      </c>
      <c r="AS303" t="s">
        <v>719</v>
      </c>
      <c r="AT303" t="s">
        <v>1212</v>
      </c>
      <c r="AU303">
        <v>2020</v>
      </c>
      <c r="AV303">
        <v>10</v>
      </c>
      <c r="AW303">
        <v>21</v>
      </c>
      <c r="AX303" t="s">
        <v>74</v>
      </c>
      <c r="AY303" t="s">
        <v>74</v>
      </c>
      <c r="AZ303" t="s">
        <v>74</v>
      </c>
      <c r="BA303" t="s">
        <v>74</v>
      </c>
      <c r="BB303">
        <v>12264</v>
      </c>
      <c r="BC303">
        <v>12276</v>
      </c>
      <c r="BD303" t="s">
        <v>74</v>
      </c>
      <c r="BE303" t="s">
        <v>6410</v>
      </c>
      <c r="BF303" t="str">
        <f>HYPERLINK("http://dx.doi.org/10.1002/ece3.6856","http://dx.doi.org/10.1002/ece3.6856")</f>
        <v>http://dx.doi.org/10.1002/ece3.6856</v>
      </c>
      <c r="BG303" t="s">
        <v>74</v>
      </c>
      <c r="BH303" t="s">
        <v>3429</v>
      </c>
      <c r="BI303">
        <v>13</v>
      </c>
      <c r="BJ303" t="s">
        <v>722</v>
      </c>
      <c r="BK303" t="s">
        <v>100</v>
      </c>
      <c r="BL303" t="s">
        <v>723</v>
      </c>
      <c r="BM303" t="s">
        <v>6411</v>
      </c>
      <c r="BN303">
        <v>33209286</v>
      </c>
      <c r="BO303" t="s">
        <v>332</v>
      </c>
      <c r="BP303" t="s">
        <v>74</v>
      </c>
      <c r="BQ303" t="s">
        <v>74</v>
      </c>
      <c r="BR303" t="s">
        <v>104</v>
      </c>
      <c r="BS303" t="s">
        <v>6412</v>
      </c>
      <c r="BT303" t="str">
        <f>HYPERLINK("https%3A%2F%2Fwww.webofscience.com%2Fwos%2Fwoscc%2Ffull-record%2FWOS:000574544400001","View Full Record in Web of Science")</f>
        <v>View Full Record in Web of Science</v>
      </c>
    </row>
    <row r="304" spans="1:72" x14ac:dyDescent="0.15">
      <c r="A304" t="s">
        <v>72</v>
      </c>
      <c r="B304" t="s">
        <v>6413</v>
      </c>
      <c r="C304" t="s">
        <v>74</v>
      </c>
      <c r="D304" t="s">
        <v>74</v>
      </c>
      <c r="E304" t="s">
        <v>74</v>
      </c>
      <c r="F304" t="s">
        <v>6414</v>
      </c>
      <c r="G304" t="s">
        <v>74</v>
      </c>
      <c r="H304" t="s">
        <v>74</v>
      </c>
      <c r="I304" t="s">
        <v>6415</v>
      </c>
      <c r="J304" t="s">
        <v>1170</v>
      </c>
      <c r="K304" t="s">
        <v>74</v>
      </c>
      <c r="L304" t="s">
        <v>74</v>
      </c>
      <c r="M304" t="s">
        <v>78</v>
      </c>
      <c r="N304" t="s">
        <v>79</v>
      </c>
      <c r="O304" t="s">
        <v>74</v>
      </c>
      <c r="P304" t="s">
        <v>74</v>
      </c>
      <c r="Q304" t="s">
        <v>74</v>
      </c>
      <c r="R304" t="s">
        <v>74</v>
      </c>
      <c r="S304" t="s">
        <v>74</v>
      </c>
      <c r="T304" t="s">
        <v>6416</v>
      </c>
      <c r="U304" t="s">
        <v>6417</v>
      </c>
      <c r="V304" t="s">
        <v>6418</v>
      </c>
      <c r="W304" t="s">
        <v>6419</v>
      </c>
      <c r="X304" t="s">
        <v>6420</v>
      </c>
      <c r="Y304" t="s">
        <v>6421</v>
      </c>
      <c r="Z304" t="s">
        <v>6422</v>
      </c>
      <c r="AA304" t="s">
        <v>74</v>
      </c>
      <c r="AB304" t="s">
        <v>6423</v>
      </c>
      <c r="AC304" t="s">
        <v>6424</v>
      </c>
      <c r="AD304" t="s">
        <v>6425</v>
      </c>
      <c r="AE304" t="s">
        <v>6426</v>
      </c>
      <c r="AF304" t="s">
        <v>74</v>
      </c>
      <c r="AG304">
        <v>40</v>
      </c>
      <c r="AH304">
        <v>0</v>
      </c>
      <c r="AI304">
        <v>0</v>
      </c>
      <c r="AJ304">
        <v>1</v>
      </c>
      <c r="AK304">
        <v>5</v>
      </c>
      <c r="AL304" t="s">
        <v>219</v>
      </c>
      <c r="AM304" t="s">
        <v>220</v>
      </c>
      <c r="AN304" t="s">
        <v>221</v>
      </c>
      <c r="AO304" t="s">
        <v>1181</v>
      </c>
      <c r="AP304" t="s">
        <v>1182</v>
      </c>
      <c r="AQ304" t="s">
        <v>74</v>
      </c>
      <c r="AR304" t="s">
        <v>1183</v>
      </c>
      <c r="AS304" t="s">
        <v>1184</v>
      </c>
      <c r="AT304" t="s">
        <v>437</v>
      </c>
      <c r="AU304">
        <v>2021</v>
      </c>
      <c r="AV304">
        <v>37</v>
      </c>
      <c r="AW304">
        <v>2</v>
      </c>
      <c r="AX304" t="s">
        <v>74</v>
      </c>
      <c r="AY304" t="s">
        <v>74</v>
      </c>
      <c r="AZ304" t="s">
        <v>74</v>
      </c>
      <c r="BA304" t="s">
        <v>74</v>
      </c>
      <c r="BB304">
        <v>385</v>
      </c>
      <c r="BC304">
        <v>398</v>
      </c>
      <c r="BD304" t="s">
        <v>74</v>
      </c>
      <c r="BE304" t="s">
        <v>6427</v>
      </c>
      <c r="BF304" t="str">
        <f>HYPERLINK("http://dx.doi.org/10.1111/mms.12749","http://dx.doi.org/10.1111/mms.12749")</f>
        <v>http://dx.doi.org/10.1111/mms.12749</v>
      </c>
      <c r="BG304" t="s">
        <v>74</v>
      </c>
      <c r="BH304" t="s">
        <v>3429</v>
      </c>
      <c r="BI304">
        <v>14</v>
      </c>
      <c r="BJ304" t="s">
        <v>1186</v>
      </c>
      <c r="BK304" t="s">
        <v>100</v>
      </c>
      <c r="BL304" t="s">
        <v>1186</v>
      </c>
      <c r="BM304" t="s">
        <v>1187</v>
      </c>
      <c r="BN304" t="s">
        <v>74</v>
      </c>
      <c r="BO304" t="s">
        <v>74</v>
      </c>
      <c r="BP304" t="s">
        <v>74</v>
      </c>
      <c r="BQ304" t="s">
        <v>74</v>
      </c>
      <c r="BR304" t="s">
        <v>104</v>
      </c>
      <c r="BS304" t="s">
        <v>6428</v>
      </c>
      <c r="BT304" t="str">
        <f>HYPERLINK("https%3A%2F%2Fwww.webofscience.com%2Fwos%2Fwoscc%2Ffull-record%2FWOS:000574709100001","View Full Record in Web of Science")</f>
        <v>View Full Record in Web of Science</v>
      </c>
    </row>
    <row r="305" spans="1:72" x14ac:dyDescent="0.15">
      <c r="A305" t="s">
        <v>72</v>
      </c>
      <c r="B305" t="s">
        <v>6429</v>
      </c>
      <c r="C305" t="s">
        <v>74</v>
      </c>
      <c r="D305" t="s">
        <v>74</v>
      </c>
      <c r="E305" t="s">
        <v>74</v>
      </c>
      <c r="F305" t="s">
        <v>6430</v>
      </c>
      <c r="G305" t="s">
        <v>74</v>
      </c>
      <c r="H305" t="s">
        <v>74</v>
      </c>
      <c r="I305" t="s">
        <v>6431</v>
      </c>
      <c r="J305" t="s">
        <v>77</v>
      </c>
      <c r="K305" t="s">
        <v>74</v>
      </c>
      <c r="L305" t="s">
        <v>74</v>
      </c>
      <c r="M305" t="s">
        <v>78</v>
      </c>
      <c r="N305" t="s">
        <v>79</v>
      </c>
      <c r="O305" t="s">
        <v>74</v>
      </c>
      <c r="P305" t="s">
        <v>74</v>
      </c>
      <c r="Q305" t="s">
        <v>74</v>
      </c>
      <c r="R305" t="s">
        <v>74</v>
      </c>
      <c r="S305" t="s">
        <v>74</v>
      </c>
      <c r="T305" t="s">
        <v>74</v>
      </c>
      <c r="U305" t="s">
        <v>6432</v>
      </c>
      <c r="V305" t="s">
        <v>6433</v>
      </c>
      <c r="W305" t="s">
        <v>6434</v>
      </c>
      <c r="X305" t="s">
        <v>6435</v>
      </c>
      <c r="Y305" t="s">
        <v>6436</v>
      </c>
      <c r="Z305" t="s">
        <v>6437</v>
      </c>
      <c r="AA305" t="s">
        <v>6438</v>
      </c>
      <c r="AB305" t="s">
        <v>6439</v>
      </c>
      <c r="AC305" t="s">
        <v>6440</v>
      </c>
      <c r="AD305" t="s">
        <v>6441</v>
      </c>
      <c r="AE305" t="s">
        <v>6442</v>
      </c>
      <c r="AF305" t="s">
        <v>74</v>
      </c>
      <c r="AG305">
        <v>77</v>
      </c>
      <c r="AH305">
        <v>6</v>
      </c>
      <c r="AI305">
        <v>6</v>
      </c>
      <c r="AJ305">
        <v>1</v>
      </c>
      <c r="AK305">
        <v>8</v>
      </c>
      <c r="AL305" t="s">
        <v>91</v>
      </c>
      <c r="AM305" t="s">
        <v>92</v>
      </c>
      <c r="AN305" t="s">
        <v>93</v>
      </c>
      <c r="AO305" t="s">
        <v>94</v>
      </c>
      <c r="AP305" t="s">
        <v>95</v>
      </c>
      <c r="AQ305" t="s">
        <v>74</v>
      </c>
      <c r="AR305" t="s">
        <v>77</v>
      </c>
      <c r="AS305" t="s">
        <v>96</v>
      </c>
      <c r="AT305" t="s">
        <v>6443</v>
      </c>
      <c r="AU305">
        <v>2020</v>
      </c>
      <c r="AV305">
        <v>14</v>
      </c>
      <c r="AW305">
        <v>10</v>
      </c>
      <c r="AX305" t="s">
        <v>74</v>
      </c>
      <c r="AY305" t="s">
        <v>74</v>
      </c>
      <c r="AZ305" t="s">
        <v>74</v>
      </c>
      <c r="BA305" t="s">
        <v>74</v>
      </c>
      <c r="BB305">
        <v>3287</v>
      </c>
      <c r="BC305">
        <v>3308</v>
      </c>
      <c r="BD305" t="s">
        <v>74</v>
      </c>
      <c r="BE305" t="s">
        <v>6444</v>
      </c>
      <c r="BF305" t="str">
        <f>HYPERLINK("http://dx.doi.org/10.5194/tc-14-3287-2020","http://dx.doi.org/10.5194/tc-14-3287-2020")</f>
        <v>http://dx.doi.org/10.5194/tc-14-3287-2020</v>
      </c>
      <c r="BG305" t="s">
        <v>74</v>
      </c>
      <c r="BH305" t="s">
        <v>74</v>
      </c>
      <c r="BI305">
        <v>22</v>
      </c>
      <c r="BJ305" t="s">
        <v>99</v>
      </c>
      <c r="BK305" t="s">
        <v>100</v>
      </c>
      <c r="BL305" t="s">
        <v>101</v>
      </c>
      <c r="BM305" t="s">
        <v>6445</v>
      </c>
      <c r="BN305" t="s">
        <v>74</v>
      </c>
      <c r="BO305" t="s">
        <v>350</v>
      </c>
      <c r="BP305" t="s">
        <v>74</v>
      </c>
      <c r="BQ305" t="s">
        <v>74</v>
      </c>
      <c r="BR305" t="s">
        <v>104</v>
      </c>
      <c r="BS305" t="s">
        <v>6446</v>
      </c>
      <c r="BT305" t="str">
        <f>HYPERLINK("https%3A%2F%2Fwww.webofscience.com%2Fwos%2Fwoscc%2Ffull-record%2FWOS:000577143300003","View Full Record in Web of Science")</f>
        <v>View Full Record in Web of Science</v>
      </c>
    </row>
    <row r="306" spans="1:72" x14ac:dyDescent="0.15">
      <c r="A306" t="s">
        <v>72</v>
      </c>
      <c r="B306" t="s">
        <v>6447</v>
      </c>
      <c r="C306" t="s">
        <v>74</v>
      </c>
      <c r="D306" t="s">
        <v>74</v>
      </c>
      <c r="E306" t="s">
        <v>74</v>
      </c>
      <c r="F306" t="s">
        <v>6448</v>
      </c>
      <c r="G306" t="s">
        <v>74</v>
      </c>
      <c r="H306" t="s">
        <v>74</v>
      </c>
      <c r="I306" t="s">
        <v>6449</v>
      </c>
      <c r="J306" t="s">
        <v>6291</v>
      </c>
      <c r="K306" t="s">
        <v>74</v>
      </c>
      <c r="L306" t="s">
        <v>74</v>
      </c>
      <c r="M306" t="s">
        <v>78</v>
      </c>
      <c r="N306" t="s">
        <v>79</v>
      </c>
      <c r="O306" t="s">
        <v>74</v>
      </c>
      <c r="P306" t="s">
        <v>74</v>
      </c>
      <c r="Q306" t="s">
        <v>74</v>
      </c>
      <c r="R306" t="s">
        <v>74</v>
      </c>
      <c r="S306" t="s">
        <v>74</v>
      </c>
      <c r="T306" t="s">
        <v>74</v>
      </c>
      <c r="U306" t="s">
        <v>6450</v>
      </c>
      <c r="V306" t="s">
        <v>6451</v>
      </c>
      <c r="W306" t="s">
        <v>6452</v>
      </c>
      <c r="X306" t="s">
        <v>6453</v>
      </c>
      <c r="Y306" t="s">
        <v>6454</v>
      </c>
      <c r="Z306" t="s">
        <v>6455</v>
      </c>
      <c r="AA306" t="s">
        <v>6456</v>
      </c>
      <c r="AB306" t="s">
        <v>6457</v>
      </c>
      <c r="AC306" t="s">
        <v>6458</v>
      </c>
      <c r="AD306" t="s">
        <v>6459</v>
      </c>
      <c r="AE306" t="s">
        <v>6460</v>
      </c>
      <c r="AF306" t="s">
        <v>74</v>
      </c>
      <c r="AG306">
        <v>84</v>
      </c>
      <c r="AH306">
        <v>15</v>
      </c>
      <c r="AI306">
        <v>16</v>
      </c>
      <c r="AJ306">
        <v>2</v>
      </c>
      <c r="AK306">
        <v>15</v>
      </c>
      <c r="AL306" t="s">
        <v>91</v>
      </c>
      <c r="AM306" t="s">
        <v>92</v>
      </c>
      <c r="AN306" t="s">
        <v>93</v>
      </c>
      <c r="AO306" t="s">
        <v>6303</v>
      </c>
      <c r="AP306" t="s">
        <v>6304</v>
      </c>
      <c r="AQ306" t="s">
        <v>74</v>
      </c>
      <c r="AR306" t="s">
        <v>6305</v>
      </c>
      <c r="AS306" t="s">
        <v>6306</v>
      </c>
      <c r="AT306" t="s">
        <v>6443</v>
      </c>
      <c r="AU306">
        <v>2020</v>
      </c>
      <c r="AV306">
        <v>13</v>
      </c>
      <c r="AW306">
        <v>10</v>
      </c>
      <c r="AX306" t="s">
        <v>74</v>
      </c>
      <c r="AY306" t="s">
        <v>74</v>
      </c>
      <c r="AZ306" t="s">
        <v>74</v>
      </c>
      <c r="BA306" t="s">
        <v>74</v>
      </c>
      <c r="BB306">
        <v>4663</v>
      </c>
      <c r="BC306">
        <v>4690</v>
      </c>
      <c r="BD306" t="s">
        <v>74</v>
      </c>
      <c r="BE306" t="s">
        <v>6461</v>
      </c>
      <c r="BF306" t="str">
        <f>HYPERLINK("http://dx.doi.org/10.5194/gmd-13-4663-2020","http://dx.doi.org/10.5194/gmd-13-4663-2020")</f>
        <v>http://dx.doi.org/10.5194/gmd-13-4663-2020</v>
      </c>
      <c r="BG306" t="s">
        <v>74</v>
      </c>
      <c r="BH306" t="s">
        <v>74</v>
      </c>
      <c r="BI306">
        <v>28</v>
      </c>
      <c r="BJ306" t="s">
        <v>534</v>
      </c>
      <c r="BK306" t="s">
        <v>100</v>
      </c>
      <c r="BL306" t="s">
        <v>535</v>
      </c>
      <c r="BM306" t="s">
        <v>6462</v>
      </c>
      <c r="BN306" t="s">
        <v>74</v>
      </c>
      <c r="BO306" t="s">
        <v>2486</v>
      </c>
      <c r="BP306" t="s">
        <v>74</v>
      </c>
      <c r="BQ306" t="s">
        <v>74</v>
      </c>
      <c r="BR306" t="s">
        <v>104</v>
      </c>
      <c r="BS306" t="s">
        <v>6463</v>
      </c>
      <c r="BT306" t="str">
        <f>HYPERLINK("https%3A%2F%2Fwww.webofscience.com%2Fwos%2Fwoscc%2Ffull-record%2FWOS:000577142700001","View Full Record in Web of Science")</f>
        <v>View Full Record in Web of Science</v>
      </c>
    </row>
    <row r="307" spans="1:72" x14ac:dyDescent="0.15">
      <c r="A307" t="s">
        <v>72</v>
      </c>
      <c r="B307" t="s">
        <v>6464</v>
      </c>
      <c r="C307" t="s">
        <v>74</v>
      </c>
      <c r="D307" t="s">
        <v>74</v>
      </c>
      <c r="E307" t="s">
        <v>74</v>
      </c>
      <c r="F307" t="s">
        <v>6465</v>
      </c>
      <c r="G307" t="s">
        <v>74</v>
      </c>
      <c r="H307" t="s">
        <v>74</v>
      </c>
      <c r="I307" t="s">
        <v>6466</v>
      </c>
      <c r="J307" t="s">
        <v>4372</v>
      </c>
      <c r="K307" t="s">
        <v>74</v>
      </c>
      <c r="L307" t="s">
        <v>74</v>
      </c>
      <c r="M307" t="s">
        <v>78</v>
      </c>
      <c r="N307" t="s">
        <v>79</v>
      </c>
      <c r="O307" t="s">
        <v>74</v>
      </c>
      <c r="P307" t="s">
        <v>74</v>
      </c>
      <c r="Q307" t="s">
        <v>74</v>
      </c>
      <c r="R307" t="s">
        <v>74</v>
      </c>
      <c r="S307" t="s">
        <v>74</v>
      </c>
      <c r="T307" t="s">
        <v>6467</v>
      </c>
      <c r="U307" t="s">
        <v>6468</v>
      </c>
      <c r="V307" t="s">
        <v>6469</v>
      </c>
      <c r="W307" t="s">
        <v>6470</v>
      </c>
      <c r="X307" t="s">
        <v>6471</v>
      </c>
      <c r="Y307" t="s">
        <v>6472</v>
      </c>
      <c r="Z307" t="s">
        <v>6473</v>
      </c>
      <c r="AA307" t="s">
        <v>6474</v>
      </c>
      <c r="AB307" t="s">
        <v>6475</v>
      </c>
      <c r="AC307" t="s">
        <v>6476</v>
      </c>
      <c r="AD307" t="s">
        <v>6477</v>
      </c>
      <c r="AE307" t="s">
        <v>6478</v>
      </c>
      <c r="AF307" t="s">
        <v>74</v>
      </c>
      <c r="AG307">
        <v>88</v>
      </c>
      <c r="AH307">
        <v>11</v>
      </c>
      <c r="AI307">
        <v>12</v>
      </c>
      <c r="AJ307">
        <v>2</v>
      </c>
      <c r="AK307">
        <v>28</v>
      </c>
      <c r="AL307" t="s">
        <v>482</v>
      </c>
      <c r="AM307" t="s">
        <v>554</v>
      </c>
      <c r="AN307" t="s">
        <v>555</v>
      </c>
      <c r="AO307" t="s">
        <v>4383</v>
      </c>
      <c r="AP307" t="s">
        <v>4384</v>
      </c>
      <c r="AQ307" t="s">
        <v>74</v>
      </c>
      <c r="AR307" t="s">
        <v>4385</v>
      </c>
      <c r="AS307" t="s">
        <v>4386</v>
      </c>
      <c r="AT307" t="s">
        <v>6443</v>
      </c>
      <c r="AU307">
        <v>2020</v>
      </c>
      <c r="AV307">
        <v>192</v>
      </c>
      <c r="AW307">
        <v>11</v>
      </c>
      <c r="AX307" t="s">
        <v>74</v>
      </c>
      <c r="AY307" t="s">
        <v>74</v>
      </c>
      <c r="AZ307" t="s">
        <v>74</v>
      </c>
      <c r="BA307" t="s">
        <v>74</v>
      </c>
      <c r="BB307" t="s">
        <v>74</v>
      </c>
      <c r="BC307" t="s">
        <v>74</v>
      </c>
      <c r="BD307">
        <v>670</v>
      </c>
      <c r="BE307" t="s">
        <v>6479</v>
      </c>
      <c r="BF307" t="str">
        <f>HYPERLINK("http://dx.doi.org/10.1007/s10661-020-08618-2","http://dx.doi.org/10.1007/s10661-020-08618-2")</f>
        <v>http://dx.doi.org/10.1007/s10661-020-08618-2</v>
      </c>
      <c r="BG307" t="s">
        <v>74</v>
      </c>
      <c r="BH307" t="s">
        <v>74</v>
      </c>
      <c r="BI307">
        <v>22</v>
      </c>
      <c r="BJ307" t="s">
        <v>283</v>
      </c>
      <c r="BK307" t="s">
        <v>100</v>
      </c>
      <c r="BL307" t="s">
        <v>284</v>
      </c>
      <c r="BM307" t="s">
        <v>6480</v>
      </c>
      <c r="BN307">
        <v>33009644</v>
      </c>
      <c r="BO307" t="s">
        <v>74</v>
      </c>
      <c r="BP307" t="s">
        <v>74</v>
      </c>
      <c r="BQ307" t="s">
        <v>74</v>
      </c>
      <c r="BR307" t="s">
        <v>104</v>
      </c>
      <c r="BS307" t="s">
        <v>6481</v>
      </c>
      <c r="BT307" t="str">
        <f>HYPERLINK("https%3A%2F%2Fwww.webofscience.com%2Fwos%2Fwoscc%2Ffull-record%2FWOS:000576890200002","View Full Record in Web of Science")</f>
        <v>View Full Record in Web of Science</v>
      </c>
    </row>
    <row r="308" spans="1:72" x14ac:dyDescent="0.15">
      <c r="A308" t="s">
        <v>72</v>
      </c>
      <c r="B308" t="s">
        <v>6482</v>
      </c>
      <c r="C308" t="s">
        <v>74</v>
      </c>
      <c r="D308" t="s">
        <v>74</v>
      </c>
      <c r="E308" t="s">
        <v>74</v>
      </c>
      <c r="F308" t="s">
        <v>6483</v>
      </c>
      <c r="G308" t="s">
        <v>74</v>
      </c>
      <c r="H308" t="s">
        <v>74</v>
      </c>
      <c r="I308" t="s">
        <v>6484</v>
      </c>
      <c r="J308" t="s">
        <v>6485</v>
      </c>
      <c r="K308" t="s">
        <v>74</v>
      </c>
      <c r="L308" t="s">
        <v>74</v>
      </c>
      <c r="M308" t="s">
        <v>78</v>
      </c>
      <c r="N308" t="s">
        <v>6486</v>
      </c>
      <c r="O308" t="s">
        <v>6487</v>
      </c>
      <c r="P308" t="s">
        <v>6488</v>
      </c>
      <c r="Q308" t="s">
        <v>6489</v>
      </c>
      <c r="R308" t="s">
        <v>74</v>
      </c>
      <c r="S308" t="s">
        <v>74</v>
      </c>
      <c r="T308" t="s">
        <v>6490</v>
      </c>
      <c r="U308" t="s">
        <v>6491</v>
      </c>
      <c r="V308" t="s">
        <v>6492</v>
      </c>
      <c r="W308" t="s">
        <v>6493</v>
      </c>
      <c r="X308" t="s">
        <v>6494</v>
      </c>
      <c r="Y308" t="s">
        <v>6495</v>
      </c>
      <c r="Z308" t="s">
        <v>6496</v>
      </c>
      <c r="AA308" t="s">
        <v>6497</v>
      </c>
      <c r="AB308" t="s">
        <v>6498</v>
      </c>
      <c r="AC308" t="s">
        <v>6499</v>
      </c>
      <c r="AD308" t="s">
        <v>6500</v>
      </c>
      <c r="AE308" t="s">
        <v>6501</v>
      </c>
      <c r="AF308" t="s">
        <v>74</v>
      </c>
      <c r="AG308">
        <v>64</v>
      </c>
      <c r="AH308">
        <v>12</v>
      </c>
      <c r="AI308">
        <v>13</v>
      </c>
      <c r="AJ308">
        <v>1</v>
      </c>
      <c r="AK308">
        <v>13</v>
      </c>
      <c r="AL308" t="s">
        <v>1522</v>
      </c>
      <c r="AM308" t="s">
        <v>1407</v>
      </c>
      <c r="AN308" t="s">
        <v>1523</v>
      </c>
      <c r="AO308" t="s">
        <v>6502</v>
      </c>
      <c r="AP308" t="s">
        <v>6503</v>
      </c>
      <c r="AQ308" t="s">
        <v>74</v>
      </c>
      <c r="AR308" t="s">
        <v>6504</v>
      </c>
      <c r="AS308" t="s">
        <v>6505</v>
      </c>
      <c r="AT308" t="s">
        <v>6443</v>
      </c>
      <c r="AU308">
        <v>2020</v>
      </c>
      <c r="AV308">
        <v>45</v>
      </c>
      <c r="AW308">
        <v>49</v>
      </c>
      <c r="AX308" t="s">
        <v>74</v>
      </c>
      <c r="AY308" t="s">
        <v>74</v>
      </c>
      <c r="AZ308" t="s">
        <v>489</v>
      </c>
      <c r="BA308" t="s">
        <v>74</v>
      </c>
      <c r="BB308">
        <v>26179</v>
      </c>
      <c r="BC308">
        <v>26187</v>
      </c>
      <c r="BD308" t="s">
        <v>74</v>
      </c>
      <c r="BE308" t="s">
        <v>6506</v>
      </c>
      <c r="BF308" t="str">
        <f>HYPERLINK("http://dx.doi.org/10.1016/j.ijhydene.2020.02.105","http://dx.doi.org/10.1016/j.ijhydene.2020.02.105")</f>
        <v>http://dx.doi.org/10.1016/j.ijhydene.2020.02.105</v>
      </c>
      <c r="BG308" t="s">
        <v>74</v>
      </c>
      <c r="BH308" t="s">
        <v>74</v>
      </c>
      <c r="BI308">
        <v>9</v>
      </c>
      <c r="BJ308" t="s">
        <v>6507</v>
      </c>
      <c r="BK308" t="s">
        <v>6508</v>
      </c>
      <c r="BL308" t="s">
        <v>6509</v>
      </c>
      <c r="BM308" t="s">
        <v>6510</v>
      </c>
      <c r="BN308" t="s">
        <v>74</v>
      </c>
      <c r="BO308" t="s">
        <v>74</v>
      </c>
      <c r="BP308" t="s">
        <v>74</v>
      </c>
      <c r="BQ308" t="s">
        <v>74</v>
      </c>
      <c r="BR308" t="s">
        <v>104</v>
      </c>
      <c r="BS308" t="s">
        <v>6511</v>
      </c>
      <c r="BT308" t="str">
        <f>HYPERLINK("https%3A%2F%2Fwww.webofscience.com%2Fwos%2Fwoscc%2Ffull-record%2FWOS:000573610100014","View Full Record in Web of Science")</f>
        <v>View Full Record in Web of Science</v>
      </c>
    </row>
    <row r="309" spans="1:72" x14ac:dyDescent="0.15">
      <c r="A309" t="s">
        <v>72</v>
      </c>
      <c r="B309" t="s">
        <v>6512</v>
      </c>
      <c r="C309" t="s">
        <v>74</v>
      </c>
      <c r="D309" t="s">
        <v>74</v>
      </c>
      <c r="E309" t="s">
        <v>74</v>
      </c>
      <c r="F309" t="s">
        <v>6513</v>
      </c>
      <c r="G309" t="s">
        <v>74</v>
      </c>
      <c r="H309" t="s">
        <v>74</v>
      </c>
      <c r="I309" t="s">
        <v>6514</v>
      </c>
      <c r="J309" t="s">
        <v>6515</v>
      </c>
      <c r="K309" t="s">
        <v>74</v>
      </c>
      <c r="L309" t="s">
        <v>74</v>
      </c>
      <c r="M309" t="s">
        <v>78</v>
      </c>
      <c r="N309" t="s">
        <v>79</v>
      </c>
      <c r="O309" t="s">
        <v>74</v>
      </c>
      <c r="P309" t="s">
        <v>74</v>
      </c>
      <c r="Q309" t="s">
        <v>74</v>
      </c>
      <c r="R309" t="s">
        <v>74</v>
      </c>
      <c r="S309" t="s">
        <v>74</v>
      </c>
      <c r="T309" t="s">
        <v>6516</v>
      </c>
      <c r="U309" t="s">
        <v>6517</v>
      </c>
      <c r="V309" t="s">
        <v>6518</v>
      </c>
      <c r="W309" t="s">
        <v>6519</v>
      </c>
      <c r="X309" t="s">
        <v>6520</v>
      </c>
      <c r="Y309" t="s">
        <v>6521</v>
      </c>
      <c r="Z309" t="s">
        <v>6522</v>
      </c>
      <c r="AA309" t="s">
        <v>6523</v>
      </c>
      <c r="AB309" t="s">
        <v>6524</v>
      </c>
      <c r="AC309" t="s">
        <v>6525</v>
      </c>
      <c r="AD309" t="s">
        <v>6526</v>
      </c>
      <c r="AE309" t="s">
        <v>6527</v>
      </c>
      <c r="AF309" t="s">
        <v>74</v>
      </c>
      <c r="AG309">
        <v>53</v>
      </c>
      <c r="AH309">
        <v>15</v>
      </c>
      <c r="AI309">
        <v>15</v>
      </c>
      <c r="AJ309">
        <v>2</v>
      </c>
      <c r="AK309">
        <v>13</v>
      </c>
      <c r="AL309" t="s">
        <v>122</v>
      </c>
      <c r="AM309" t="s">
        <v>123</v>
      </c>
      <c r="AN309" t="s">
        <v>124</v>
      </c>
      <c r="AO309" t="s">
        <v>6528</v>
      </c>
      <c r="AP309" t="s">
        <v>6529</v>
      </c>
      <c r="AQ309" t="s">
        <v>74</v>
      </c>
      <c r="AR309" t="s">
        <v>6530</v>
      </c>
      <c r="AS309" t="s">
        <v>6531</v>
      </c>
      <c r="AT309" t="s">
        <v>6443</v>
      </c>
      <c r="AU309">
        <v>2020</v>
      </c>
      <c r="AV309">
        <v>378</v>
      </c>
      <c r="AW309">
        <v>2181</v>
      </c>
      <c r="AX309" t="s">
        <v>74</v>
      </c>
      <c r="AY309" t="s">
        <v>74</v>
      </c>
      <c r="AZ309" t="s">
        <v>74</v>
      </c>
      <c r="BA309" t="s">
        <v>74</v>
      </c>
      <c r="BB309" t="s">
        <v>74</v>
      </c>
      <c r="BC309" t="s">
        <v>74</v>
      </c>
      <c r="BD309">
        <v>20190362</v>
      </c>
      <c r="BE309" t="s">
        <v>6532</v>
      </c>
      <c r="BF309" t="str">
        <f>HYPERLINK("http://dx.doi.org/10.1098/rsta.2019.0362","http://dx.doi.org/10.1098/rsta.2019.0362")</f>
        <v>http://dx.doi.org/10.1098/rsta.2019.0362</v>
      </c>
      <c r="BG309" t="s">
        <v>74</v>
      </c>
      <c r="BH309" t="s">
        <v>74</v>
      </c>
      <c r="BI309">
        <v>18</v>
      </c>
      <c r="BJ309" t="s">
        <v>329</v>
      </c>
      <c r="BK309" t="s">
        <v>100</v>
      </c>
      <c r="BL309" t="s">
        <v>330</v>
      </c>
      <c r="BM309" t="s">
        <v>6533</v>
      </c>
      <c r="BN309">
        <v>32862809</v>
      </c>
      <c r="BO309" t="s">
        <v>1919</v>
      </c>
      <c r="BP309" t="s">
        <v>74</v>
      </c>
      <c r="BQ309" t="s">
        <v>74</v>
      </c>
      <c r="BR309" t="s">
        <v>104</v>
      </c>
      <c r="BS309" t="s">
        <v>6534</v>
      </c>
      <c r="BT309" t="str">
        <f>HYPERLINK("https%3A%2F%2Fwww.webofscience.com%2Fwos%2Fwoscc%2Ffull-record%2FWOS:000567547600010","View Full Record in Web of Science")</f>
        <v>View Full Record in Web of Science</v>
      </c>
    </row>
    <row r="310" spans="1:72" x14ac:dyDescent="0.15">
      <c r="A310" t="s">
        <v>72</v>
      </c>
      <c r="B310" t="s">
        <v>6535</v>
      </c>
      <c r="C310" t="s">
        <v>74</v>
      </c>
      <c r="D310" t="s">
        <v>74</v>
      </c>
      <c r="E310" t="s">
        <v>74</v>
      </c>
      <c r="F310" t="s">
        <v>6536</v>
      </c>
      <c r="G310" t="s">
        <v>74</v>
      </c>
      <c r="H310" t="s">
        <v>74</v>
      </c>
      <c r="I310" t="s">
        <v>6537</v>
      </c>
      <c r="J310" t="s">
        <v>6515</v>
      </c>
      <c r="K310" t="s">
        <v>74</v>
      </c>
      <c r="L310" t="s">
        <v>74</v>
      </c>
      <c r="M310" t="s">
        <v>78</v>
      </c>
      <c r="N310" t="s">
        <v>2761</v>
      </c>
      <c r="O310" t="s">
        <v>74</v>
      </c>
      <c r="P310" t="s">
        <v>74</v>
      </c>
      <c r="Q310" t="s">
        <v>74</v>
      </c>
      <c r="R310" t="s">
        <v>74</v>
      </c>
      <c r="S310" t="s">
        <v>74</v>
      </c>
      <c r="T310" t="s">
        <v>74</v>
      </c>
      <c r="U310" t="s">
        <v>74</v>
      </c>
      <c r="V310" t="s">
        <v>74</v>
      </c>
      <c r="W310" t="s">
        <v>74</v>
      </c>
      <c r="X310" t="s">
        <v>74</v>
      </c>
      <c r="Y310" t="s">
        <v>74</v>
      </c>
      <c r="Z310" t="s">
        <v>74</v>
      </c>
      <c r="AA310" t="s">
        <v>2896</v>
      </c>
      <c r="AB310" t="s">
        <v>74</v>
      </c>
      <c r="AC310" t="s">
        <v>74</v>
      </c>
      <c r="AD310" t="s">
        <v>74</v>
      </c>
      <c r="AE310" t="s">
        <v>74</v>
      </c>
      <c r="AF310" t="s">
        <v>74</v>
      </c>
      <c r="AG310">
        <v>1</v>
      </c>
      <c r="AH310">
        <v>0</v>
      </c>
      <c r="AI310">
        <v>0</v>
      </c>
      <c r="AJ310">
        <v>0</v>
      </c>
      <c r="AK310">
        <v>4</v>
      </c>
      <c r="AL310" t="s">
        <v>122</v>
      </c>
      <c r="AM310" t="s">
        <v>123</v>
      </c>
      <c r="AN310" t="s">
        <v>124</v>
      </c>
      <c r="AO310" t="s">
        <v>6528</v>
      </c>
      <c r="AP310" t="s">
        <v>6529</v>
      </c>
      <c r="AQ310" t="s">
        <v>74</v>
      </c>
      <c r="AR310" t="s">
        <v>6530</v>
      </c>
      <c r="AS310" t="s">
        <v>6531</v>
      </c>
      <c r="AT310" t="s">
        <v>6443</v>
      </c>
      <c r="AU310">
        <v>2020</v>
      </c>
      <c r="AV310">
        <v>378</v>
      </c>
      <c r="AW310">
        <v>2181</v>
      </c>
      <c r="AX310" t="s">
        <v>74</v>
      </c>
      <c r="AY310" t="s">
        <v>74</v>
      </c>
      <c r="AZ310" t="s">
        <v>74</v>
      </c>
      <c r="BA310" t="s">
        <v>74</v>
      </c>
      <c r="BB310" t="s">
        <v>74</v>
      </c>
      <c r="BC310" t="s">
        <v>74</v>
      </c>
      <c r="BD310">
        <v>20200281</v>
      </c>
      <c r="BE310" t="s">
        <v>6538</v>
      </c>
      <c r="BF310" t="str">
        <f>HYPERLINK("http://dx.doi.org/10.1098/rsta.2020.0281","http://dx.doi.org/10.1098/rsta.2020.0281")</f>
        <v>http://dx.doi.org/10.1098/rsta.2020.0281</v>
      </c>
      <c r="BG310" t="s">
        <v>74</v>
      </c>
      <c r="BH310" t="s">
        <v>74</v>
      </c>
      <c r="BI310">
        <v>1</v>
      </c>
      <c r="BJ310" t="s">
        <v>329</v>
      </c>
      <c r="BK310" t="s">
        <v>100</v>
      </c>
      <c r="BL310" t="s">
        <v>330</v>
      </c>
      <c r="BM310" t="s">
        <v>6533</v>
      </c>
      <c r="BN310">
        <v>32862807</v>
      </c>
      <c r="BO310" t="s">
        <v>775</v>
      </c>
      <c r="BP310" t="s">
        <v>74</v>
      </c>
      <c r="BQ310" t="s">
        <v>74</v>
      </c>
      <c r="BR310" t="s">
        <v>104</v>
      </c>
      <c r="BS310" t="s">
        <v>6539</v>
      </c>
      <c r="BT310" t="str">
        <f>HYPERLINK("https%3A%2F%2Fwww.webofscience.com%2Fwos%2Fwoscc%2Ffull-record%2FWOS:000567547600019","View Full Record in Web of Science")</f>
        <v>View Full Record in Web of Science</v>
      </c>
    </row>
    <row r="311" spans="1:72" x14ac:dyDescent="0.15">
      <c r="A311" t="s">
        <v>72</v>
      </c>
      <c r="B311" t="s">
        <v>6540</v>
      </c>
      <c r="C311" t="s">
        <v>74</v>
      </c>
      <c r="D311" t="s">
        <v>74</v>
      </c>
      <c r="E311" t="s">
        <v>74</v>
      </c>
      <c r="F311" t="s">
        <v>6541</v>
      </c>
      <c r="G311" t="s">
        <v>74</v>
      </c>
      <c r="H311" t="s">
        <v>74</v>
      </c>
      <c r="I311" t="s">
        <v>6542</v>
      </c>
      <c r="J311" t="s">
        <v>6543</v>
      </c>
      <c r="K311" t="s">
        <v>74</v>
      </c>
      <c r="L311" t="s">
        <v>74</v>
      </c>
      <c r="M311" t="s">
        <v>78</v>
      </c>
      <c r="N311" t="s">
        <v>79</v>
      </c>
      <c r="O311" t="s">
        <v>74</v>
      </c>
      <c r="P311" t="s">
        <v>74</v>
      </c>
      <c r="Q311" t="s">
        <v>74</v>
      </c>
      <c r="R311" t="s">
        <v>74</v>
      </c>
      <c r="S311" t="s">
        <v>74</v>
      </c>
      <c r="T311" t="s">
        <v>6544</v>
      </c>
      <c r="U311" t="s">
        <v>6545</v>
      </c>
      <c r="V311" t="s">
        <v>6546</v>
      </c>
      <c r="W311" t="s">
        <v>6547</v>
      </c>
      <c r="X311" t="s">
        <v>6548</v>
      </c>
      <c r="Y311" t="s">
        <v>6549</v>
      </c>
      <c r="Z311" t="s">
        <v>6550</v>
      </c>
      <c r="AA311" t="s">
        <v>6551</v>
      </c>
      <c r="AB311" t="s">
        <v>6552</v>
      </c>
      <c r="AC311" t="s">
        <v>6553</v>
      </c>
      <c r="AD311" t="s">
        <v>6554</v>
      </c>
      <c r="AE311" t="s">
        <v>6555</v>
      </c>
      <c r="AF311" t="s">
        <v>74</v>
      </c>
      <c r="AG311">
        <v>31</v>
      </c>
      <c r="AH311">
        <v>1</v>
      </c>
      <c r="AI311">
        <v>1</v>
      </c>
      <c r="AJ311">
        <v>0</v>
      </c>
      <c r="AK311">
        <v>3</v>
      </c>
      <c r="AL311" t="s">
        <v>275</v>
      </c>
      <c r="AM311" t="s">
        <v>276</v>
      </c>
      <c r="AN311" t="s">
        <v>277</v>
      </c>
      <c r="AO311" t="s">
        <v>74</v>
      </c>
      <c r="AP311" t="s">
        <v>6556</v>
      </c>
      <c r="AQ311" t="s">
        <v>74</v>
      </c>
      <c r="AR311" t="s">
        <v>6543</v>
      </c>
      <c r="AS311" t="s">
        <v>6557</v>
      </c>
      <c r="AT311" t="s">
        <v>6558</v>
      </c>
      <c r="AU311">
        <v>2020</v>
      </c>
      <c r="AV311">
        <v>8</v>
      </c>
      <c r="AW311" t="s">
        <v>74</v>
      </c>
      <c r="AX311" t="s">
        <v>74</v>
      </c>
      <c r="AY311" t="s">
        <v>74</v>
      </c>
      <c r="AZ311" t="s">
        <v>74</v>
      </c>
      <c r="BA311" t="s">
        <v>74</v>
      </c>
      <c r="BB311" t="s">
        <v>74</v>
      </c>
      <c r="BC311" t="s">
        <v>74</v>
      </c>
      <c r="BD311" t="s">
        <v>6559</v>
      </c>
      <c r="BE311" t="s">
        <v>6560</v>
      </c>
      <c r="BF311" t="str">
        <f>HYPERLINK("http://dx.doi.org/10.1016/j.ohx.2020.e00134","http://dx.doi.org/10.1016/j.ohx.2020.e00134")</f>
        <v>http://dx.doi.org/10.1016/j.ohx.2020.e00134</v>
      </c>
      <c r="BG311" t="s">
        <v>74</v>
      </c>
      <c r="BH311" t="s">
        <v>74</v>
      </c>
      <c r="BI311">
        <v>15</v>
      </c>
      <c r="BJ311" t="s">
        <v>6561</v>
      </c>
      <c r="BK311" t="s">
        <v>1214</v>
      </c>
      <c r="BL311" t="s">
        <v>6562</v>
      </c>
      <c r="BM311" t="s">
        <v>6563</v>
      </c>
      <c r="BN311">
        <v>35498253</v>
      </c>
      <c r="BO311" t="s">
        <v>6564</v>
      </c>
      <c r="BP311" t="s">
        <v>74</v>
      </c>
      <c r="BQ311" t="s">
        <v>74</v>
      </c>
      <c r="BR311" t="s">
        <v>104</v>
      </c>
      <c r="BS311" t="s">
        <v>6565</v>
      </c>
      <c r="BT311" t="str">
        <f>HYPERLINK("https%3A%2F%2Fwww.webofscience.com%2Fwos%2Fwoscc%2Ffull-record%2FWOS:000646618100023","View Full Record in Web of Science")</f>
        <v>View Full Record in Web of Science</v>
      </c>
    </row>
    <row r="312" spans="1:72" x14ac:dyDescent="0.15">
      <c r="A312" t="s">
        <v>72</v>
      </c>
      <c r="B312" t="s">
        <v>6566</v>
      </c>
      <c r="C312" t="s">
        <v>74</v>
      </c>
      <c r="D312" t="s">
        <v>74</v>
      </c>
      <c r="E312" t="s">
        <v>74</v>
      </c>
      <c r="F312" t="s">
        <v>6567</v>
      </c>
      <c r="G312" t="s">
        <v>74</v>
      </c>
      <c r="H312" t="s">
        <v>74</v>
      </c>
      <c r="I312" t="s">
        <v>6568</v>
      </c>
      <c r="J312" t="s">
        <v>6569</v>
      </c>
      <c r="K312" t="s">
        <v>74</v>
      </c>
      <c r="L312" t="s">
        <v>74</v>
      </c>
      <c r="M312" t="s">
        <v>78</v>
      </c>
      <c r="N312" t="s">
        <v>79</v>
      </c>
      <c r="O312" t="s">
        <v>74</v>
      </c>
      <c r="P312" t="s">
        <v>74</v>
      </c>
      <c r="Q312" t="s">
        <v>74</v>
      </c>
      <c r="R312" t="s">
        <v>74</v>
      </c>
      <c r="S312" t="s">
        <v>74</v>
      </c>
      <c r="T312" t="s">
        <v>6570</v>
      </c>
      <c r="U312" t="s">
        <v>6571</v>
      </c>
      <c r="V312" t="s">
        <v>6572</v>
      </c>
      <c r="W312" t="s">
        <v>6573</v>
      </c>
      <c r="X312" t="s">
        <v>6574</v>
      </c>
      <c r="Y312" t="s">
        <v>6575</v>
      </c>
      <c r="Z312" t="s">
        <v>6576</v>
      </c>
      <c r="AA312" t="s">
        <v>6577</v>
      </c>
      <c r="AB312" t="s">
        <v>6578</v>
      </c>
      <c r="AC312" t="s">
        <v>6579</v>
      </c>
      <c r="AD312" t="s">
        <v>6580</v>
      </c>
      <c r="AE312" t="s">
        <v>6581</v>
      </c>
      <c r="AF312" t="s">
        <v>74</v>
      </c>
      <c r="AG312">
        <v>105</v>
      </c>
      <c r="AH312">
        <v>9</v>
      </c>
      <c r="AI312">
        <v>13</v>
      </c>
      <c r="AJ312">
        <v>0</v>
      </c>
      <c r="AK312">
        <v>8</v>
      </c>
      <c r="AL312" t="s">
        <v>3145</v>
      </c>
      <c r="AM312" t="s">
        <v>4452</v>
      </c>
      <c r="AN312" t="s">
        <v>6582</v>
      </c>
      <c r="AO312" t="s">
        <v>6583</v>
      </c>
      <c r="AP312" t="s">
        <v>6584</v>
      </c>
      <c r="AQ312" t="s">
        <v>74</v>
      </c>
      <c r="AR312" t="s">
        <v>6585</v>
      </c>
      <c r="AS312" t="s">
        <v>6586</v>
      </c>
      <c r="AT312" t="s">
        <v>6558</v>
      </c>
      <c r="AU312">
        <v>2020</v>
      </c>
      <c r="AV312">
        <v>66</v>
      </c>
      <c r="AW312">
        <v>259</v>
      </c>
      <c r="AX312" t="s">
        <v>74</v>
      </c>
      <c r="AY312" t="s">
        <v>74</v>
      </c>
      <c r="AZ312" t="s">
        <v>74</v>
      </c>
      <c r="BA312" t="s">
        <v>74</v>
      </c>
      <c r="BB312">
        <v>861</v>
      </c>
      <c r="BC312">
        <v>875</v>
      </c>
      <c r="BD312" t="s">
        <v>6587</v>
      </c>
      <c r="BE312" t="s">
        <v>6588</v>
      </c>
      <c r="BF312" t="str">
        <f>HYPERLINK("http://dx.doi.org/10.1017/jog.2020.61","http://dx.doi.org/10.1017/jog.2020.61")</f>
        <v>http://dx.doi.org/10.1017/jog.2020.61</v>
      </c>
      <c r="BG312" t="s">
        <v>74</v>
      </c>
      <c r="BH312" t="s">
        <v>74</v>
      </c>
      <c r="BI312">
        <v>15</v>
      </c>
      <c r="BJ312" t="s">
        <v>99</v>
      </c>
      <c r="BK312" t="s">
        <v>100</v>
      </c>
      <c r="BL312" t="s">
        <v>101</v>
      </c>
      <c r="BM312" t="s">
        <v>6589</v>
      </c>
      <c r="BN312" t="s">
        <v>74</v>
      </c>
      <c r="BO312" t="s">
        <v>332</v>
      </c>
      <c r="BP312" t="s">
        <v>74</v>
      </c>
      <c r="BQ312" t="s">
        <v>74</v>
      </c>
      <c r="BR312" t="s">
        <v>104</v>
      </c>
      <c r="BS312" t="s">
        <v>6590</v>
      </c>
      <c r="BT312" t="str">
        <f>HYPERLINK("https%3A%2F%2Fwww.webofscience.com%2Fwos%2Fwoscc%2Ffull-record%2FWOS:000573265700013","View Full Record in Web of Science")</f>
        <v>View Full Record in Web of Science</v>
      </c>
    </row>
    <row r="313" spans="1:72" x14ac:dyDescent="0.15">
      <c r="A313" t="s">
        <v>72</v>
      </c>
      <c r="B313" t="s">
        <v>6591</v>
      </c>
      <c r="C313" t="s">
        <v>74</v>
      </c>
      <c r="D313" t="s">
        <v>74</v>
      </c>
      <c r="E313" t="s">
        <v>74</v>
      </c>
      <c r="F313" t="s">
        <v>6592</v>
      </c>
      <c r="G313" t="s">
        <v>74</v>
      </c>
      <c r="H313" t="s">
        <v>74</v>
      </c>
      <c r="I313" t="s">
        <v>6593</v>
      </c>
      <c r="J313" t="s">
        <v>2712</v>
      </c>
      <c r="K313" t="s">
        <v>74</v>
      </c>
      <c r="L313" t="s">
        <v>74</v>
      </c>
      <c r="M313" t="s">
        <v>78</v>
      </c>
      <c r="N313" t="s">
        <v>79</v>
      </c>
      <c r="O313" t="s">
        <v>74</v>
      </c>
      <c r="P313" t="s">
        <v>74</v>
      </c>
      <c r="Q313" t="s">
        <v>74</v>
      </c>
      <c r="R313" t="s">
        <v>74</v>
      </c>
      <c r="S313" t="s">
        <v>74</v>
      </c>
      <c r="T313" t="s">
        <v>6594</v>
      </c>
      <c r="U313" t="s">
        <v>6595</v>
      </c>
      <c r="V313" t="s">
        <v>6596</v>
      </c>
      <c r="W313" t="s">
        <v>6597</v>
      </c>
      <c r="X313" t="s">
        <v>6598</v>
      </c>
      <c r="Y313" t="s">
        <v>6599</v>
      </c>
      <c r="Z313" t="s">
        <v>6600</v>
      </c>
      <c r="AA313" t="s">
        <v>6601</v>
      </c>
      <c r="AB313" t="s">
        <v>6602</v>
      </c>
      <c r="AC313" t="s">
        <v>6603</v>
      </c>
      <c r="AD313" t="s">
        <v>6604</v>
      </c>
      <c r="AE313" t="s">
        <v>6605</v>
      </c>
      <c r="AF313" t="s">
        <v>74</v>
      </c>
      <c r="AG313">
        <v>56</v>
      </c>
      <c r="AH313">
        <v>59</v>
      </c>
      <c r="AI313">
        <v>60</v>
      </c>
      <c r="AJ313">
        <v>5</v>
      </c>
      <c r="AK313">
        <v>17</v>
      </c>
      <c r="AL313" t="s">
        <v>2724</v>
      </c>
      <c r="AM313" t="s">
        <v>2725</v>
      </c>
      <c r="AN313" t="s">
        <v>2726</v>
      </c>
      <c r="AO313" t="s">
        <v>2727</v>
      </c>
      <c r="AP313" t="s">
        <v>74</v>
      </c>
      <c r="AQ313" t="s">
        <v>74</v>
      </c>
      <c r="AR313" t="s">
        <v>2728</v>
      </c>
      <c r="AS313" t="s">
        <v>2729</v>
      </c>
      <c r="AT313" t="s">
        <v>6558</v>
      </c>
      <c r="AU313">
        <v>2020</v>
      </c>
      <c r="AV313">
        <v>15</v>
      </c>
      <c r="AW313">
        <v>10</v>
      </c>
      <c r="AX313" t="s">
        <v>74</v>
      </c>
      <c r="AY313" t="s">
        <v>74</v>
      </c>
      <c r="AZ313" t="s">
        <v>74</v>
      </c>
      <c r="BA313" t="s">
        <v>74</v>
      </c>
      <c r="BB313" t="s">
        <v>74</v>
      </c>
      <c r="BC313" t="s">
        <v>74</v>
      </c>
      <c r="BD313">
        <v>104070</v>
      </c>
      <c r="BE313" t="s">
        <v>6606</v>
      </c>
      <c r="BF313" t="str">
        <f>HYPERLINK("http://dx.doi.org/10.1088/1748-9326/abae9d","http://dx.doi.org/10.1088/1748-9326/abae9d")</f>
        <v>http://dx.doi.org/10.1088/1748-9326/abae9d</v>
      </c>
      <c r="BG313" t="s">
        <v>74</v>
      </c>
      <c r="BH313" t="s">
        <v>74</v>
      </c>
      <c r="BI313">
        <v>14</v>
      </c>
      <c r="BJ313" t="s">
        <v>1027</v>
      </c>
      <c r="BK313" t="s">
        <v>100</v>
      </c>
      <c r="BL313" t="s">
        <v>1028</v>
      </c>
      <c r="BM313" t="s">
        <v>6607</v>
      </c>
      <c r="BN313" t="s">
        <v>74</v>
      </c>
      <c r="BO313" t="s">
        <v>332</v>
      </c>
      <c r="BP313" t="s">
        <v>74</v>
      </c>
      <c r="BQ313" t="s">
        <v>74</v>
      </c>
      <c r="BR313" t="s">
        <v>104</v>
      </c>
      <c r="BS313" t="s">
        <v>6608</v>
      </c>
      <c r="BT313" t="str">
        <f>HYPERLINK("https%3A%2F%2Fwww.webofscience.com%2Fwos%2Fwoscc%2Ffull-record%2FWOS:000579275300001","View Full Record in Web of Science")</f>
        <v>View Full Record in Web of Science</v>
      </c>
    </row>
    <row r="314" spans="1:72" x14ac:dyDescent="0.15">
      <c r="A314" t="s">
        <v>72</v>
      </c>
      <c r="B314" t="s">
        <v>6609</v>
      </c>
      <c r="C314" t="s">
        <v>74</v>
      </c>
      <c r="D314" t="s">
        <v>74</v>
      </c>
      <c r="E314" t="s">
        <v>74</v>
      </c>
      <c r="F314" t="s">
        <v>6610</v>
      </c>
      <c r="G314" t="s">
        <v>74</v>
      </c>
      <c r="H314" t="s">
        <v>74</v>
      </c>
      <c r="I314" t="s">
        <v>6611</v>
      </c>
      <c r="J314" t="s">
        <v>2712</v>
      </c>
      <c r="K314" t="s">
        <v>74</v>
      </c>
      <c r="L314" t="s">
        <v>74</v>
      </c>
      <c r="M314" t="s">
        <v>78</v>
      </c>
      <c r="N314" t="s">
        <v>79</v>
      </c>
      <c r="O314" t="s">
        <v>74</v>
      </c>
      <c r="P314" t="s">
        <v>74</v>
      </c>
      <c r="Q314" t="s">
        <v>74</v>
      </c>
      <c r="R314" t="s">
        <v>74</v>
      </c>
      <c r="S314" t="s">
        <v>74</v>
      </c>
      <c r="T314" t="s">
        <v>6612</v>
      </c>
      <c r="U314" t="s">
        <v>6613</v>
      </c>
      <c r="V314" t="s">
        <v>6614</v>
      </c>
      <c r="W314" t="s">
        <v>6615</v>
      </c>
      <c r="X314" t="s">
        <v>6616</v>
      </c>
      <c r="Y314" t="s">
        <v>6617</v>
      </c>
      <c r="Z314" t="s">
        <v>74</v>
      </c>
      <c r="AA314" t="s">
        <v>6618</v>
      </c>
      <c r="AB314" t="s">
        <v>6619</v>
      </c>
      <c r="AC314" t="s">
        <v>6620</v>
      </c>
      <c r="AD314" t="s">
        <v>6621</v>
      </c>
      <c r="AE314" t="s">
        <v>6622</v>
      </c>
      <c r="AF314" t="s">
        <v>74</v>
      </c>
      <c r="AG314">
        <v>64</v>
      </c>
      <c r="AH314">
        <v>22</v>
      </c>
      <c r="AI314">
        <v>27</v>
      </c>
      <c r="AJ314">
        <v>13</v>
      </c>
      <c r="AK314">
        <v>63</v>
      </c>
      <c r="AL314" t="s">
        <v>2724</v>
      </c>
      <c r="AM314" t="s">
        <v>2725</v>
      </c>
      <c r="AN314" t="s">
        <v>2726</v>
      </c>
      <c r="AO314" t="s">
        <v>2727</v>
      </c>
      <c r="AP314" t="s">
        <v>74</v>
      </c>
      <c r="AQ314" t="s">
        <v>74</v>
      </c>
      <c r="AR314" t="s">
        <v>2728</v>
      </c>
      <c r="AS314" t="s">
        <v>2729</v>
      </c>
      <c r="AT314" t="s">
        <v>6558</v>
      </c>
      <c r="AU314">
        <v>2020</v>
      </c>
      <c r="AV314">
        <v>15</v>
      </c>
      <c r="AW314">
        <v>10</v>
      </c>
      <c r="AX314" t="s">
        <v>74</v>
      </c>
      <c r="AY314" t="s">
        <v>74</v>
      </c>
      <c r="AZ314" t="s">
        <v>74</v>
      </c>
      <c r="BA314" t="s">
        <v>74</v>
      </c>
      <c r="BB314" t="s">
        <v>74</v>
      </c>
      <c r="BC314" t="s">
        <v>74</v>
      </c>
      <c r="BD314">
        <v>104005</v>
      </c>
      <c r="BE314" t="s">
        <v>6623</v>
      </c>
      <c r="BF314" t="str">
        <f>HYPERLINK("http://dx.doi.org/10.1088/1748-9326/abaada","http://dx.doi.org/10.1088/1748-9326/abaada")</f>
        <v>http://dx.doi.org/10.1088/1748-9326/abaada</v>
      </c>
      <c r="BG314" t="s">
        <v>74</v>
      </c>
      <c r="BH314" t="s">
        <v>74</v>
      </c>
      <c r="BI314">
        <v>9</v>
      </c>
      <c r="BJ314" t="s">
        <v>1027</v>
      </c>
      <c r="BK314" t="s">
        <v>100</v>
      </c>
      <c r="BL314" t="s">
        <v>1028</v>
      </c>
      <c r="BM314" t="s">
        <v>6624</v>
      </c>
      <c r="BN314" t="s">
        <v>74</v>
      </c>
      <c r="BO314" t="s">
        <v>202</v>
      </c>
      <c r="BP314" t="s">
        <v>74</v>
      </c>
      <c r="BQ314" t="s">
        <v>74</v>
      </c>
      <c r="BR314" t="s">
        <v>104</v>
      </c>
      <c r="BS314" t="s">
        <v>6625</v>
      </c>
      <c r="BT314" t="str">
        <f>HYPERLINK("https%3A%2F%2Fwww.webofscience.com%2Fwos%2Fwoscc%2Ffull-record%2FWOS:000573567100001","View Full Record in Web of Science")</f>
        <v>View Full Record in Web of Science</v>
      </c>
    </row>
    <row r="315" spans="1:72" x14ac:dyDescent="0.15">
      <c r="A315" t="s">
        <v>72</v>
      </c>
      <c r="B315" t="s">
        <v>6626</v>
      </c>
      <c r="C315" t="s">
        <v>74</v>
      </c>
      <c r="D315" t="s">
        <v>74</v>
      </c>
      <c r="E315" t="s">
        <v>74</v>
      </c>
      <c r="F315" t="s">
        <v>6627</v>
      </c>
      <c r="G315" t="s">
        <v>74</v>
      </c>
      <c r="H315" t="s">
        <v>74</v>
      </c>
      <c r="I315" t="s">
        <v>6628</v>
      </c>
      <c r="J315" t="s">
        <v>3455</v>
      </c>
      <c r="K315" t="s">
        <v>74</v>
      </c>
      <c r="L315" t="s">
        <v>74</v>
      </c>
      <c r="M315" t="s">
        <v>78</v>
      </c>
      <c r="N315" t="s">
        <v>79</v>
      </c>
      <c r="O315" t="s">
        <v>74</v>
      </c>
      <c r="P315" t="s">
        <v>74</v>
      </c>
      <c r="Q315" t="s">
        <v>74</v>
      </c>
      <c r="R315" t="s">
        <v>74</v>
      </c>
      <c r="S315" t="s">
        <v>74</v>
      </c>
      <c r="T315" t="s">
        <v>6629</v>
      </c>
      <c r="U315" t="s">
        <v>6630</v>
      </c>
      <c r="V315" t="s">
        <v>6631</v>
      </c>
      <c r="W315" t="s">
        <v>6632</v>
      </c>
      <c r="X315" t="s">
        <v>6633</v>
      </c>
      <c r="Y315" t="s">
        <v>6634</v>
      </c>
      <c r="Z315" t="s">
        <v>6635</v>
      </c>
      <c r="AA315" t="s">
        <v>6636</v>
      </c>
      <c r="AB315" t="s">
        <v>6637</v>
      </c>
      <c r="AC315" t="s">
        <v>6638</v>
      </c>
      <c r="AD315" t="s">
        <v>6639</v>
      </c>
      <c r="AE315" t="s">
        <v>6640</v>
      </c>
      <c r="AF315" t="s">
        <v>74</v>
      </c>
      <c r="AG315">
        <v>108</v>
      </c>
      <c r="AH315">
        <v>6</v>
      </c>
      <c r="AI315">
        <v>7</v>
      </c>
      <c r="AJ315">
        <v>2</v>
      </c>
      <c r="AK315">
        <v>11</v>
      </c>
      <c r="AL315" t="s">
        <v>3464</v>
      </c>
      <c r="AM315" t="s">
        <v>3465</v>
      </c>
      <c r="AN315" t="s">
        <v>3466</v>
      </c>
      <c r="AO315" t="s">
        <v>3467</v>
      </c>
      <c r="AP315" t="s">
        <v>3468</v>
      </c>
      <c r="AQ315" t="s">
        <v>74</v>
      </c>
      <c r="AR315" t="s">
        <v>3469</v>
      </c>
      <c r="AS315" t="s">
        <v>3470</v>
      </c>
      <c r="AT315" t="s">
        <v>1163</v>
      </c>
      <c r="AU315">
        <v>2020</v>
      </c>
      <c r="AV315">
        <v>651</v>
      </c>
      <c r="AW315" t="s">
        <v>74</v>
      </c>
      <c r="AX315" t="s">
        <v>74</v>
      </c>
      <c r="AY315" t="s">
        <v>74</v>
      </c>
      <c r="AZ315" t="s">
        <v>74</v>
      </c>
      <c r="BA315" t="s">
        <v>74</v>
      </c>
      <c r="BB315">
        <v>163</v>
      </c>
      <c r="BC315">
        <v>181</v>
      </c>
      <c r="BD315" t="s">
        <v>74</v>
      </c>
      <c r="BE315" t="s">
        <v>6641</v>
      </c>
      <c r="BF315" t="str">
        <f>HYPERLINK("http://dx.doi.org/10.3354/meps13439","http://dx.doi.org/10.3354/meps13439")</f>
        <v>http://dx.doi.org/10.3354/meps13439</v>
      </c>
      <c r="BG315" t="s">
        <v>74</v>
      </c>
      <c r="BH315" t="s">
        <v>74</v>
      </c>
      <c r="BI315">
        <v>19</v>
      </c>
      <c r="BJ315" t="s">
        <v>3473</v>
      </c>
      <c r="BK315" t="s">
        <v>100</v>
      </c>
      <c r="BL315" t="s">
        <v>3474</v>
      </c>
      <c r="BM315" t="s">
        <v>6642</v>
      </c>
      <c r="BN315" t="s">
        <v>74</v>
      </c>
      <c r="BO315" t="s">
        <v>6643</v>
      </c>
      <c r="BP315" t="s">
        <v>74</v>
      </c>
      <c r="BQ315" t="s">
        <v>74</v>
      </c>
      <c r="BR315" t="s">
        <v>104</v>
      </c>
      <c r="BS315" t="s">
        <v>6644</v>
      </c>
      <c r="BT315" t="str">
        <f>HYPERLINK("https%3A%2F%2Fwww.webofscience.com%2Fwos%2Fwoscc%2Ffull-record%2FWOS:000621230500011","View Full Record in Web of Science")</f>
        <v>View Full Record in Web of Science</v>
      </c>
    </row>
    <row r="316" spans="1:72" x14ac:dyDescent="0.15">
      <c r="A316" t="s">
        <v>72</v>
      </c>
      <c r="B316" t="s">
        <v>6645</v>
      </c>
      <c r="C316" t="s">
        <v>74</v>
      </c>
      <c r="D316" t="s">
        <v>74</v>
      </c>
      <c r="E316" t="s">
        <v>74</v>
      </c>
      <c r="F316" t="s">
        <v>6646</v>
      </c>
      <c r="G316" t="s">
        <v>74</v>
      </c>
      <c r="H316" t="s">
        <v>74</v>
      </c>
      <c r="I316" t="s">
        <v>6647</v>
      </c>
      <c r="J316" t="s">
        <v>3455</v>
      </c>
      <c r="K316" t="s">
        <v>74</v>
      </c>
      <c r="L316" t="s">
        <v>74</v>
      </c>
      <c r="M316" t="s">
        <v>78</v>
      </c>
      <c r="N316" t="s">
        <v>79</v>
      </c>
      <c r="O316" t="s">
        <v>74</v>
      </c>
      <c r="P316" t="s">
        <v>74</v>
      </c>
      <c r="Q316" t="s">
        <v>74</v>
      </c>
      <c r="R316" t="s">
        <v>74</v>
      </c>
      <c r="S316" t="s">
        <v>74</v>
      </c>
      <c r="T316" t="s">
        <v>6648</v>
      </c>
      <c r="U316" t="s">
        <v>6649</v>
      </c>
      <c r="V316" t="s">
        <v>6650</v>
      </c>
      <c r="W316" t="s">
        <v>6651</v>
      </c>
      <c r="X316" t="s">
        <v>6652</v>
      </c>
      <c r="Y316" t="s">
        <v>6653</v>
      </c>
      <c r="Z316" t="s">
        <v>6654</v>
      </c>
      <c r="AA316" t="s">
        <v>6655</v>
      </c>
      <c r="AB316" t="s">
        <v>6656</v>
      </c>
      <c r="AC316" t="s">
        <v>6657</v>
      </c>
      <c r="AD316" t="s">
        <v>6658</v>
      </c>
      <c r="AE316" t="s">
        <v>6659</v>
      </c>
      <c r="AF316" t="s">
        <v>74</v>
      </c>
      <c r="AG316">
        <v>100</v>
      </c>
      <c r="AH316">
        <v>4</v>
      </c>
      <c r="AI316">
        <v>4</v>
      </c>
      <c r="AJ316">
        <v>2</v>
      </c>
      <c r="AK316">
        <v>6</v>
      </c>
      <c r="AL316" t="s">
        <v>3464</v>
      </c>
      <c r="AM316" t="s">
        <v>3465</v>
      </c>
      <c r="AN316" t="s">
        <v>3466</v>
      </c>
      <c r="AO316" t="s">
        <v>3467</v>
      </c>
      <c r="AP316" t="s">
        <v>3468</v>
      </c>
      <c r="AQ316" t="s">
        <v>74</v>
      </c>
      <c r="AR316" t="s">
        <v>3469</v>
      </c>
      <c r="AS316" t="s">
        <v>3470</v>
      </c>
      <c r="AT316" t="s">
        <v>1163</v>
      </c>
      <c r="AU316">
        <v>2020</v>
      </c>
      <c r="AV316">
        <v>651</v>
      </c>
      <c r="AW316" t="s">
        <v>74</v>
      </c>
      <c r="AX316" t="s">
        <v>74</v>
      </c>
      <c r="AY316" t="s">
        <v>74</v>
      </c>
      <c r="AZ316" t="s">
        <v>74</v>
      </c>
      <c r="BA316" t="s">
        <v>74</v>
      </c>
      <c r="BB316">
        <v>199</v>
      </c>
      <c r="BC316">
        <v>213</v>
      </c>
      <c r="BD316" t="s">
        <v>74</v>
      </c>
      <c r="BE316" t="s">
        <v>6660</v>
      </c>
      <c r="BF316" t="str">
        <f>HYPERLINK("http://dx.doi.org/10.3354/meps13460","http://dx.doi.org/10.3354/meps13460")</f>
        <v>http://dx.doi.org/10.3354/meps13460</v>
      </c>
      <c r="BG316" t="s">
        <v>74</v>
      </c>
      <c r="BH316" t="s">
        <v>74</v>
      </c>
      <c r="BI316">
        <v>15</v>
      </c>
      <c r="BJ316" t="s">
        <v>3473</v>
      </c>
      <c r="BK316" t="s">
        <v>100</v>
      </c>
      <c r="BL316" t="s">
        <v>3474</v>
      </c>
      <c r="BM316" t="s">
        <v>6642</v>
      </c>
      <c r="BN316" t="s">
        <v>74</v>
      </c>
      <c r="BO316" t="s">
        <v>74</v>
      </c>
      <c r="BP316" t="s">
        <v>74</v>
      </c>
      <c r="BQ316" t="s">
        <v>74</v>
      </c>
      <c r="BR316" t="s">
        <v>104</v>
      </c>
      <c r="BS316" t="s">
        <v>6661</v>
      </c>
      <c r="BT316" t="str">
        <f>HYPERLINK("https%3A%2F%2Fwww.webofscience.com%2Fwos%2Fwoscc%2Ffull-record%2FWOS:000621230500013","View Full Record in Web of Science")</f>
        <v>View Full Record in Web of Science</v>
      </c>
    </row>
    <row r="317" spans="1:72" x14ac:dyDescent="0.15">
      <c r="A317" t="s">
        <v>72</v>
      </c>
      <c r="B317" t="s">
        <v>6662</v>
      </c>
      <c r="C317" t="s">
        <v>74</v>
      </c>
      <c r="D317" t="s">
        <v>74</v>
      </c>
      <c r="E317" t="s">
        <v>74</v>
      </c>
      <c r="F317" t="s">
        <v>6663</v>
      </c>
      <c r="G317" t="s">
        <v>74</v>
      </c>
      <c r="H317" t="s">
        <v>74</v>
      </c>
      <c r="I317" t="s">
        <v>6664</v>
      </c>
      <c r="J317" t="s">
        <v>6665</v>
      </c>
      <c r="K317" t="s">
        <v>74</v>
      </c>
      <c r="L317" t="s">
        <v>74</v>
      </c>
      <c r="M317" t="s">
        <v>78</v>
      </c>
      <c r="N317" t="s">
        <v>79</v>
      </c>
      <c r="O317" t="s">
        <v>74</v>
      </c>
      <c r="P317" t="s">
        <v>74</v>
      </c>
      <c r="Q317" t="s">
        <v>74</v>
      </c>
      <c r="R317" t="s">
        <v>74</v>
      </c>
      <c r="S317" t="s">
        <v>74</v>
      </c>
      <c r="T317" t="s">
        <v>6666</v>
      </c>
      <c r="U317" t="s">
        <v>74</v>
      </c>
      <c r="V317" t="s">
        <v>6667</v>
      </c>
      <c r="W317" t="s">
        <v>6668</v>
      </c>
      <c r="X317" t="s">
        <v>811</v>
      </c>
      <c r="Y317" t="s">
        <v>6669</v>
      </c>
      <c r="Z317" t="s">
        <v>6670</v>
      </c>
      <c r="AA317" t="s">
        <v>6671</v>
      </c>
      <c r="AB317" t="s">
        <v>6672</v>
      </c>
      <c r="AC317" t="s">
        <v>74</v>
      </c>
      <c r="AD317" t="s">
        <v>74</v>
      </c>
      <c r="AE317" t="s">
        <v>74</v>
      </c>
      <c r="AF317" t="s">
        <v>74</v>
      </c>
      <c r="AG317">
        <v>3</v>
      </c>
      <c r="AH317">
        <v>2</v>
      </c>
      <c r="AI317">
        <v>2</v>
      </c>
      <c r="AJ317">
        <v>0</v>
      </c>
      <c r="AK317">
        <v>1</v>
      </c>
      <c r="AL317" t="s">
        <v>6673</v>
      </c>
      <c r="AM317" t="s">
        <v>6674</v>
      </c>
      <c r="AN317" t="s">
        <v>6675</v>
      </c>
      <c r="AO317" t="s">
        <v>6676</v>
      </c>
      <c r="AP317" t="s">
        <v>6677</v>
      </c>
      <c r="AQ317" t="s">
        <v>74</v>
      </c>
      <c r="AR317" t="s">
        <v>6678</v>
      </c>
      <c r="AS317" t="s">
        <v>6679</v>
      </c>
      <c r="AT317" t="s">
        <v>6558</v>
      </c>
      <c r="AU317">
        <v>2020</v>
      </c>
      <c r="AV317">
        <v>48</v>
      </c>
      <c r="AW317">
        <v>2</v>
      </c>
      <c r="AX317" t="s">
        <v>74</v>
      </c>
      <c r="AY317" t="s">
        <v>74</v>
      </c>
      <c r="AZ317" t="s">
        <v>74</v>
      </c>
      <c r="BA317" t="s">
        <v>74</v>
      </c>
      <c r="BB317">
        <v>169</v>
      </c>
      <c r="BC317">
        <v>170</v>
      </c>
      <c r="BD317" t="s">
        <v>74</v>
      </c>
      <c r="BE317" t="s">
        <v>74</v>
      </c>
      <c r="BF317" t="s">
        <v>74</v>
      </c>
      <c r="BG317" t="s">
        <v>74</v>
      </c>
      <c r="BH317" t="s">
        <v>74</v>
      </c>
      <c r="BI317">
        <v>2</v>
      </c>
      <c r="BJ317" t="s">
        <v>6680</v>
      </c>
      <c r="BK317" t="s">
        <v>100</v>
      </c>
      <c r="BL317" t="s">
        <v>1186</v>
      </c>
      <c r="BM317" t="s">
        <v>6681</v>
      </c>
      <c r="BN317" t="s">
        <v>74</v>
      </c>
      <c r="BO317" t="s">
        <v>74</v>
      </c>
      <c r="BP317" t="s">
        <v>74</v>
      </c>
      <c r="BQ317" t="s">
        <v>74</v>
      </c>
      <c r="BR317" t="s">
        <v>104</v>
      </c>
      <c r="BS317" t="s">
        <v>6682</v>
      </c>
      <c r="BT317" t="str">
        <f>HYPERLINK("https%3A%2F%2Fwww.webofscience.com%2Fwos%2Fwoscc%2Ffull-record%2FWOS:000612936400005","View Full Record in Web of Science")</f>
        <v>View Full Record in Web of Science</v>
      </c>
    </row>
    <row r="318" spans="1:72" x14ac:dyDescent="0.15">
      <c r="A318" t="s">
        <v>72</v>
      </c>
      <c r="B318" t="s">
        <v>6683</v>
      </c>
      <c r="C318" t="s">
        <v>74</v>
      </c>
      <c r="D318" t="s">
        <v>74</v>
      </c>
      <c r="E318" t="s">
        <v>74</v>
      </c>
      <c r="F318" t="s">
        <v>6684</v>
      </c>
      <c r="G318" t="s">
        <v>74</v>
      </c>
      <c r="H318" t="s">
        <v>74</v>
      </c>
      <c r="I318" t="s">
        <v>6685</v>
      </c>
      <c r="J318" t="s">
        <v>6665</v>
      </c>
      <c r="K318" t="s">
        <v>74</v>
      </c>
      <c r="L318" t="s">
        <v>74</v>
      </c>
      <c r="M318" t="s">
        <v>78</v>
      </c>
      <c r="N318" t="s">
        <v>79</v>
      </c>
      <c r="O318" t="s">
        <v>74</v>
      </c>
      <c r="P318" t="s">
        <v>74</v>
      </c>
      <c r="Q318" t="s">
        <v>74</v>
      </c>
      <c r="R318" t="s">
        <v>74</v>
      </c>
      <c r="S318" t="s">
        <v>74</v>
      </c>
      <c r="T318" t="s">
        <v>6686</v>
      </c>
      <c r="U318" t="s">
        <v>6687</v>
      </c>
      <c r="V318" t="s">
        <v>6688</v>
      </c>
      <c r="W318" t="s">
        <v>6689</v>
      </c>
      <c r="X318" t="s">
        <v>6690</v>
      </c>
      <c r="Y318" t="s">
        <v>6691</v>
      </c>
      <c r="Z318" t="s">
        <v>6692</v>
      </c>
      <c r="AA318" t="s">
        <v>5494</v>
      </c>
      <c r="AB318" t="s">
        <v>6693</v>
      </c>
      <c r="AC318" t="s">
        <v>6694</v>
      </c>
      <c r="AD318" t="s">
        <v>6694</v>
      </c>
      <c r="AE318" t="s">
        <v>6695</v>
      </c>
      <c r="AF318" t="s">
        <v>74</v>
      </c>
      <c r="AG318">
        <v>25</v>
      </c>
      <c r="AH318">
        <v>2</v>
      </c>
      <c r="AI318">
        <v>2</v>
      </c>
      <c r="AJ318">
        <v>1</v>
      </c>
      <c r="AK318">
        <v>2</v>
      </c>
      <c r="AL318" t="s">
        <v>6696</v>
      </c>
      <c r="AM318" t="s">
        <v>6697</v>
      </c>
      <c r="AN318" t="s">
        <v>6698</v>
      </c>
      <c r="AO318" t="s">
        <v>6676</v>
      </c>
      <c r="AP318" t="s">
        <v>6677</v>
      </c>
      <c r="AQ318" t="s">
        <v>74</v>
      </c>
      <c r="AR318" t="s">
        <v>6678</v>
      </c>
      <c r="AS318" t="s">
        <v>6679</v>
      </c>
      <c r="AT318" t="s">
        <v>6558</v>
      </c>
      <c r="AU318">
        <v>2020</v>
      </c>
      <c r="AV318">
        <v>48</v>
      </c>
      <c r="AW318">
        <v>2</v>
      </c>
      <c r="AX318" t="s">
        <v>74</v>
      </c>
      <c r="AY318" t="s">
        <v>74</v>
      </c>
      <c r="AZ318" t="s">
        <v>74</v>
      </c>
      <c r="BA318" t="s">
        <v>74</v>
      </c>
      <c r="BB318">
        <v>273</v>
      </c>
      <c r="BC318">
        <v>281</v>
      </c>
      <c r="BD318" t="s">
        <v>74</v>
      </c>
      <c r="BE318" t="s">
        <v>74</v>
      </c>
      <c r="BF318" t="s">
        <v>74</v>
      </c>
      <c r="BG318" t="s">
        <v>74</v>
      </c>
      <c r="BH318" t="s">
        <v>74</v>
      </c>
      <c r="BI318">
        <v>9</v>
      </c>
      <c r="BJ318" t="s">
        <v>6680</v>
      </c>
      <c r="BK318" t="s">
        <v>100</v>
      </c>
      <c r="BL318" t="s">
        <v>1186</v>
      </c>
      <c r="BM318" t="s">
        <v>6681</v>
      </c>
      <c r="BN318" t="s">
        <v>74</v>
      </c>
      <c r="BO318" t="s">
        <v>74</v>
      </c>
      <c r="BP318" t="s">
        <v>74</v>
      </c>
      <c r="BQ318" t="s">
        <v>74</v>
      </c>
      <c r="BR318" t="s">
        <v>104</v>
      </c>
      <c r="BS318" t="s">
        <v>6699</v>
      </c>
      <c r="BT318" t="str">
        <f>HYPERLINK("https%3A%2F%2Fwww.webofscience.com%2Fwos%2Fwoscc%2Ffull-record%2FWOS:000612936400017","View Full Record in Web of Science")</f>
        <v>View Full Record in Web of Science</v>
      </c>
    </row>
    <row r="319" spans="1:72" x14ac:dyDescent="0.15">
      <c r="A319" t="s">
        <v>72</v>
      </c>
      <c r="B319" t="s">
        <v>6700</v>
      </c>
      <c r="C319" t="s">
        <v>74</v>
      </c>
      <c r="D319" t="s">
        <v>74</v>
      </c>
      <c r="E319" t="s">
        <v>74</v>
      </c>
      <c r="F319" t="s">
        <v>6701</v>
      </c>
      <c r="G319" t="s">
        <v>74</v>
      </c>
      <c r="H319" t="s">
        <v>74</v>
      </c>
      <c r="I319" t="s">
        <v>6702</v>
      </c>
      <c r="J319" t="s">
        <v>6703</v>
      </c>
      <c r="K319" t="s">
        <v>74</v>
      </c>
      <c r="L319" t="s">
        <v>74</v>
      </c>
      <c r="M319" t="s">
        <v>78</v>
      </c>
      <c r="N319" t="s">
        <v>79</v>
      </c>
      <c r="O319" t="s">
        <v>74</v>
      </c>
      <c r="P319" t="s">
        <v>74</v>
      </c>
      <c r="Q319" t="s">
        <v>74</v>
      </c>
      <c r="R319" t="s">
        <v>74</v>
      </c>
      <c r="S319" t="s">
        <v>74</v>
      </c>
      <c r="T319" t="s">
        <v>6704</v>
      </c>
      <c r="U319" t="s">
        <v>6705</v>
      </c>
      <c r="V319" t="s">
        <v>6706</v>
      </c>
      <c r="W319" t="s">
        <v>6707</v>
      </c>
      <c r="X319" t="s">
        <v>6708</v>
      </c>
      <c r="Y319" t="s">
        <v>6709</v>
      </c>
      <c r="Z319" t="s">
        <v>6710</v>
      </c>
      <c r="AA319" t="s">
        <v>6711</v>
      </c>
      <c r="AB319" t="s">
        <v>6712</v>
      </c>
      <c r="AC319" t="s">
        <v>6713</v>
      </c>
      <c r="AD319" t="s">
        <v>6714</v>
      </c>
      <c r="AE319" t="s">
        <v>6715</v>
      </c>
      <c r="AF319" t="s">
        <v>74</v>
      </c>
      <c r="AG319">
        <v>97</v>
      </c>
      <c r="AH319">
        <v>49</v>
      </c>
      <c r="AI319">
        <v>51</v>
      </c>
      <c r="AJ319">
        <v>13</v>
      </c>
      <c r="AK319">
        <v>98</v>
      </c>
      <c r="AL319" t="s">
        <v>1522</v>
      </c>
      <c r="AM319" t="s">
        <v>1407</v>
      </c>
      <c r="AN319" t="s">
        <v>1523</v>
      </c>
      <c r="AO319" t="s">
        <v>6716</v>
      </c>
      <c r="AP319" t="s">
        <v>6717</v>
      </c>
      <c r="AQ319" t="s">
        <v>74</v>
      </c>
      <c r="AR319" t="s">
        <v>6718</v>
      </c>
      <c r="AS319" t="s">
        <v>6719</v>
      </c>
      <c r="AT319" t="s">
        <v>6558</v>
      </c>
      <c r="AU319">
        <v>2020</v>
      </c>
      <c r="AV319">
        <v>143</v>
      </c>
      <c r="AW319" t="s">
        <v>74</v>
      </c>
      <c r="AX319" t="s">
        <v>74</v>
      </c>
      <c r="AY319" t="s">
        <v>74</v>
      </c>
      <c r="AZ319" t="s">
        <v>74</v>
      </c>
      <c r="BA319" t="s">
        <v>74</v>
      </c>
      <c r="BB319" t="s">
        <v>74</v>
      </c>
      <c r="BC319" t="s">
        <v>74</v>
      </c>
      <c r="BD319">
        <v>105999</v>
      </c>
      <c r="BE319" t="s">
        <v>6720</v>
      </c>
      <c r="BF319" t="str">
        <f>HYPERLINK("http://dx.doi.org/10.1016/j.envint.2020.105999","http://dx.doi.org/10.1016/j.envint.2020.105999")</f>
        <v>http://dx.doi.org/10.1016/j.envint.2020.105999</v>
      </c>
      <c r="BG319" t="s">
        <v>74</v>
      </c>
      <c r="BH319" t="s">
        <v>74</v>
      </c>
      <c r="BI319">
        <v>11</v>
      </c>
      <c r="BJ319" t="s">
        <v>283</v>
      </c>
      <c r="BK319" t="s">
        <v>100</v>
      </c>
      <c r="BL319" t="s">
        <v>284</v>
      </c>
      <c r="BM319" t="s">
        <v>6721</v>
      </c>
      <c r="BN319">
        <v>32763632</v>
      </c>
      <c r="BO319" t="s">
        <v>5105</v>
      </c>
      <c r="BP319" t="s">
        <v>74</v>
      </c>
      <c r="BQ319" t="s">
        <v>74</v>
      </c>
      <c r="BR319" t="s">
        <v>104</v>
      </c>
      <c r="BS319" t="s">
        <v>6722</v>
      </c>
      <c r="BT319" t="str">
        <f>HYPERLINK("https%3A%2F%2Fwww.webofscience.com%2Fwos%2Fwoscc%2Ffull-record%2FWOS:000612205000018","View Full Record in Web of Science")</f>
        <v>View Full Record in Web of Science</v>
      </c>
    </row>
    <row r="320" spans="1:72" x14ac:dyDescent="0.15">
      <c r="A320" t="s">
        <v>72</v>
      </c>
      <c r="B320" t="s">
        <v>6723</v>
      </c>
      <c r="C320" t="s">
        <v>74</v>
      </c>
      <c r="D320" t="s">
        <v>74</v>
      </c>
      <c r="E320" t="s">
        <v>74</v>
      </c>
      <c r="F320" t="s">
        <v>6724</v>
      </c>
      <c r="G320" t="s">
        <v>74</v>
      </c>
      <c r="H320" t="s">
        <v>74</v>
      </c>
      <c r="I320" t="s">
        <v>6725</v>
      </c>
      <c r="J320" t="s">
        <v>1747</v>
      </c>
      <c r="K320" t="s">
        <v>74</v>
      </c>
      <c r="L320" t="s">
        <v>74</v>
      </c>
      <c r="M320" t="s">
        <v>78</v>
      </c>
      <c r="N320" t="s">
        <v>79</v>
      </c>
      <c r="O320" t="s">
        <v>74</v>
      </c>
      <c r="P320" t="s">
        <v>74</v>
      </c>
      <c r="Q320" t="s">
        <v>74</v>
      </c>
      <c r="R320" t="s">
        <v>74</v>
      </c>
      <c r="S320" t="s">
        <v>74</v>
      </c>
      <c r="T320" t="s">
        <v>6726</v>
      </c>
      <c r="U320" t="s">
        <v>6727</v>
      </c>
      <c r="V320" t="s">
        <v>6728</v>
      </c>
      <c r="W320" t="s">
        <v>6729</v>
      </c>
      <c r="X320" t="s">
        <v>6730</v>
      </c>
      <c r="Y320" t="s">
        <v>6731</v>
      </c>
      <c r="Z320" t="s">
        <v>6732</v>
      </c>
      <c r="AA320" t="s">
        <v>6733</v>
      </c>
      <c r="AB320" t="s">
        <v>6734</v>
      </c>
      <c r="AC320" t="s">
        <v>6735</v>
      </c>
      <c r="AD320" t="s">
        <v>6736</v>
      </c>
      <c r="AE320" t="s">
        <v>6737</v>
      </c>
      <c r="AF320" t="s">
        <v>74</v>
      </c>
      <c r="AG320">
        <v>77</v>
      </c>
      <c r="AH320">
        <v>6</v>
      </c>
      <c r="AI320">
        <v>6</v>
      </c>
      <c r="AJ320">
        <v>0</v>
      </c>
      <c r="AK320">
        <v>5</v>
      </c>
      <c r="AL320" t="s">
        <v>1710</v>
      </c>
      <c r="AM320" t="s">
        <v>609</v>
      </c>
      <c r="AN320" t="s">
        <v>1711</v>
      </c>
      <c r="AO320" t="s">
        <v>1759</v>
      </c>
      <c r="AP320" t="s">
        <v>1760</v>
      </c>
      <c r="AQ320" t="s">
        <v>74</v>
      </c>
      <c r="AR320" t="s">
        <v>1761</v>
      </c>
      <c r="AS320" t="s">
        <v>1762</v>
      </c>
      <c r="AT320" t="s">
        <v>6558</v>
      </c>
      <c r="AU320">
        <v>2020</v>
      </c>
      <c r="AV320">
        <v>125</v>
      </c>
      <c r="AW320">
        <v>10</v>
      </c>
      <c r="AX320" t="s">
        <v>74</v>
      </c>
      <c r="AY320" t="s">
        <v>74</v>
      </c>
      <c r="AZ320" t="s">
        <v>74</v>
      </c>
      <c r="BA320" t="s">
        <v>74</v>
      </c>
      <c r="BB320" t="s">
        <v>74</v>
      </c>
      <c r="BC320" t="s">
        <v>74</v>
      </c>
      <c r="BD320" t="s">
        <v>6738</v>
      </c>
      <c r="BE320" t="s">
        <v>6739</v>
      </c>
      <c r="BF320" t="str">
        <f>HYPERLINK("http://dx.doi.org/10.1029/2020JC016302","http://dx.doi.org/10.1029/2020JC016302")</f>
        <v>http://dx.doi.org/10.1029/2020JC016302</v>
      </c>
      <c r="BG320" t="s">
        <v>74</v>
      </c>
      <c r="BH320" t="s">
        <v>74</v>
      </c>
      <c r="BI320">
        <v>22</v>
      </c>
      <c r="BJ320" t="s">
        <v>1283</v>
      </c>
      <c r="BK320" t="s">
        <v>100</v>
      </c>
      <c r="BL320" t="s">
        <v>1283</v>
      </c>
      <c r="BM320" t="s">
        <v>6740</v>
      </c>
      <c r="BN320" t="s">
        <v>74</v>
      </c>
      <c r="BO320" t="s">
        <v>564</v>
      </c>
      <c r="BP320" t="s">
        <v>74</v>
      </c>
      <c r="BQ320" t="s">
        <v>74</v>
      </c>
      <c r="BR320" t="s">
        <v>104</v>
      </c>
      <c r="BS320" t="s">
        <v>6741</v>
      </c>
      <c r="BT320" t="str">
        <f>HYPERLINK("https%3A%2F%2Fwww.webofscience.com%2Fwos%2Fwoscc%2Ffull-record%2FWOS:000612077200027","View Full Record in Web of Science")</f>
        <v>View Full Record in Web of Science</v>
      </c>
    </row>
    <row r="321" spans="1:72" x14ac:dyDescent="0.15">
      <c r="A321" t="s">
        <v>72</v>
      </c>
      <c r="B321" t="s">
        <v>6742</v>
      </c>
      <c r="C321" t="s">
        <v>74</v>
      </c>
      <c r="D321" t="s">
        <v>74</v>
      </c>
      <c r="E321" t="s">
        <v>74</v>
      </c>
      <c r="F321" t="s">
        <v>6743</v>
      </c>
      <c r="G321" t="s">
        <v>74</v>
      </c>
      <c r="H321" t="s">
        <v>74</v>
      </c>
      <c r="I321" t="s">
        <v>6744</v>
      </c>
      <c r="J321" t="s">
        <v>1747</v>
      </c>
      <c r="K321" t="s">
        <v>74</v>
      </c>
      <c r="L321" t="s">
        <v>74</v>
      </c>
      <c r="M321" t="s">
        <v>78</v>
      </c>
      <c r="N321" t="s">
        <v>79</v>
      </c>
      <c r="O321" t="s">
        <v>74</v>
      </c>
      <c r="P321" t="s">
        <v>74</v>
      </c>
      <c r="Q321" t="s">
        <v>74</v>
      </c>
      <c r="R321" t="s">
        <v>74</v>
      </c>
      <c r="S321" t="s">
        <v>74</v>
      </c>
      <c r="T321" t="s">
        <v>6745</v>
      </c>
      <c r="U321" t="s">
        <v>6746</v>
      </c>
      <c r="V321" t="s">
        <v>6747</v>
      </c>
      <c r="W321" t="s">
        <v>6748</v>
      </c>
      <c r="X321" t="s">
        <v>6749</v>
      </c>
      <c r="Y321" t="s">
        <v>6750</v>
      </c>
      <c r="Z321" t="s">
        <v>6751</v>
      </c>
      <c r="AA321" t="s">
        <v>6752</v>
      </c>
      <c r="AB321" t="s">
        <v>6753</v>
      </c>
      <c r="AC321" t="s">
        <v>6754</v>
      </c>
      <c r="AD321" t="s">
        <v>6755</v>
      </c>
      <c r="AE321" t="s">
        <v>6756</v>
      </c>
      <c r="AF321" t="s">
        <v>74</v>
      </c>
      <c r="AG321">
        <v>52</v>
      </c>
      <c r="AH321">
        <v>4</v>
      </c>
      <c r="AI321">
        <v>4</v>
      </c>
      <c r="AJ321">
        <v>2</v>
      </c>
      <c r="AK321">
        <v>18</v>
      </c>
      <c r="AL321" t="s">
        <v>1710</v>
      </c>
      <c r="AM321" t="s">
        <v>609</v>
      </c>
      <c r="AN321" t="s">
        <v>1711</v>
      </c>
      <c r="AO321" t="s">
        <v>1759</v>
      </c>
      <c r="AP321" t="s">
        <v>1760</v>
      </c>
      <c r="AQ321" t="s">
        <v>74</v>
      </c>
      <c r="AR321" t="s">
        <v>1761</v>
      </c>
      <c r="AS321" t="s">
        <v>1762</v>
      </c>
      <c r="AT321" t="s">
        <v>6558</v>
      </c>
      <c r="AU321">
        <v>2020</v>
      </c>
      <c r="AV321">
        <v>125</v>
      </c>
      <c r="AW321">
        <v>10</v>
      </c>
      <c r="AX321" t="s">
        <v>74</v>
      </c>
      <c r="AY321" t="s">
        <v>74</v>
      </c>
      <c r="AZ321" t="s">
        <v>74</v>
      </c>
      <c r="BA321" t="s">
        <v>74</v>
      </c>
      <c r="BB321" t="s">
        <v>74</v>
      </c>
      <c r="BC321" t="s">
        <v>74</v>
      </c>
      <c r="BD321" t="s">
        <v>6757</v>
      </c>
      <c r="BE321" t="s">
        <v>6758</v>
      </c>
      <c r="BF321" t="str">
        <f>HYPERLINK("http://dx.doi.org/10.1029/2020JC016286","http://dx.doi.org/10.1029/2020JC016286")</f>
        <v>http://dx.doi.org/10.1029/2020JC016286</v>
      </c>
      <c r="BG321" t="s">
        <v>74</v>
      </c>
      <c r="BH321" t="s">
        <v>74</v>
      </c>
      <c r="BI321">
        <v>16</v>
      </c>
      <c r="BJ321" t="s">
        <v>1283</v>
      </c>
      <c r="BK321" t="s">
        <v>100</v>
      </c>
      <c r="BL321" t="s">
        <v>1283</v>
      </c>
      <c r="BM321" t="s">
        <v>6740</v>
      </c>
      <c r="BN321" t="s">
        <v>74</v>
      </c>
      <c r="BO321" t="s">
        <v>6759</v>
      </c>
      <c r="BP321" t="s">
        <v>74</v>
      </c>
      <c r="BQ321" t="s">
        <v>74</v>
      </c>
      <c r="BR321" t="s">
        <v>104</v>
      </c>
      <c r="BS321" t="s">
        <v>6760</v>
      </c>
      <c r="BT321" t="str">
        <f>HYPERLINK("https%3A%2F%2Fwww.webofscience.com%2Fwos%2Fwoscc%2Ffull-record%2FWOS:000612077200011","View Full Record in Web of Science")</f>
        <v>View Full Record in Web of Science</v>
      </c>
    </row>
    <row r="322" spans="1:72" x14ac:dyDescent="0.15">
      <c r="A322" t="s">
        <v>72</v>
      </c>
      <c r="B322" t="s">
        <v>6761</v>
      </c>
      <c r="C322" t="s">
        <v>74</v>
      </c>
      <c r="D322" t="s">
        <v>74</v>
      </c>
      <c r="E322" t="s">
        <v>74</v>
      </c>
      <c r="F322" t="s">
        <v>6762</v>
      </c>
      <c r="G322" t="s">
        <v>74</v>
      </c>
      <c r="H322" t="s">
        <v>74</v>
      </c>
      <c r="I322" t="s">
        <v>6763</v>
      </c>
      <c r="J322" t="s">
        <v>1747</v>
      </c>
      <c r="K322" t="s">
        <v>74</v>
      </c>
      <c r="L322" t="s">
        <v>74</v>
      </c>
      <c r="M322" t="s">
        <v>78</v>
      </c>
      <c r="N322" t="s">
        <v>79</v>
      </c>
      <c r="O322" t="s">
        <v>74</v>
      </c>
      <c r="P322" t="s">
        <v>74</v>
      </c>
      <c r="Q322" t="s">
        <v>74</v>
      </c>
      <c r="R322" t="s">
        <v>74</v>
      </c>
      <c r="S322" t="s">
        <v>74</v>
      </c>
      <c r="T322" t="s">
        <v>6764</v>
      </c>
      <c r="U322" t="s">
        <v>6765</v>
      </c>
      <c r="V322" t="s">
        <v>6766</v>
      </c>
      <c r="W322" t="s">
        <v>6767</v>
      </c>
      <c r="X322" t="s">
        <v>6768</v>
      </c>
      <c r="Y322" t="s">
        <v>6769</v>
      </c>
      <c r="Z322" t="s">
        <v>6770</v>
      </c>
      <c r="AA322" t="s">
        <v>6771</v>
      </c>
      <c r="AB322" t="s">
        <v>6772</v>
      </c>
      <c r="AC322" t="s">
        <v>6773</v>
      </c>
      <c r="AD322" t="s">
        <v>6773</v>
      </c>
      <c r="AE322" t="s">
        <v>6774</v>
      </c>
      <c r="AF322" t="s">
        <v>74</v>
      </c>
      <c r="AG322">
        <v>38</v>
      </c>
      <c r="AH322">
        <v>8</v>
      </c>
      <c r="AI322">
        <v>8</v>
      </c>
      <c r="AJ322">
        <v>1</v>
      </c>
      <c r="AK322">
        <v>5</v>
      </c>
      <c r="AL322" t="s">
        <v>1710</v>
      </c>
      <c r="AM322" t="s">
        <v>609</v>
      </c>
      <c r="AN322" t="s">
        <v>1711</v>
      </c>
      <c r="AO322" t="s">
        <v>1759</v>
      </c>
      <c r="AP322" t="s">
        <v>1760</v>
      </c>
      <c r="AQ322" t="s">
        <v>74</v>
      </c>
      <c r="AR322" t="s">
        <v>1761</v>
      </c>
      <c r="AS322" t="s">
        <v>1762</v>
      </c>
      <c r="AT322" t="s">
        <v>6558</v>
      </c>
      <c r="AU322">
        <v>2020</v>
      </c>
      <c r="AV322">
        <v>125</v>
      </c>
      <c r="AW322">
        <v>10</v>
      </c>
      <c r="AX322" t="s">
        <v>74</v>
      </c>
      <c r="AY322" t="s">
        <v>74</v>
      </c>
      <c r="AZ322" t="s">
        <v>74</v>
      </c>
      <c r="BA322" t="s">
        <v>74</v>
      </c>
      <c r="BB322" t="s">
        <v>74</v>
      </c>
      <c r="BC322" t="s">
        <v>74</v>
      </c>
      <c r="BD322" t="s">
        <v>6775</v>
      </c>
      <c r="BE322" t="s">
        <v>6776</v>
      </c>
      <c r="BF322" t="str">
        <f>HYPERLINK("http://dx.doi.org/10.1029/2020JC016414","http://dx.doi.org/10.1029/2020JC016414")</f>
        <v>http://dx.doi.org/10.1029/2020JC016414</v>
      </c>
      <c r="BG322" t="s">
        <v>74</v>
      </c>
      <c r="BH322" t="s">
        <v>74</v>
      </c>
      <c r="BI322">
        <v>21</v>
      </c>
      <c r="BJ322" t="s">
        <v>1283</v>
      </c>
      <c r="BK322" t="s">
        <v>100</v>
      </c>
      <c r="BL322" t="s">
        <v>1283</v>
      </c>
      <c r="BM322" t="s">
        <v>6740</v>
      </c>
      <c r="BN322" t="s">
        <v>74</v>
      </c>
      <c r="BO322" t="s">
        <v>74</v>
      </c>
      <c r="BP322" t="s">
        <v>74</v>
      </c>
      <c r="BQ322" t="s">
        <v>74</v>
      </c>
      <c r="BR322" t="s">
        <v>104</v>
      </c>
      <c r="BS322" t="s">
        <v>6777</v>
      </c>
      <c r="BT322" t="str">
        <f>HYPERLINK("https%3A%2F%2Fwww.webofscience.com%2Fwos%2Fwoscc%2Ffull-record%2FWOS:000612077200046","View Full Record in Web of Science")</f>
        <v>View Full Record in Web of Science</v>
      </c>
    </row>
    <row r="323" spans="1:72" x14ac:dyDescent="0.15">
      <c r="A323" t="s">
        <v>72</v>
      </c>
      <c r="B323" t="s">
        <v>6778</v>
      </c>
      <c r="C323" t="s">
        <v>74</v>
      </c>
      <c r="D323" t="s">
        <v>74</v>
      </c>
      <c r="E323" t="s">
        <v>74</v>
      </c>
      <c r="F323" t="s">
        <v>6779</v>
      </c>
      <c r="G323" t="s">
        <v>74</v>
      </c>
      <c r="H323" t="s">
        <v>74</v>
      </c>
      <c r="I323" t="s">
        <v>6780</v>
      </c>
      <c r="J323" t="s">
        <v>1747</v>
      </c>
      <c r="K323" t="s">
        <v>74</v>
      </c>
      <c r="L323" t="s">
        <v>74</v>
      </c>
      <c r="M323" t="s">
        <v>78</v>
      </c>
      <c r="N323" t="s">
        <v>79</v>
      </c>
      <c r="O323" t="s">
        <v>74</v>
      </c>
      <c r="P323" t="s">
        <v>74</v>
      </c>
      <c r="Q323" t="s">
        <v>74</v>
      </c>
      <c r="R323" t="s">
        <v>74</v>
      </c>
      <c r="S323" t="s">
        <v>74</v>
      </c>
      <c r="T323" t="s">
        <v>6781</v>
      </c>
      <c r="U323" t="s">
        <v>6782</v>
      </c>
      <c r="V323" t="s">
        <v>6783</v>
      </c>
      <c r="W323" t="s">
        <v>6784</v>
      </c>
      <c r="X323" t="s">
        <v>6785</v>
      </c>
      <c r="Y323" t="s">
        <v>6786</v>
      </c>
      <c r="Z323" t="s">
        <v>6787</v>
      </c>
      <c r="AA323" t="s">
        <v>6788</v>
      </c>
      <c r="AB323" t="s">
        <v>6789</v>
      </c>
      <c r="AC323" t="s">
        <v>6790</v>
      </c>
      <c r="AD323" t="s">
        <v>6791</v>
      </c>
      <c r="AE323" t="s">
        <v>6792</v>
      </c>
      <c r="AF323" t="s">
        <v>74</v>
      </c>
      <c r="AG323">
        <v>48</v>
      </c>
      <c r="AH323">
        <v>15</v>
      </c>
      <c r="AI323">
        <v>16</v>
      </c>
      <c r="AJ323">
        <v>2</v>
      </c>
      <c r="AK323">
        <v>7</v>
      </c>
      <c r="AL323" t="s">
        <v>1710</v>
      </c>
      <c r="AM323" t="s">
        <v>609</v>
      </c>
      <c r="AN323" t="s">
        <v>1711</v>
      </c>
      <c r="AO323" t="s">
        <v>1759</v>
      </c>
      <c r="AP323" t="s">
        <v>1760</v>
      </c>
      <c r="AQ323" t="s">
        <v>74</v>
      </c>
      <c r="AR323" t="s">
        <v>1761</v>
      </c>
      <c r="AS323" t="s">
        <v>1762</v>
      </c>
      <c r="AT323" t="s">
        <v>6558</v>
      </c>
      <c r="AU323">
        <v>2020</v>
      </c>
      <c r="AV323">
        <v>125</v>
      </c>
      <c r="AW323">
        <v>10</v>
      </c>
      <c r="AX323" t="s">
        <v>74</v>
      </c>
      <c r="AY323" t="s">
        <v>74</v>
      </c>
      <c r="AZ323" t="s">
        <v>74</v>
      </c>
      <c r="BA323" t="s">
        <v>74</v>
      </c>
      <c r="BB323" t="s">
        <v>74</v>
      </c>
      <c r="BC323" t="s">
        <v>74</v>
      </c>
      <c r="BD323" t="s">
        <v>6793</v>
      </c>
      <c r="BE323" t="s">
        <v>6794</v>
      </c>
      <c r="BF323" t="str">
        <f>HYPERLINK("http://dx.doi.org/10.1029/2020JC016316","http://dx.doi.org/10.1029/2020JC016316")</f>
        <v>http://dx.doi.org/10.1029/2020JC016316</v>
      </c>
      <c r="BG323" t="s">
        <v>74</v>
      </c>
      <c r="BH323" t="s">
        <v>74</v>
      </c>
      <c r="BI323">
        <v>20</v>
      </c>
      <c r="BJ323" t="s">
        <v>1283</v>
      </c>
      <c r="BK323" t="s">
        <v>100</v>
      </c>
      <c r="BL323" t="s">
        <v>1283</v>
      </c>
      <c r="BM323" t="s">
        <v>6740</v>
      </c>
      <c r="BN323" t="s">
        <v>74</v>
      </c>
      <c r="BO323" t="s">
        <v>1980</v>
      </c>
      <c r="BP323" t="s">
        <v>74</v>
      </c>
      <c r="BQ323" t="s">
        <v>74</v>
      </c>
      <c r="BR323" t="s">
        <v>104</v>
      </c>
      <c r="BS323" t="s">
        <v>6795</v>
      </c>
      <c r="BT323" t="str">
        <f>HYPERLINK("https%3A%2F%2Fwww.webofscience.com%2Fwos%2Fwoscc%2Ffull-record%2FWOS:000612077200038","View Full Record in Web of Science")</f>
        <v>View Full Record in Web of Science</v>
      </c>
    </row>
    <row r="324" spans="1:72" x14ac:dyDescent="0.15">
      <c r="A324" t="s">
        <v>72</v>
      </c>
      <c r="B324" t="s">
        <v>6796</v>
      </c>
      <c r="C324" t="s">
        <v>74</v>
      </c>
      <c r="D324" t="s">
        <v>74</v>
      </c>
      <c r="E324" t="s">
        <v>74</v>
      </c>
      <c r="F324" t="s">
        <v>6797</v>
      </c>
      <c r="G324" t="s">
        <v>74</v>
      </c>
      <c r="H324" t="s">
        <v>74</v>
      </c>
      <c r="I324" t="s">
        <v>6798</v>
      </c>
      <c r="J324" t="s">
        <v>1747</v>
      </c>
      <c r="K324" t="s">
        <v>74</v>
      </c>
      <c r="L324" t="s">
        <v>74</v>
      </c>
      <c r="M324" t="s">
        <v>78</v>
      </c>
      <c r="N324" t="s">
        <v>79</v>
      </c>
      <c r="O324" t="s">
        <v>74</v>
      </c>
      <c r="P324" t="s">
        <v>74</v>
      </c>
      <c r="Q324" t="s">
        <v>74</v>
      </c>
      <c r="R324" t="s">
        <v>74</v>
      </c>
      <c r="S324" t="s">
        <v>74</v>
      </c>
      <c r="T324" t="s">
        <v>6799</v>
      </c>
      <c r="U324" t="s">
        <v>6800</v>
      </c>
      <c r="V324" t="s">
        <v>6801</v>
      </c>
      <c r="W324" t="s">
        <v>6802</v>
      </c>
      <c r="X324" t="s">
        <v>6803</v>
      </c>
      <c r="Y324" t="s">
        <v>6804</v>
      </c>
      <c r="Z324" t="s">
        <v>6805</v>
      </c>
      <c r="AA324" t="s">
        <v>6806</v>
      </c>
      <c r="AB324" t="s">
        <v>6807</v>
      </c>
      <c r="AC324" t="s">
        <v>6808</v>
      </c>
      <c r="AD324" t="s">
        <v>6809</v>
      </c>
      <c r="AE324" t="s">
        <v>6810</v>
      </c>
      <c r="AF324" t="s">
        <v>74</v>
      </c>
      <c r="AG324">
        <v>107</v>
      </c>
      <c r="AH324">
        <v>18</v>
      </c>
      <c r="AI324">
        <v>20</v>
      </c>
      <c r="AJ324">
        <v>0</v>
      </c>
      <c r="AK324">
        <v>5</v>
      </c>
      <c r="AL324" t="s">
        <v>1710</v>
      </c>
      <c r="AM324" t="s">
        <v>609</v>
      </c>
      <c r="AN324" t="s">
        <v>1711</v>
      </c>
      <c r="AO324" t="s">
        <v>1759</v>
      </c>
      <c r="AP324" t="s">
        <v>1760</v>
      </c>
      <c r="AQ324" t="s">
        <v>74</v>
      </c>
      <c r="AR324" t="s">
        <v>1761</v>
      </c>
      <c r="AS324" t="s">
        <v>1762</v>
      </c>
      <c r="AT324" t="s">
        <v>6558</v>
      </c>
      <c r="AU324">
        <v>2020</v>
      </c>
      <c r="AV324">
        <v>125</v>
      </c>
      <c r="AW324">
        <v>10</v>
      </c>
      <c r="AX324" t="s">
        <v>74</v>
      </c>
      <c r="AY324" t="s">
        <v>74</v>
      </c>
      <c r="AZ324" t="s">
        <v>74</v>
      </c>
      <c r="BA324" t="s">
        <v>74</v>
      </c>
      <c r="BB324" t="s">
        <v>74</v>
      </c>
      <c r="BC324" t="s">
        <v>74</v>
      </c>
      <c r="BD324" t="s">
        <v>6811</v>
      </c>
      <c r="BE324" t="s">
        <v>6812</v>
      </c>
      <c r="BF324" t="str">
        <f>HYPERLINK("http://dx.doi.org/10.1029/2020JC016044","http://dx.doi.org/10.1029/2020JC016044")</f>
        <v>http://dx.doi.org/10.1029/2020JC016044</v>
      </c>
      <c r="BG324" t="s">
        <v>74</v>
      </c>
      <c r="BH324" t="s">
        <v>74</v>
      </c>
      <c r="BI324">
        <v>35</v>
      </c>
      <c r="BJ324" t="s">
        <v>1283</v>
      </c>
      <c r="BK324" t="s">
        <v>100</v>
      </c>
      <c r="BL324" t="s">
        <v>1283</v>
      </c>
      <c r="BM324" t="s">
        <v>6740</v>
      </c>
      <c r="BN324" t="s">
        <v>74</v>
      </c>
      <c r="BO324" t="s">
        <v>3798</v>
      </c>
      <c r="BP324" t="s">
        <v>74</v>
      </c>
      <c r="BQ324" t="s">
        <v>74</v>
      </c>
      <c r="BR324" t="s">
        <v>104</v>
      </c>
      <c r="BS324" t="s">
        <v>6813</v>
      </c>
      <c r="BT324" t="str">
        <f>HYPERLINK("https%3A%2F%2Fwww.webofscience.com%2Fwos%2Fwoscc%2Ffull-record%2FWOS:000612077200015","View Full Record in Web of Science")</f>
        <v>View Full Record in Web of Science</v>
      </c>
    </row>
    <row r="325" spans="1:72" x14ac:dyDescent="0.15">
      <c r="A325" t="s">
        <v>72</v>
      </c>
      <c r="B325" t="s">
        <v>6814</v>
      </c>
      <c r="C325" t="s">
        <v>74</v>
      </c>
      <c r="D325" t="s">
        <v>74</v>
      </c>
      <c r="E325" t="s">
        <v>74</v>
      </c>
      <c r="F325" t="s">
        <v>6815</v>
      </c>
      <c r="G325" t="s">
        <v>74</v>
      </c>
      <c r="H325" t="s">
        <v>74</v>
      </c>
      <c r="I325" t="s">
        <v>6816</v>
      </c>
      <c r="J325" t="s">
        <v>1747</v>
      </c>
      <c r="K325" t="s">
        <v>74</v>
      </c>
      <c r="L325" t="s">
        <v>74</v>
      </c>
      <c r="M325" t="s">
        <v>78</v>
      </c>
      <c r="N325" t="s">
        <v>79</v>
      </c>
      <c r="O325" t="s">
        <v>74</v>
      </c>
      <c r="P325" t="s">
        <v>74</v>
      </c>
      <c r="Q325" t="s">
        <v>74</v>
      </c>
      <c r="R325" t="s">
        <v>74</v>
      </c>
      <c r="S325" t="s">
        <v>74</v>
      </c>
      <c r="T325" t="s">
        <v>6817</v>
      </c>
      <c r="U325" t="s">
        <v>6818</v>
      </c>
      <c r="V325" t="s">
        <v>6819</v>
      </c>
      <c r="W325" t="s">
        <v>6820</v>
      </c>
      <c r="X325" t="s">
        <v>6821</v>
      </c>
      <c r="Y325" t="s">
        <v>6822</v>
      </c>
      <c r="Z325" t="s">
        <v>6823</v>
      </c>
      <c r="AA325" t="s">
        <v>6824</v>
      </c>
      <c r="AB325" t="s">
        <v>6825</v>
      </c>
      <c r="AC325" t="s">
        <v>6826</v>
      </c>
      <c r="AD325" t="s">
        <v>6827</v>
      </c>
      <c r="AE325" t="s">
        <v>6828</v>
      </c>
      <c r="AF325" t="s">
        <v>74</v>
      </c>
      <c r="AG325">
        <v>76</v>
      </c>
      <c r="AH325">
        <v>5</v>
      </c>
      <c r="AI325">
        <v>5</v>
      </c>
      <c r="AJ325">
        <v>0</v>
      </c>
      <c r="AK325">
        <v>9</v>
      </c>
      <c r="AL325" t="s">
        <v>1710</v>
      </c>
      <c r="AM325" t="s">
        <v>609</v>
      </c>
      <c r="AN325" t="s">
        <v>1711</v>
      </c>
      <c r="AO325" t="s">
        <v>1759</v>
      </c>
      <c r="AP325" t="s">
        <v>1760</v>
      </c>
      <c r="AQ325" t="s">
        <v>74</v>
      </c>
      <c r="AR325" t="s">
        <v>1761</v>
      </c>
      <c r="AS325" t="s">
        <v>1762</v>
      </c>
      <c r="AT325" t="s">
        <v>6558</v>
      </c>
      <c r="AU325">
        <v>2020</v>
      </c>
      <c r="AV325">
        <v>125</v>
      </c>
      <c r="AW325">
        <v>10</v>
      </c>
      <c r="AX325" t="s">
        <v>74</v>
      </c>
      <c r="AY325" t="s">
        <v>74</v>
      </c>
      <c r="AZ325" t="s">
        <v>74</v>
      </c>
      <c r="BA325" t="s">
        <v>74</v>
      </c>
      <c r="BB325" t="s">
        <v>74</v>
      </c>
      <c r="BC325" t="s">
        <v>74</v>
      </c>
      <c r="BD325" t="s">
        <v>6829</v>
      </c>
      <c r="BE325" t="s">
        <v>6830</v>
      </c>
      <c r="BF325" t="str">
        <f>HYPERLINK("http://dx.doi.org/10.1029/2019JC015696","http://dx.doi.org/10.1029/2019JC015696")</f>
        <v>http://dx.doi.org/10.1029/2019JC015696</v>
      </c>
      <c r="BG325" t="s">
        <v>74</v>
      </c>
      <c r="BH325" t="s">
        <v>74</v>
      </c>
      <c r="BI325">
        <v>18</v>
      </c>
      <c r="BJ325" t="s">
        <v>1283</v>
      </c>
      <c r="BK325" t="s">
        <v>100</v>
      </c>
      <c r="BL325" t="s">
        <v>1283</v>
      </c>
      <c r="BM325" t="s">
        <v>6740</v>
      </c>
      <c r="BN325" t="s">
        <v>74</v>
      </c>
      <c r="BO325" t="s">
        <v>1188</v>
      </c>
      <c r="BP325" t="s">
        <v>74</v>
      </c>
      <c r="BQ325" t="s">
        <v>74</v>
      </c>
      <c r="BR325" t="s">
        <v>104</v>
      </c>
      <c r="BS325" t="s">
        <v>6831</v>
      </c>
      <c r="BT325" t="str">
        <f>HYPERLINK("https%3A%2F%2Fwww.webofscience.com%2Fwos%2Fwoscc%2Ffull-record%2FWOS:000612077200057","View Full Record in Web of Science")</f>
        <v>View Full Record in Web of Science</v>
      </c>
    </row>
    <row r="326" spans="1:72" x14ac:dyDescent="0.15">
      <c r="A326" t="s">
        <v>72</v>
      </c>
      <c r="B326" t="s">
        <v>6832</v>
      </c>
      <c r="C326" t="s">
        <v>74</v>
      </c>
      <c r="D326" t="s">
        <v>74</v>
      </c>
      <c r="E326" t="s">
        <v>74</v>
      </c>
      <c r="F326" t="s">
        <v>6833</v>
      </c>
      <c r="G326" t="s">
        <v>74</v>
      </c>
      <c r="H326" t="s">
        <v>74</v>
      </c>
      <c r="I326" t="s">
        <v>6834</v>
      </c>
      <c r="J326" t="s">
        <v>1747</v>
      </c>
      <c r="K326" t="s">
        <v>74</v>
      </c>
      <c r="L326" t="s">
        <v>74</v>
      </c>
      <c r="M326" t="s">
        <v>78</v>
      </c>
      <c r="N326" t="s">
        <v>79</v>
      </c>
      <c r="O326" t="s">
        <v>74</v>
      </c>
      <c r="P326" t="s">
        <v>74</v>
      </c>
      <c r="Q326" t="s">
        <v>74</v>
      </c>
      <c r="R326" t="s">
        <v>74</v>
      </c>
      <c r="S326" t="s">
        <v>74</v>
      </c>
      <c r="T326" t="s">
        <v>6835</v>
      </c>
      <c r="U326" t="s">
        <v>6836</v>
      </c>
      <c r="V326" t="s">
        <v>6837</v>
      </c>
      <c r="W326" t="s">
        <v>6838</v>
      </c>
      <c r="X326" t="s">
        <v>6839</v>
      </c>
      <c r="Y326" t="s">
        <v>6840</v>
      </c>
      <c r="Z326" t="s">
        <v>6841</v>
      </c>
      <c r="AA326" t="s">
        <v>6842</v>
      </c>
      <c r="AB326" t="s">
        <v>6843</v>
      </c>
      <c r="AC326" t="s">
        <v>6844</v>
      </c>
      <c r="AD326" t="s">
        <v>6845</v>
      </c>
      <c r="AE326" t="s">
        <v>6846</v>
      </c>
      <c r="AF326" t="s">
        <v>74</v>
      </c>
      <c r="AG326">
        <v>33</v>
      </c>
      <c r="AH326">
        <v>4</v>
      </c>
      <c r="AI326">
        <v>4</v>
      </c>
      <c r="AJ326">
        <v>2</v>
      </c>
      <c r="AK326">
        <v>16</v>
      </c>
      <c r="AL326" t="s">
        <v>1710</v>
      </c>
      <c r="AM326" t="s">
        <v>609</v>
      </c>
      <c r="AN326" t="s">
        <v>1711</v>
      </c>
      <c r="AO326" t="s">
        <v>1759</v>
      </c>
      <c r="AP326" t="s">
        <v>1760</v>
      </c>
      <c r="AQ326" t="s">
        <v>74</v>
      </c>
      <c r="AR326" t="s">
        <v>1761</v>
      </c>
      <c r="AS326" t="s">
        <v>1762</v>
      </c>
      <c r="AT326" t="s">
        <v>6558</v>
      </c>
      <c r="AU326">
        <v>2020</v>
      </c>
      <c r="AV326">
        <v>125</v>
      </c>
      <c r="AW326">
        <v>10</v>
      </c>
      <c r="AX326" t="s">
        <v>74</v>
      </c>
      <c r="AY326" t="s">
        <v>74</v>
      </c>
      <c r="AZ326" t="s">
        <v>74</v>
      </c>
      <c r="BA326" t="s">
        <v>74</v>
      </c>
      <c r="BB326" t="s">
        <v>74</v>
      </c>
      <c r="BC326" t="s">
        <v>74</v>
      </c>
      <c r="BD326" t="s">
        <v>6847</v>
      </c>
      <c r="BE326" t="s">
        <v>6848</v>
      </c>
      <c r="BF326" t="str">
        <f>HYPERLINK("http://dx.doi.org/10.1029/2019JC016042","http://dx.doi.org/10.1029/2019JC016042")</f>
        <v>http://dx.doi.org/10.1029/2019JC016042</v>
      </c>
      <c r="BG326" t="s">
        <v>74</v>
      </c>
      <c r="BH326" t="s">
        <v>74</v>
      </c>
      <c r="BI326">
        <v>13</v>
      </c>
      <c r="BJ326" t="s">
        <v>1283</v>
      </c>
      <c r="BK326" t="s">
        <v>100</v>
      </c>
      <c r="BL326" t="s">
        <v>1283</v>
      </c>
      <c r="BM326" t="s">
        <v>6740</v>
      </c>
      <c r="BN326" t="s">
        <v>74</v>
      </c>
      <c r="BO326" t="s">
        <v>1794</v>
      </c>
      <c r="BP326" t="s">
        <v>74</v>
      </c>
      <c r="BQ326" t="s">
        <v>74</v>
      </c>
      <c r="BR326" t="s">
        <v>104</v>
      </c>
      <c r="BS326" t="s">
        <v>6849</v>
      </c>
      <c r="BT326" t="str">
        <f>HYPERLINK("https%3A%2F%2Fwww.webofscience.com%2Fwos%2Fwoscc%2Ffull-record%2FWOS:000612077200048","View Full Record in Web of Science")</f>
        <v>View Full Record in Web of Science</v>
      </c>
    </row>
    <row r="327" spans="1:72" x14ac:dyDescent="0.15">
      <c r="A327" t="s">
        <v>72</v>
      </c>
      <c r="B327" t="s">
        <v>6850</v>
      </c>
      <c r="C327" t="s">
        <v>74</v>
      </c>
      <c r="D327" t="s">
        <v>74</v>
      </c>
      <c r="E327" t="s">
        <v>74</v>
      </c>
      <c r="F327" t="s">
        <v>6851</v>
      </c>
      <c r="G327" t="s">
        <v>74</v>
      </c>
      <c r="H327" t="s">
        <v>74</v>
      </c>
      <c r="I327" t="s">
        <v>6852</v>
      </c>
      <c r="J327" t="s">
        <v>1747</v>
      </c>
      <c r="K327" t="s">
        <v>74</v>
      </c>
      <c r="L327" t="s">
        <v>74</v>
      </c>
      <c r="M327" t="s">
        <v>78</v>
      </c>
      <c r="N327" t="s">
        <v>79</v>
      </c>
      <c r="O327" t="s">
        <v>74</v>
      </c>
      <c r="P327" t="s">
        <v>74</v>
      </c>
      <c r="Q327" t="s">
        <v>74</v>
      </c>
      <c r="R327" t="s">
        <v>74</v>
      </c>
      <c r="S327" t="s">
        <v>74</v>
      </c>
      <c r="T327" t="s">
        <v>6853</v>
      </c>
      <c r="U327" t="s">
        <v>6854</v>
      </c>
      <c r="V327" t="s">
        <v>6855</v>
      </c>
      <c r="W327" t="s">
        <v>6856</v>
      </c>
      <c r="X327" t="s">
        <v>6857</v>
      </c>
      <c r="Y327" t="s">
        <v>6858</v>
      </c>
      <c r="Z327" t="s">
        <v>6859</v>
      </c>
      <c r="AA327" t="s">
        <v>6860</v>
      </c>
      <c r="AB327" t="s">
        <v>6861</v>
      </c>
      <c r="AC327" t="s">
        <v>6862</v>
      </c>
      <c r="AD327" t="s">
        <v>6863</v>
      </c>
      <c r="AE327" t="s">
        <v>6864</v>
      </c>
      <c r="AF327" t="s">
        <v>74</v>
      </c>
      <c r="AG327">
        <v>76</v>
      </c>
      <c r="AH327">
        <v>13</v>
      </c>
      <c r="AI327">
        <v>14</v>
      </c>
      <c r="AJ327">
        <v>2</v>
      </c>
      <c r="AK327">
        <v>5</v>
      </c>
      <c r="AL327" t="s">
        <v>1710</v>
      </c>
      <c r="AM327" t="s">
        <v>609</v>
      </c>
      <c r="AN327" t="s">
        <v>1711</v>
      </c>
      <c r="AO327" t="s">
        <v>1759</v>
      </c>
      <c r="AP327" t="s">
        <v>1760</v>
      </c>
      <c r="AQ327" t="s">
        <v>74</v>
      </c>
      <c r="AR327" t="s">
        <v>1761</v>
      </c>
      <c r="AS327" t="s">
        <v>1762</v>
      </c>
      <c r="AT327" t="s">
        <v>6558</v>
      </c>
      <c r="AU327">
        <v>2020</v>
      </c>
      <c r="AV327">
        <v>125</v>
      </c>
      <c r="AW327">
        <v>10</v>
      </c>
      <c r="AX327" t="s">
        <v>74</v>
      </c>
      <c r="AY327" t="s">
        <v>74</v>
      </c>
      <c r="AZ327" t="s">
        <v>74</v>
      </c>
      <c r="BA327" t="s">
        <v>74</v>
      </c>
      <c r="BB327" t="s">
        <v>74</v>
      </c>
      <c r="BC327" t="s">
        <v>74</v>
      </c>
      <c r="BD327" t="s">
        <v>6865</v>
      </c>
      <c r="BE327" t="s">
        <v>6866</v>
      </c>
      <c r="BF327" t="str">
        <f>HYPERLINK("http://dx.doi.org/10.1029/2020JC016427","http://dx.doi.org/10.1029/2020JC016427")</f>
        <v>http://dx.doi.org/10.1029/2020JC016427</v>
      </c>
      <c r="BG327" t="s">
        <v>74</v>
      </c>
      <c r="BH327" t="s">
        <v>74</v>
      </c>
      <c r="BI327">
        <v>19</v>
      </c>
      <c r="BJ327" t="s">
        <v>1283</v>
      </c>
      <c r="BK327" t="s">
        <v>100</v>
      </c>
      <c r="BL327" t="s">
        <v>1283</v>
      </c>
      <c r="BM327" t="s">
        <v>6740</v>
      </c>
      <c r="BN327">
        <v>33381361</v>
      </c>
      <c r="BO327" t="s">
        <v>3476</v>
      </c>
      <c r="BP327" t="s">
        <v>74</v>
      </c>
      <c r="BQ327" t="s">
        <v>74</v>
      </c>
      <c r="BR327" t="s">
        <v>104</v>
      </c>
      <c r="BS327" t="s">
        <v>6867</v>
      </c>
      <c r="BT327" t="str">
        <f>HYPERLINK("https%3A%2F%2Fwww.webofscience.com%2Fwos%2Fwoscc%2Ffull-record%2FWOS:000612077200044","View Full Record in Web of Science")</f>
        <v>View Full Record in Web of Science</v>
      </c>
    </row>
    <row r="328" spans="1:72" x14ac:dyDescent="0.15">
      <c r="A328" t="s">
        <v>72</v>
      </c>
      <c r="B328" t="s">
        <v>6868</v>
      </c>
      <c r="C328" t="s">
        <v>74</v>
      </c>
      <c r="D328" t="s">
        <v>74</v>
      </c>
      <c r="E328" t="s">
        <v>74</v>
      </c>
      <c r="F328" t="s">
        <v>6869</v>
      </c>
      <c r="G328" t="s">
        <v>74</v>
      </c>
      <c r="H328" t="s">
        <v>74</v>
      </c>
      <c r="I328" t="s">
        <v>6870</v>
      </c>
      <c r="J328" t="s">
        <v>1289</v>
      </c>
      <c r="K328" t="s">
        <v>74</v>
      </c>
      <c r="L328" t="s">
        <v>74</v>
      </c>
      <c r="M328" t="s">
        <v>78</v>
      </c>
      <c r="N328" t="s">
        <v>79</v>
      </c>
      <c r="O328" t="s">
        <v>74</v>
      </c>
      <c r="P328" t="s">
        <v>74</v>
      </c>
      <c r="Q328" t="s">
        <v>74</v>
      </c>
      <c r="R328" t="s">
        <v>74</v>
      </c>
      <c r="S328" t="s">
        <v>74</v>
      </c>
      <c r="T328" t="s">
        <v>6871</v>
      </c>
      <c r="U328" t="s">
        <v>74</v>
      </c>
      <c r="V328" t="s">
        <v>6872</v>
      </c>
      <c r="W328" t="s">
        <v>6873</v>
      </c>
      <c r="X328" t="s">
        <v>6874</v>
      </c>
      <c r="Y328" t="s">
        <v>6875</v>
      </c>
      <c r="Z328" t="s">
        <v>6876</v>
      </c>
      <c r="AA328" t="s">
        <v>6877</v>
      </c>
      <c r="AB328" t="s">
        <v>6878</v>
      </c>
      <c r="AC328" t="s">
        <v>74</v>
      </c>
      <c r="AD328" t="s">
        <v>74</v>
      </c>
      <c r="AE328" t="s">
        <v>74</v>
      </c>
      <c r="AF328" t="s">
        <v>74</v>
      </c>
      <c r="AG328">
        <v>10</v>
      </c>
      <c r="AH328">
        <v>0</v>
      </c>
      <c r="AI328">
        <v>0</v>
      </c>
      <c r="AJ328">
        <v>0</v>
      </c>
      <c r="AK328">
        <v>0</v>
      </c>
      <c r="AL328" t="s">
        <v>1276</v>
      </c>
      <c r="AM328" t="s">
        <v>483</v>
      </c>
      <c r="AN328" t="s">
        <v>1277</v>
      </c>
      <c r="AO328" t="s">
        <v>1301</v>
      </c>
      <c r="AP328" t="s">
        <v>1302</v>
      </c>
      <c r="AQ328" t="s">
        <v>74</v>
      </c>
      <c r="AR328" t="s">
        <v>1303</v>
      </c>
      <c r="AS328" t="s">
        <v>1304</v>
      </c>
      <c r="AT328" t="s">
        <v>6558</v>
      </c>
      <c r="AU328">
        <v>2020</v>
      </c>
      <c r="AV328">
        <v>45</v>
      </c>
      <c r="AW328">
        <v>10</v>
      </c>
      <c r="AX328" t="s">
        <v>74</v>
      </c>
      <c r="AY328" t="s">
        <v>74</v>
      </c>
      <c r="AZ328" t="s">
        <v>74</v>
      </c>
      <c r="BA328" t="s">
        <v>74</v>
      </c>
      <c r="BB328">
        <v>742</v>
      </c>
      <c r="BC328">
        <v>747</v>
      </c>
      <c r="BD328" t="s">
        <v>74</v>
      </c>
      <c r="BE328" t="s">
        <v>6879</v>
      </c>
      <c r="BF328" t="str">
        <f>HYPERLINK("http://dx.doi.org/10.3103/S106837392010009X","http://dx.doi.org/10.3103/S106837392010009X")</f>
        <v>http://dx.doi.org/10.3103/S106837392010009X</v>
      </c>
      <c r="BG328" t="s">
        <v>74</v>
      </c>
      <c r="BH328" t="s">
        <v>74</v>
      </c>
      <c r="BI328">
        <v>6</v>
      </c>
      <c r="BJ328" t="s">
        <v>800</v>
      </c>
      <c r="BK328" t="s">
        <v>100</v>
      </c>
      <c r="BL328" t="s">
        <v>800</v>
      </c>
      <c r="BM328" t="s">
        <v>6880</v>
      </c>
      <c r="BN328" t="s">
        <v>74</v>
      </c>
      <c r="BO328" t="s">
        <v>74</v>
      </c>
      <c r="BP328" t="s">
        <v>74</v>
      </c>
      <c r="BQ328" t="s">
        <v>74</v>
      </c>
      <c r="BR328" t="s">
        <v>104</v>
      </c>
      <c r="BS328" t="s">
        <v>6881</v>
      </c>
      <c r="BT328" t="str">
        <f>HYPERLINK("https%3A%2F%2Fwww.webofscience.com%2Fwos%2Fwoscc%2Ffull-record%2FWOS:000608399600009","View Full Record in Web of Science")</f>
        <v>View Full Record in Web of Science</v>
      </c>
    </row>
    <row r="329" spans="1:72" x14ac:dyDescent="0.15">
      <c r="A329" t="s">
        <v>72</v>
      </c>
      <c r="B329" t="s">
        <v>6882</v>
      </c>
      <c r="C329" t="s">
        <v>74</v>
      </c>
      <c r="D329" t="s">
        <v>74</v>
      </c>
      <c r="E329" t="s">
        <v>74</v>
      </c>
      <c r="F329" t="s">
        <v>6883</v>
      </c>
      <c r="G329" t="s">
        <v>74</v>
      </c>
      <c r="H329" t="s">
        <v>74</v>
      </c>
      <c r="I329" t="s">
        <v>6884</v>
      </c>
      <c r="J329" t="s">
        <v>6885</v>
      </c>
      <c r="K329" t="s">
        <v>74</v>
      </c>
      <c r="L329" t="s">
        <v>74</v>
      </c>
      <c r="M329" t="s">
        <v>78</v>
      </c>
      <c r="N329" t="s">
        <v>79</v>
      </c>
      <c r="O329" t="s">
        <v>74</v>
      </c>
      <c r="P329" t="s">
        <v>74</v>
      </c>
      <c r="Q329" t="s">
        <v>74</v>
      </c>
      <c r="R329" t="s">
        <v>74</v>
      </c>
      <c r="S329" t="s">
        <v>74</v>
      </c>
      <c r="T329" t="s">
        <v>6886</v>
      </c>
      <c r="U329" t="s">
        <v>6887</v>
      </c>
      <c r="V329" t="s">
        <v>6888</v>
      </c>
      <c r="W329" t="s">
        <v>6889</v>
      </c>
      <c r="X329" t="s">
        <v>6890</v>
      </c>
      <c r="Y329" t="s">
        <v>6891</v>
      </c>
      <c r="Z329" t="s">
        <v>6892</v>
      </c>
      <c r="AA329" t="s">
        <v>6893</v>
      </c>
      <c r="AB329" t="s">
        <v>6894</v>
      </c>
      <c r="AC329" t="s">
        <v>6895</v>
      </c>
      <c r="AD329" t="s">
        <v>6896</v>
      </c>
      <c r="AE329" t="s">
        <v>6897</v>
      </c>
      <c r="AF329" t="s">
        <v>74</v>
      </c>
      <c r="AG329">
        <v>46</v>
      </c>
      <c r="AH329">
        <v>2</v>
      </c>
      <c r="AI329">
        <v>3</v>
      </c>
      <c r="AJ329">
        <v>0</v>
      </c>
      <c r="AK329">
        <v>6</v>
      </c>
      <c r="AL329" t="s">
        <v>1710</v>
      </c>
      <c r="AM329" t="s">
        <v>609</v>
      </c>
      <c r="AN329" t="s">
        <v>1711</v>
      </c>
      <c r="AO329" t="s">
        <v>6898</v>
      </c>
      <c r="AP329" t="s">
        <v>6899</v>
      </c>
      <c r="AQ329" t="s">
        <v>74</v>
      </c>
      <c r="AR329" t="s">
        <v>6900</v>
      </c>
      <c r="AS329" t="s">
        <v>6901</v>
      </c>
      <c r="AT329" t="s">
        <v>6558</v>
      </c>
      <c r="AU329">
        <v>2020</v>
      </c>
      <c r="AV329">
        <v>125</v>
      </c>
      <c r="AW329">
        <v>10</v>
      </c>
      <c r="AX329" t="s">
        <v>74</v>
      </c>
      <c r="AY329" t="s">
        <v>74</v>
      </c>
      <c r="AZ329" t="s">
        <v>74</v>
      </c>
      <c r="BA329" t="s">
        <v>74</v>
      </c>
      <c r="BB329" t="s">
        <v>74</v>
      </c>
      <c r="BC329" t="s">
        <v>74</v>
      </c>
      <c r="BD329" t="s">
        <v>6902</v>
      </c>
      <c r="BE329" t="s">
        <v>6903</v>
      </c>
      <c r="BF329" t="str">
        <f>HYPERLINK("http://dx.doi.org/10.1029/2020JB019825","http://dx.doi.org/10.1029/2020JB019825")</f>
        <v>http://dx.doi.org/10.1029/2020JB019825</v>
      </c>
      <c r="BG329" t="s">
        <v>74</v>
      </c>
      <c r="BH329" t="s">
        <v>74</v>
      </c>
      <c r="BI329">
        <v>20</v>
      </c>
      <c r="BJ329" t="s">
        <v>1361</v>
      </c>
      <c r="BK329" t="s">
        <v>100</v>
      </c>
      <c r="BL329" t="s">
        <v>1361</v>
      </c>
      <c r="BM329" t="s">
        <v>6904</v>
      </c>
      <c r="BN329" t="s">
        <v>74</v>
      </c>
      <c r="BO329" t="s">
        <v>701</v>
      </c>
      <c r="BP329" t="s">
        <v>74</v>
      </c>
      <c r="BQ329" t="s">
        <v>74</v>
      </c>
      <c r="BR329" t="s">
        <v>104</v>
      </c>
      <c r="BS329" t="s">
        <v>6905</v>
      </c>
      <c r="BT329" t="str">
        <f>HYPERLINK("https%3A%2F%2Fwww.webofscience.com%2Fwos%2Fwoscc%2Ffull-record%2FWOS:000604458900040","View Full Record in Web of Science")</f>
        <v>View Full Record in Web of Science</v>
      </c>
    </row>
    <row r="330" spans="1:72" x14ac:dyDescent="0.15">
      <c r="A330" t="s">
        <v>72</v>
      </c>
      <c r="B330" t="s">
        <v>6906</v>
      </c>
      <c r="C330" t="s">
        <v>74</v>
      </c>
      <c r="D330" t="s">
        <v>74</v>
      </c>
      <c r="E330" t="s">
        <v>74</v>
      </c>
      <c r="F330" t="s">
        <v>6907</v>
      </c>
      <c r="G330" t="s">
        <v>74</v>
      </c>
      <c r="H330" t="s">
        <v>74</v>
      </c>
      <c r="I330" t="s">
        <v>6908</v>
      </c>
      <c r="J330" t="s">
        <v>6885</v>
      </c>
      <c r="K330" t="s">
        <v>74</v>
      </c>
      <c r="L330" t="s">
        <v>74</v>
      </c>
      <c r="M330" t="s">
        <v>78</v>
      </c>
      <c r="N330" t="s">
        <v>79</v>
      </c>
      <c r="O330" t="s">
        <v>74</v>
      </c>
      <c r="P330" t="s">
        <v>74</v>
      </c>
      <c r="Q330" t="s">
        <v>74</v>
      </c>
      <c r="R330" t="s">
        <v>74</v>
      </c>
      <c r="S330" t="s">
        <v>74</v>
      </c>
      <c r="T330" t="s">
        <v>6909</v>
      </c>
      <c r="U330" t="s">
        <v>6910</v>
      </c>
      <c r="V330" t="s">
        <v>6911</v>
      </c>
      <c r="W330" t="s">
        <v>6912</v>
      </c>
      <c r="X330" t="s">
        <v>6913</v>
      </c>
      <c r="Y330" t="s">
        <v>6914</v>
      </c>
      <c r="Z330" t="s">
        <v>6915</v>
      </c>
      <c r="AA330" t="s">
        <v>6916</v>
      </c>
      <c r="AB330" t="s">
        <v>6917</v>
      </c>
      <c r="AC330" t="s">
        <v>6918</v>
      </c>
      <c r="AD330" t="s">
        <v>6919</v>
      </c>
      <c r="AE330" t="s">
        <v>6920</v>
      </c>
      <c r="AF330" t="s">
        <v>74</v>
      </c>
      <c r="AG330">
        <v>48</v>
      </c>
      <c r="AH330">
        <v>9</v>
      </c>
      <c r="AI330">
        <v>11</v>
      </c>
      <c r="AJ330">
        <v>2</v>
      </c>
      <c r="AK330">
        <v>11</v>
      </c>
      <c r="AL330" t="s">
        <v>1710</v>
      </c>
      <c r="AM330" t="s">
        <v>609</v>
      </c>
      <c r="AN330" t="s">
        <v>1711</v>
      </c>
      <c r="AO330" t="s">
        <v>6898</v>
      </c>
      <c r="AP330" t="s">
        <v>6899</v>
      </c>
      <c r="AQ330" t="s">
        <v>74</v>
      </c>
      <c r="AR330" t="s">
        <v>6900</v>
      </c>
      <c r="AS330" t="s">
        <v>6901</v>
      </c>
      <c r="AT330" t="s">
        <v>6558</v>
      </c>
      <c r="AU330">
        <v>2020</v>
      </c>
      <c r="AV330">
        <v>125</v>
      </c>
      <c r="AW330">
        <v>10</v>
      </c>
      <c r="AX330" t="s">
        <v>74</v>
      </c>
      <c r="AY330" t="s">
        <v>74</v>
      </c>
      <c r="AZ330" t="s">
        <v>74</v>
      </c>
      <c r="BA330" t="s">
        <v>74</v>
      </c>
      <c r="BB330" t="s">
        <v>74</v>
      </c>
      <c r="BC330" t="s">
        <v>74</v>
      </c>
      <c r="BD330" t="s">
        <v>6921</v>
      </c>
      <c r="BE330" t="s">
        <v>6922</v>
      </c>
      <c r="BF330" t="str">
        <f>HYPERLINK("http://dx.doi.org/10.1029/2019JB019040","http://dx.doi.org/10.1029/2019JB019040")</f>
        <v>http://dx.doi.org/10.1029/2019JB019040</v>
      </c>
      <c r="BG330" t="s">
        <v>74</v>
      </c>
      <c r="BH330" t="s">
        <v>74</v>
      </c>
      <c r="BI330">
        <v>17</v>
      </c>
      <c r="BJ330" t="s">
        <v>1361</v>
      </c>
      <c r="BK330" t="s">
        <v>100</v>
      </c>
      <c r="BL330" t="s">
        <v>1361</v>
      </c>
      <c r="BM330" t="s">
        <v>6904</v>
      </c>
      <c r="BN330" t="s">
        <v>74</v>
      </c>
      <c r="BO330" t="s">
        <v>6923</v>
      </c>
      <c r="BP330" t="s">
        <v>74</v>
      </c>
      <c r="BQ330" t="s">
        <v>74</v>
      </c>
      <c r="BR330" t="s">
        <v>104</v>
      </c>
      <c r="BS330" t="s">
        <v>6924</v>
      </c>
      <c r="BT330" t="str">
        <f>HYPERLINK("https%3A%2F%2Fwww.webofscience.com%2Fwos%2Fwoscc%2Ffull-record%2FWOS:000604458900018","View Full Record in Web of Science")</f>
        <v>View Full Record in Web of Science</v>
      </c>
    </row>
    <row r="331" spans="1:72" x14ac:dyDescent="0.15">
      <c r="A331" t="s">
        <v>72</v>
      </c>
      <c r="B331" t="s">
        <v>6925</v>
      </c>
      <c r="C331" t="s">
        <v>74</v>
      </c>
      <c r="D331" t="s">
        <v>74</v>
      </c>
      <c r="E331" t="s">
        <v>74</v>
      </c>
      <c r="F331" t="s">
        <v>6926</v>
      </c>
      <c r="G331" t="s">
        <v>74</v>
      </c>
      <c r="H331" t="s">
        <v>74</v>
      </c>
      <c r="I331" t="s">
        <v>6927</v>
      </c>
      <c r="J331" t="s">
        <v>6885</v>
      </c>
      <c r="K331" t="s">
        <v>74</v>
      </c>
      <c r="L331" t="s">
        <v>74</v>
      </c>
      <c r="M331" t="s">
        <v>78</v>
      </c>
      <c r="N331" t="s">
        <v>79</v>
      </c>
      <c r="O331" t="s">
        <v>74</v>
      </c>
      <c r="P331" t="s">
        <v>74</v>
      </c>
      <c r="Q331" t="s">
        <v>74</v>
      </c>
      <c r="R331" t="s">
        <v>74</v>
      </c>
      <c r="S331" t="s">
        <v>74</v>
      </c>
      <c r="T331" t="s">
        <v>74</v>
      </c>
      <c r="U331" t="s">
        <v>6928</v>
      </c>
      <c r="V331" t="s">
        <v>6929</v>
      </c>
      <c r="W331" t="s">
        <v>6930</v>
      </c>
      <c r="X331" t="s">
        <v>6931</v>
      </c>
      <c r="Y331" t="s">
        <v>6932</v>
      </c>
      <c r="Z331" t="s">
        <v>6933</v>
      </c>
      <c r="AA331" t="s">
        <v>6934</v>
      </c>
      <c r="AB331" t="s">
        <v>6935</v>
      </c>
      <c r="AC331" t="s">
        <v>6936</v>
      </c>
      <c r="AD331" t="s">
        <v>6937</v>
      </c>
      <c r="AE331" t="s">
        <v>6938</v>
      </c>
      <c r="AF331" t="s">
        <v>74</v>
      </c>
      <c r="AG331">
        <v>89</v>
      </c>
      <c r="AH331">
        <v>6</v>
      </c>
      <c r="AI331">
        <v>6</v>
      </c>
      <c r="AJ331">
        <v>6</v>
      </c>
      <c r="AK331">
        <v>22</v>
      </c>
      <c r="AL331" t="s">
        <v>1710</v>
      </c>
      <c r="AM331" t="s">
        <v>609</v>
      </c>
      <c r="AN331" t="s">
        <v>1711</v>
      </c>
      <c r="AO331" t="s">
        <v>6898</v>
      </c>
      <c r="AP331" t="s">
        <v>6899</v>
      </c>
      <c r="AQ331" t="s">
        <v>74</v>
      </c>
      <c r="AR331" t="s">
        <v>6900</v>
      </c>
      <c r="AS331" t="s">
        <v>6901</v>
      </c>
      <c r="AT331" t="s">
        <v>6558</v>
      </c>
      <c r="AU331">
        <v>2020</v>
      </c>
      <c r="AV331">
        <v>125</v>
      </c>
      <c r="AW331">
        <v>10</v>
      </c>
      <c r="AX331" t="s">
        <v>74</v>
      </c>
      <c r="AY331" t="s">
        <v>74</v>
      </c>
      <c r="AZ331" t="s">
        <v>74</v>
      </c>
      <c r="BA331" t="s">
        <v>74</v>
      </c>
      <c r="BB331" t="s">
        <v>74</v>
      </c>
      <c r="BC331" t="s">
        <v>74</v>
      </c>
      <c r="BD331" t="s">
        <v>6939</v>
      </c>
      <c r="BE331" t="s">
        <v>6940</v>
      </c>
      <c r="BF331" t="str">
        <f>HYPERLINK("http://dx.doi.org/10.1029/2020JB020167","http://dx.doi.org/10.1029/2020JB020167")</f>
        <v>http://dx.doi.org/10.1029/2020JB020167</v>
      </c>
      <c r="BG331" t="s">
        <v>74</v>
      </c>
      <c r="BH331" t="s">
        <v>74</v>
      </c>
      <c r="BI331">
        <v>17</v>
      </c>
      <c r="BJ331" t="s">
        <v>1361</v>
      </c>
      <c r="BK331" t="s">
        <v>100</v>
      </c>
      <c r="BL331" t="s">
        <v>1361</v>
      </c>
      <c r="BM331" t="s">
        <v>6904</v>
      </c>
      <c r="BN331" t="s">
        <v>74</v>
      </c>
      <c r="BO331" t="s">
        <v>74</v>
      </c>
      <c r="BP331" t="s">
        <v>74</v>
      </c>
      <c r="BQ331" t="s">
        <v>74</v>
      </c>
      <c r="BR331" t="s">
        <v>104</v>
      </c>
      <c r="BS331" t="s">
        <v>6941</v>
      </c>
      <c r="BT331" t="str">
        <f>HYPERLINK("https%3A%2F%2Fwww.webofscience.com%2Fwos%2Fwoscc%2Ffull-record%2FWOS:000604458900052","View Full Record in Web of Science")</f>
        <v>View Full Record in Web of Science</v>
      </c>
    </row>
    <row r="332" spans="1:72" x14ac:dyDescent="0.15">
      <c r="A332" t="s">
        <v>72</v>
      </c>
      <c r="B332" t="s">
        <v>6942</v>
      </c>
      <c r="C332" t="s">
        <v>74</v>
      </c>
      <c r="D332" t="s">
        <v>74</v>
      </c>
      <c r="E332" t="s">
        <v>74</v>
      </c>
      <c r="F332" t="s">
        <v>6943</v>
      </c>
      <c r="G332" t="s">
        <v>74</v>
      </c>
      <c r="H332" t="s">
        <v>74</v>
      </c>
      <c r="I332" t="s">
        <v>6944</v>
      </c>
      <c r="J332" t="s">
        <v>6885</v>
      </c>
      <c r="K332" t="s">
        <v>74</v>
      </c>
      <c r="L332" t="s">
        <v>74</v>
      </c>
      <c r="M332" t="s">
        <v>78</v>
      </c>
      <c r="N332" t="s">
        <v>79</v>
      </c>
      <c r="O332" t="s">
        <v>74</v>
      </c>
      <c r="P332" t="s">
        <v>74</v>
      </c>
      <c r="Q332" t="s">
        <v>74</v>
      </c>
      <c r="R332" t="s">
        <v>74</v>
      </c>
      <c r="S332" t="s">
        <v>74</v>
      </c>
      <c r="T332" t="s">
        <v>6945</v>
      </c>
      <c r="U332" t="s">
        <v>6946</v>
      </c>
      <c r="V332" t="s">
        <v>6947</v>
      </c>
      <c r="W332" t="s">
        <v>6948</v>
      </c>
      <c r="X332" t="s">
        <v>6949</v>
      </c>
      <c r="Y332" t="s">
        <v>6950</v>
      </c>
      <c r="Z332" t="s">
        <v>6951</v>
      </c>
      <c r="AA332" t="s">
        <v>6952</v>
      </c>
      <c r="AB332" t="s">
        <v>6953</v>
      </c>
      <c r="AC332" t="s">
        <v>6954</v>
      </c>
      <c r="AD332" t="s">
        <v>6955</v>
      </c>
      <c r="AE332" t="s">
        <v>6956</v>
      </c>
      <c r="AF332" t="s">
        <v>74</v>
      </c>
      <c r="AG332">
        <v>84</v>
      </c>
      <c r="AH332">
        <v>4</v>
      </c>
      <c r="AI332">
        <v>4</v>
      </c>
      <c r="AJ332">
        <v>4</v>
      </c>
      <c r="AK332">
        <v>14</v>
      </c>
      <c r="AL332" t="s">
        <v>1710</v>
      </c>
      <c r="AM332" t="s">
        <v>609</v>
      </c>
      <c r="AN332" t="s">
        <v>1711</v>
      </c>
      <c r="AO332" t="s">
        <v>6898</v>
      </c>
      <c r="AP332" t="s">
        <v>6899</v>
      </c>
      <c r="AQ332" t="s">
        <v>74</v>
      </c>
      <c r="AR332" t="s">
        <v>6900</v>
      </c>
      <c r="AS332" t="s">
        <v>6901</v>
      </c>
      <c r="AT332" t="s">
        <v>6558</v>
      </c>
      <c r="AU332">
        <v>2020</v>
      </c>
      <c r="AV332">
        <v>125</v>
      </c>
      <c r="AW332">
        <v>10</v>
      </c>
      <c r="AX332" t="s">
        <v>74</v>
      </c>
      <c r="AY332" t="s">
        <v>74</v>
      </c>
      <c r="AZ332" t="s">
        <v>74</v>
      </c>
      <c r="BA332" t="s">
        <v>74</v>
      </c>
      <c r="BB332" t="s">
        <v>74</v>
      </c>
      <c r="BC332" t="s">
        <v>74</v>
      </c>
      <c r="BD332" t="s">
        <v>6957</v>
      </c>
      <c r="BE332" t="s">
        <v>6958</v>
      </c>
      <c r="BF332" t="str">
        <f>HYPERLINK("http://dx.doi.org/10.1029/2020JB020137","http://dx.doi.org/10.1029/2020JB020137")</f>
        <v>http://dx.doi.org/10.1029/2020JB020137</v>
      </c>
      <c r="BG332" t="s">
        <v>74</v>
      </c>
      <c r="BH332" t="s">
        <v>74</v>
      </c>
      <c r="BI332">
        <v>21</v>
      </c>
      <c r="BJ332" t="s">
        <v>1361</v>
      </c>
      <c r="BK332" t="s">
        <v>100</v>
      </c>
      <c r="BL332" t="s">
        <v>1361</v>
      </c>
      <c r="BM332" t="s">
        <v>6904</v>
      </c>
      <c r="BN332" t="s">
        <v>74</v>
      </c>
      <c r="BO332" t="s">
        <v>376</v>
      </c>
      <c r="BP332" t="s">
        <v>74</v>
      </c>
      <c r="BQ332" t="s">
        <v>74</v>
      </c>
      <c r="BR332" t="s">
        <v>104</v>
      </c>
      <c r="BS332" t="s">
        <v>6959</v>
      </c>
      <c r="BT332" t="str">
        <f>HYPERLINK("https%3A%2F%2Fwww.webofscience.com%2Fwos%2Fwoscc%2Ffull-record%2FWOS:000604458900012","View Full Record in Web of Science")</f>
        <v>View Full Record in Web of Science</v>
      </c>
    </row>
    <row r="333" spans="1:72" x14ac:dyDescent="0.15">
      <c r="A333" t="s">
        <v>72</v>
      </c>
      <c r="B333" t="s">
        <v>6960</v>
      </c>
      <c r="C333" t="s">
        <v>74</v>
      </c>
      <c r="D333" t="s">
        <v>74</v>
      </c>
      <c r="E333" t="s">
        <v>74</v>
      </c>
      <c r="F333" t="s">
        <v>6961</v>
      </c>
      <c r="G333" t="s">
        <v>74</v>
      </c>
      <c r="H333" t="s">
        <v>74</v>
      </c>
      <c r="I333" t="s">
        <v>6962</v>
      </c>
      <c r="J333" t="s">
        <v>6963</v>
      </c>
      <c r="K333" t="s">
        <v>74</v>
      </c>
      <c r="L333" t="s">
        <v>74</v>
      </c>
      <c r="M333" t="s">
        <v>78</v>
      </c>
      <c r="N333" t="s">
        <v>79</v>
      </c>
      <c r="O333" t="s">
        <v>74</v>
      </c>
      <c r="P333" t="s">
        <v>74</v>
      </c>
      <c r="Q333" t="s">
        <v>74</v>
      </c>
      <c r="R333" t="s">
        <v>74</v>
      </c>
      <c r="S333" t="s">
        <v>74</v>
      </c>
      <c r="T333" t="s">
        <v>74</v>
      </c>
      <c r="U333" t="s">
        <v>6964</v>
      </c>
      <c r="V333" t="s">
        <v>6965</v>
      </c>
      <c r="W333" t="s">
        <v>6966</v>
      </c>
      <c r="X333" t="s">
        <v>6967</v>
      </c>
      <c r="Y333" t="s">
        <v>6968</v>
      </c>
      <c r="Z333" t="s">
        <v>6969</v>
      </c>
      <c r="AA333" t="s">
        <v>6970</v>
      </c>
      <c r="AB333" t="s">
        <v>6971</v>
      </c>
      <c r="AC333" t="s">
        <v>6972</v>
      </c>
      <c r="AD333" t="s">
        <v>6973</v>
      </c>
      <c r="AE333" t="s">
        <v>6974</v>
      </c>
      <c r="AF333" t="s">
        <v>74</v>
      </c>
      <c r="AG333">
        <v>89</v>
      </c>
      <c r="AH333">
        <v>5</v>
      </c>
      <c r="AI333">
        <v>6</v>
      </c>
      <c r="AJ333">
        <v>0</v>
      </c>
      <c r="AK333">
        <v>2</v>
      </c>
      <c r="AL333" t="s">
        <v>6975</v>
      </c>
      <c r="AM333" t="s">
        <v>6976</v>
      </c>
      <c r="AN333" t="s">
        <v>6977</v>
      </c>
      <c r="AO333" t="s">
        <v>6978</v>
      </c>
      <c r="AP333" t="s">
        <v>74</v>
      </c>
      <c r="AQ333" t="s">
        <v>74</v>
      </c>
      <c r="AR333" t="s">
        <v>6979</v>
      </c>
      <c r="AS333" t="s">
        <v>6980</v>
      </c>
      <c r="AT333" t="s">
        <v>6558</v>
      </c>
      <c r="AU333">
        <v>2020</v>
      </c>
      <c r="AV333">
        <v>50</v>
      </c>
      <c r="AW333">
        <v>4</v>
      </c>
      <c r="AX333" t="s">
        <v>74</v>
      </c>
      <c r="AY333" t="s">
        <v>74</v>
      </c>
      <c r="AZ333" t="s">
        <v>74</v>
      </c>
      <c r="BA333" t="s">
        <v>74</v>
      </c>
      <c r="BB333">
        <v>382</v>
      </c>
      <c r="BC333">
        <v>402</v>
      </c>
      <c r="BD333" t="s">
        <v>74</v>
      </c>
      <c r="BE333" t="s">
        <v>6981</v>
      </c>
      <c r="BF333" t="str">
        <f>HYPERLINK("http://dx.doi.org/10.2113/gsjfr.50.4.382","http://dx.doi.org/10.2113/gsjfr.50.4.382")</f>
        <v>http://dx.doi.org/10.2113/gsjfr.50.4.382</v>
      </c>
      <c r="BG333" t="s">
        <v>74</v>
      </c>
      <c r="BH333" t="s">
        <v>74</v>
      </c>
      <c r="BI333">
        <v>21</v>
      </c>
      <c r="BJ333" t="s">
        <v>1057</v>
      </c>
      <c r="BK333" t="s">
        <v>100</v>
      </c>
      <c r="BL333" t="s">
        <v>1057</v>
      </c>
      <c r="BM333" t="s">
        <v>6982</v>
      </c>
      <c r="BN333" t="s">
        <v>74</v>
      </c>
      <c r="BO333" t="s">
        <v>74</v>
      </c>
      <c r="BP333" t="s">
        <v>74</v>
      </c>
      <c r="BQ333" t="s">
        <v>74</v>
      </c>
      <c r="BR333" t="s">
        <v>104</v>
      </c>
      <c r="BS333" t="s">
        <v>6983</v>
      </c>
      <c r="BT333" t="str">
        <f>HYPERLINK("https%3A%2F%2Fwww.webofscience.com%2Fwos%2Fwoscc%2Ffull-record%2FWOS:000605460200005","View Full Record in Web of Science")</f>
        <v>View Full Record in Web of Science</v>
      </c>
    </row>
    <row r="334" spans="1:72" x14ac:dyDescent="0.15">
      <c r="A334" t="s">
        <v>72</v>
      </c>
      <c r="B334" t="s">
        <v>6984</v>
      </c>
      <c r="C334" t="s">
        <v>74</v>
      </c>
      <c r="D334" t="s">
        <v>74</v>
      </c>
      <c r="E334" t="s">
        <v>74</v>
      </c>
      <c r="F334" t="s">
        <v>6985</v>
      </c>
      <c r="G334" t="s">
        <v>74</v>
      </c>
      <c r="H334" t="s">
        <v>74</v>
      </c>
      <c r="I334" t="s">
        <v>6986</v>
      </c>
      <c r="J334" t="s">
        <v>6987</v>
      </c>
      <c r="K334" t="s">
        <v>74</v>
      </c>
      <c r="L334" t="s">
        <v>74</v>
      </c>
      <c r="M334" t="s">
        <v>78</v>
      </c>
      <c r="N334" t="s">
        <v>79</v>
      </c>
      <c r="O334" t="s">
        <v>74</v>
      </c>
      <c r="P334" t="s">
        <v>74</v>
      </c>
      <c r="Q334" t="s">
        <v>74</v>
      </c>
      <c r="R334" t="s">
        <v>74</v>
      </c>
      <c r="S334" t="s">
        <v>74</v>
      </c>
      <c r="T334" t="s">
        <v>6988</v>
      </c>
      <c r="U334" t="s">
        <v>6989</v>
      </c>
      <c r="V334" t="s">
        <v>6990</v>
      </c>
      <c r="W334" t="s">
        <v>6991</v>
      </c>
      <c r="X334" t="s">
        <v>6992</v>
      </c>
      <c r="Y334" t="s">
        <v>6993</v>
      </c>
      <c r="Z334" t="s">
        <v>6994</v>
      </c>
      <c r="AA334" t="s">
        <v>74</v>
      </c>
      <c r="AB334" t="s">
        <v>6995</v>
      </c>
      <c r="AC334" t="s">
        <v>6996</v>
      </c>
      <c r="AD334" t="s">
        <v>6997</v>
      </c>
      <c r="AE334" t="s">
        <v>6998</v>
      </c>
      <c r="AF334" t="s">
        <v>74</v>
      </c>
      <c r="AG334">
        <v>32</v>
      </c>
      <c r="AH334">
        <v>1</v>
      </c>
      <c r="AI334">
        <v>1</v>
      </c>
      <c r="AJ334">
        <v>0</v>
      </c>
      <c r="AK334">
        <v>1</v>
      </c>
      <c r="AL334" t="s">
        <v>1047</v>
      </c>
      <c r="AM334" t="s">
        <v>1048</v>
      </c>
      <c r="AN334" t="s">
        <v>1049</v>
      </c>
      <c r="AO334" t="s">
        <v>6999</v>
      </c>
      <c r="AP334" t="s">
        <v>7000</v>
      </c>
      <c r="AQ334" t="s">
        <v>74</v>
      </c>
      <c r="AR334" t="s">
        <v>7001</v>
      </c>
      <c r="AS334" t="s">
        <v>7002</v>
      </c>
      <c r="AT334" t="s">
        <v>1163</v>
      </c>
      <c r="AU334">
        <v>2020</v>
      </c>
      <c r="AV334">
        <v>43</v>
      </c>
      <c r="AW334">
        <v>4</v>
      </c>
      <c r="AX334" t="s">
        <v>74</v>
      </c>
      <c r="AY334" t="s">
        <v>74</v>
      </c>
      <c r="AZ334" t="s">
        <v>74</v>
      </c>
      <c r="BA334" t="s">
        <v>74</v>
      </c>
      <c r="BB334">
        <v>280</v>
      </c>
      <c r="BC334">
        <v>294</v>
      </c>
      <c r="BD334" t="s">
        <v>74</v>
      </c>
      <c r="BE334" t="s">
        <v>7003</v>
      </c>
      <c r="BF334" t="str">
        <f>HYPERLINK("http://dx.doi.org/10.1080/1088937X.2020.1766591","http://dx.doi.org/10.1080/1088937X.2020.1766591")</f>
        <v>http://dx.doi.org/10.1080/1088937X.2020.1766591</v>
      </c>
      <c r="BG334" t="s">
        <v>74</v>
      </c>
      <c r="BH334" t="s">
        <v>74</v>
      </c>
      <c r="BI334">
        <v>15</v>
      </c>
      <c r="BJ334" t="s">
        <v>7004</v>
      </c>
      <c r="BK334" t="s">
        <v>1214</v>
      </c>
      <c r="BL334" t="s">
        <v>7005</v>
      </c>
      <c r="BM334" t="s">
        <v>7006</v>
      </c>
      <c r="BN334" t="s">
        <v>74</v>
      </c>
      <c r="BO334" t="s">
        <v>74</v>
      </c>
      <c r="BP334" t="s">
        <v>74</v>
      </c>
      <c r="BQ334" t="s">
        <v>74</v>
      </c>
      <c r="BR334" t="s">
        <v>104</v>
      </c>
      <c r="BS334" t="s">
        <v>7007</v>
      </c>
      <c r="BT334" t="str">
        <f>HYPERLINK("https%3A%2F%2Fwww.webofscience.com%2Fwos%2Fwoscc%2Ffull-record%2FWOS:000600123900003","View Full Record in Web of Science")</f>
        <v>View Full Record in Web of Science</v>
      </c>
    </row>
    <row r="335" spans="1:72" x14ac:dyDescent="0.15">
      <c r="A335" t="s">
        <v>72</v>
      </c>
      <c r="B335" t="s">
        <v>7008</v>
      </c>
      <c r="C335" t="s">
        <v>74</v>
      </c>
      <c r="D335" t="s">
        <v>74</v>
      </c>
      <c r="E335" t="s">
        <v>74</v>
      </c>
      <c r="F335" t="s">
        <v>7009</v>
      </c>
      <c r="G335" t="s">
        <v>74</v>
      </c>
      <c r="H335" t="s">
        <v>74</v>
      </c>
      <c r="I335" t="s">
        <v>7010</v>
      </c>
      <c r="J335" t="s">
        <v>1830</v>
      </c>
      <c r="K335" t="s">
        <v>74</v>
      </c>
      <c r="L335" t="s">
        <v>74</v>
      </c>
      <c r="M335" t="s">
        <v>78</v>
      </c>
      <c r="N335" t="s">
        <v>79</v>
      </c>
      <c r="O335" t="s">
        <v>74</v>
      </c>
      <c r="P335" t="s">
        <v>74</v>
      </c>
      <c r="Q335" t="s">
        <v>74</v>
      </c>
      <c r="R335" t="s">
        <v>74</v>
      </c>
      <c r="S335" t="s">
        <v>74</v>
      </c>
      <c r="T335" t="s">
        <v>74</v>
      </c>
      <c r="U335" t="s">
        <v>7011</v>
      </c>
      <c r="V335" t="s">
        <v>7012</v>
      </c>
      <c r="W335" t="s">
        <v>7013</v>
      </c>
      <c r="X335" t="s">
        <v>7014</v>
      </c>
      <c r="Y335" t="s">
        <v>7015</v>
      </c>
      <c r="Z335" t="s">
        <v>7016</v>
      </c>
      <c r="AA335" t="s">
        <v>74</v>
      </c>
      <c r="AB335" t="s">
        <v>7017</v>
      </c>
      <c r="AC335" t="s">
        <v>7018</v>
      </c>
      <c r="AD335" t="s">
        <v>7019</v>
      </c>
      <c r="AE335" t="s">
        <v>7020</v>
      </c>
      <c r="AF335" t="s">
        <v>74</v>
      </c>
      <c r="AG335">
        <v>102</v>
      </c>
      <c r="AH335">
        <v>48</v>
      </c>
      <c r="AI335">
        <v>48</v>
      </c>
      <c r="AJ335">
        <v>2</v>
      </c>
      <c r="AK335">
        <v>7</v>
      </c>
      <c r="AL335" t="s">
        <v>1710</v>
      </c>
      <c r="AM335" t="s">
        <v>609</v>
      </c>
      <c r="AN335" t="s">
        <v>1711</v>
      </c>
      <c r="AO335" t="s">
        <v>1843</v>
      </c>
      <c r="AP335" t="s">
        <v>1844</v>
      </c>
      <c r="AQ335" t="s">
        <v>74</v>
      </c>
      <c r="AR335" t="s">
        <v>1845</v>
      </c>
      <c r="AS335" t="s">
        <v>1846</v>
      </c>
      <c r="AT335" t="s">
        <v>6558</v>
      </c>
      <c r="AU335">
        <v>2020</v>
      </c>
      <c r="AV335">
        <v>125</v>
      </c>
      <c r="AW335">
        <v>10</v>
      </c>
      <c r="AX335" t="s">
        <v>74</v>
      </c>
      <c r="AY335" t="s">
        <v>74</v>
      </c>
      <c r="AZ335" t="s">
        <v>74</v>
      </c>
      <c r="BA335" t="s">
        <v>74</v>
      </c>
      <c r="BB335" t="s">
        <v>74</v>
      </c>
      <c r="BC335" t="s">
        <v>74</v>
      </c>
      <c r="BD335" t="s">
        <v>7021</v>
      </c>
      <c r="BE335" t="s">
        <v>7022</v>
      </c>
      <c r="BF335" t="str">
        <f>HYPERLINK("http://dx.doi.org/10.1029/2020JA028034","http://dx.doi.org/10.1029/2020JA028034")</f>
        <v>http://dx.doi.org/10.1029/2020JA028034</v>
      </c>
      <c r="BG335" t="s">
        <v>74</v>
      </c>
      <c r="BH335" t="s">
        <v>74</v>
      </c>
      <c r="BI335">
        <v>47</v>
      </c>
      <c r="BJ335" t="s">
        <v>1849</v>
      </c>
      <c r="BK335" t="s">
        <v>100</v>
      </c>
      <c r="BL335" t="s">
        <v>1849</v>
      </c>
      <c r="BM335" t="s">
        <v>7023</v>
      </c>
      <c r="BN335" t="s">
        <v>74</v>
      </c>
      <c r="BO335" t="s">
        <v>74</v>
      </c>
      <c r="BP335" t="s">
        <v>74</v>
      </c>
      <c r="BQ335" t="s">
        <v>74</v>
      </c>
      <c r="BR335" t="s">
        <v>104</v>
      </c>
      <c r="BS335" t="s">
        <v>7024</v>
      </c>
      <c r="BT335" t="str">
        <f>HYPERLINK("https%3A%2F%2Fwww.webofscience.com%2Fwos%2Fwoscc%2Ffull-record%2FWOS:000600990300007","View Full Record in Web of Science")</f>
        <v>View Full Record in Web of Science</v>
      </c>
    </row>
    <row r="336" spans="1:72" x14ac:dyDescent="0.15">
      <c r="A336" t="s">
        <v>72</v>
      </c>
      <c r="B336" t="s">
        <v>7025</v>
      </c>
      <c r="C336" t="s">
        <v>74</v>
      </c>
      <c r="D336" t="s">
        <v>74</v>
      </c>
      <c r="E336" t="s">
        <v>74</v>
      </c>
      <c r="F336" t="s">
        <v>7026</v>
      </c>
      <c r="G336" t="s">
        <v>74</v>
      </c>
      <c r="H336" t="s">
        <v>74</v>
      </c>
      <c r="I336" t="s">
        <v>7027</v>
      </c>
      <c r="J336" t="s">
        <v>1830</v>
      </c>
      <c r="K336" t="s">
        <v>74</v>
      </c>
      <c r="L336" t="s">
        <v>74</v>
      </c>
      <c r="M336" t="s">
        <v>78</v>
      </c>
      <c r="N336" t="s">
        <v>79</v>
      </c>
      <c r="O336" t="s">
        <v>74</v>
      </c>
      <c r="P336" t="s">
        <v>74</v>
      </c>
      <c r="Q336" t="s">
        <v>74</v>
      </c>
      <c r="R336" t="s">
        <v>74</v>
      </c>
      <c r="S336" t="s">
        <v>74</v>
      </c>
      <c r="T336" t="s">
        <v>7028</v>
      </c>
      <c r="U336" t="s">
        <v>74</v>
      </c>
      <c r="V336" t="s">
        <v>7029</v>
      </c>
      <c r="W336" t="s">
        <v>7030</v>
      </c>
      <c r="X336" t="s">
        <v>7031</v>
      </c>
      <c r="Y336" t="s">
        <v>7032</v>
      </c>
      <c r="Z336" t="s">
        <v>7033</v>
      </c>
      <c r="AA336" t="s">
        <v>7034</v>
      </c>
      <c r="AB336" t="s">
        <v>7035</v>
      </c>
      <c r="AC336" t="s">
        <v>7036</v>
      </c>
      <c r="AD336" t="s">
        <v>7037</v>
      </c>
      <c r="AE336" t="s">
        <v>7038</v>
      </c>
      <c r="AF336" t="s">
        <v>74</v>
      </c>
      <c r="AG336">
        <v>43</v>
      </c>
      <c r="AH336">
        <v>16</v>
      </c>
      <c r="AI336">
        <v>20</v>
      </c>
      <c r="AJ336">
        <v>2</v>
      </c>
      <c r="AK336">
        <v>7</v>
      </c>
      <c r="AL336" t="s">
        <v>1710</v>
      </c>
      <c r="AM336" t="s">
        <v>609</v>
      </c>
      <c r="AN336" t="s">
        <v>1711</v>
      </c>
      <c r="AO336" t="s">
        <v>1843</v>
      </c>
      <c r="AP336" t="s">
        <v>1844</v>
      </c>
      <c r="AQ336" t="s">
        <v>74</v>
      </c>
      <c r="AR336" t="s">
        <v>1845</v>
      </c>
      <c r="AS336" t="s">
        <v>1846</v>
      </c>
      <c r="AT336" t="s">
        <v>6558</v>
      </c>
      <c r="AU336">
        <v>2020</v>
      </c>
      <c r="AV336">
        <v>125</v>
      </c>
      <c r="AW336">
        <v>10</v>
      </c>
      <c r="AX336" t="s">
        <v>74</v>
      </c>
      <c r="AY336" t="s">
        <v>74</v>
      </c>
      <c r="AZ336" t="s">
        <v>74</v>
      </c>
      <c r="BA336" t="s">
        <v>74</v>
      </c>
      <c r="BB336" t="s">
        <v>74</v>
      </c>
      <c r="BC336" t="s">
        <v>74</v>
      </c>
      <c r="BD336" t="s">
        <v>7039</v>
      </c>
      <c r="BE336" t="s">
        <v>7040</v>
      </c>
      <c r="BF336" t="str">
        <f>HYPERLINK("http://dx.doi.org/10.1029/2020JA027808","http://dx.doi.org/10.1029/2020JA027808")</f>
        <v>http://dx.doi.org/10.1029/2020JA027808</v>
      </c>
      <c r="BG336" t="s">
        <v>74</v>
      </c>
      <c r="BH336" t="s">
        <v>74</v>
      </c>
      <c r="BI336">
        <v>13</v>
      </c>
      <c r="BJ336" t="s">
        <v>1849</v>
      </c>
      <c r="BK336" t="s">
        <v>100</v>
      </c>
      <c r="BL336" t="s">
        <v>1849</v>
      </c>
      <c r="BM336" t="s">
        <v>7023</v>
      </c>
      <c r="BN336" t="s">
        <v>74</v>
      </c>
      <c r="BO336" t="s">
        <v>1894</v>
      </c>
      <c r="BP336" t="s">
        <v>74</v>
      </c>
      <c r="BQ336" t="s">
        <v>74</v>
      </c>
      <c r="BR336" t="s">
        <v>104</v>
      </c>
      <c r="BS336" t="s">
        <v>7041</v>
      </c>
      <c r="BT336" t="str">
        <f>HYPERLINK("https%3A%2F%2Fwww.webofscience.com%2Fwos%2Fwoscc%2Ffull-record%2FWOS:000600990300050","View Full Record in Web of Science")</f>
        <v>View Full Record in Web of Science</v>
      </c>
    </row>
    <row r="337" spans="1:72" x14ac:dyDescent="0.15">
      <c r="A337" t="s">
        <v>72</v>
      </c>
      <c r="B337" t="s">
        <v>7042</v>
      </c>
      <c r="C337" t="s">
        <v>74</v>
      </c>
      <c r="D337" t="s">
        <v>74</v>
      </c>
      <c r="E337" t="s">
        <v>74</v>
      </c>
      <c r="F337" t="s">
        <v>7043</v>
      </c>
      <c r="G337" t="s">
        <v>74</v>
      </c>
      <c r="H337" t="s">
        <v>74</v>
      </c>
      <c r="I337" t="s">
        <v>7044</v>
      </c>
      <c r="J337" t="s">
        <v>7045</v>
      </c>
      <c r="K337" t="s">
        <v>74</v>
      </c>
      <c r="L337" t="s">
        <v>74</v>
      </c>
      <c r="M337" t="s">
        <v>78</v>
      </c>
      <c r="N337" t="s">
        <v>79</v>
      </c>
      <c r="O337" t="s">
        <v>74</v>
      </c>
      <c r="P337" t="s">
        <v>74</v>
      </c>
      <c r="Q337" t="s">
        <v>74</v>
      </c>
      <c r="R337" t="s">
        <v>74</v>
      </c>
      <c r="S337" t="s">
        <v>74</v>
      </c>
      <c r="T337" t="s">
        <v>7046</v>
      </c>
      <c r="U337" t="s">
        <v>74</v>
      </c>
      <c r="V337" t="s">
        <v>7047</v>
      </c>
      <c r="W337" t="s">
        <v>7048</v>
      </c>
      <c r="X337" t="s">
        <v>7049</v>
      </c>
      <c r="Y337" t="s">
        <v>7050</v>
      </c>
      <c r="Z337" t="s">
        <v>7051</v>
      </c>
      <c r="AA337" t="s">
        <v>7052</v>
      </c>
      <c r="AB337" t="s">
        <v>74</v>
      </c>
      <c r="AC337" t="s">
        <v>7053</v>
      </c>
      <c r="AD337" t="s">
        <v>74</v>
      </c>
      <c r="AE337" t="s">
        <v>7054</v>
      </c>
      <c r="AF337" t="s">
        <v>74</v>
      </c>
      <c r="AG337">
        <v>12</v>
      </c>
      <c r="AH337">
        <v>0</v>
      </c>
      <c r="AI337">
        <v>0</v>
      </c>
      <c r="AJ337">
        <v>0</v>
      </c>
      <c r="AK337">
        <v>6</v>
      </c>
      <c r="AL337" t="s">
        <v>1276</v>
      </c>
      <c r="AM337" t="s">
        <v>483</v>
      </c>
      <c r="AN337" t="s">
        <v>1277</v>
      </c>
      <c r="AO337" t="s">
        <v>7055</v>
      </c>
      <c r="AP337" t="s">
        <v>7056</v>
      </c>
      <c r="AQ337" t="s">
        <v>74</v>
      </c>
      <c r="AR337" t="s">
        <v>7057</v>
      </c>
      <c r="AS337" t="s">
        <v>7058</v>
      </c>
      <c r="AT337" t="s">
        <v>6558</v>
      </c>
      <c r="AU337">
        <v>2020</v>
      </c>
      <c r="AV337">
        <v>11</v>
      </c>
      <c r="AW337">
        <v>4</v>
      </c>
      <c r="AX337" t="s">
        <v>74</v>
      </c>
      <c r="AY337" t="s">
        <v>74</v>
      </c>
      <c r="AZ337" t="s">
        <v>74</v>
      </c>
      <c r="BA337" t="s">
        <v>74</v>
      </c>
      <c r="BB337">
        <v>379</v>
      </c>
      <c r="BC337">
        <v>382</v>
      </c>
      <c r="BD337" t="s">
        <v>74</v>
      </c>
      <c r="BE337" t="s">
        <v>7059</v>
      </c>
      <c r="BF337" t="str">
        <f>HYPERLINK("http://dx.doi.org/10.1134/S2075111720040141","http://dx.doi.org/10.1134/S2075111720040141")</f>
        <v>http://dx.doi.org/10.1134/S2075111720040141</v>
      </c>
      <c r="BG337" t="s">
        <v>74</v>
      </c>
      <c r="BH337" t="s">
        <v>74</v>
      </c>
      <c r="BI337">
        <v>4</v>
      </c>
      <c r="BJ337" t="s">
        <v>823</v>
      </c>
      <c r="BK337" t="s">
        <v>1214</v>
      </c>
      <c r="BL337" t="s">
        <v>284</v>
      </c>
      <c r="BM337" t="s">
        <v>7060</v>
      </c>
      <c r="BN337" t="s">
        <v>74</v>
      </c>
      <c r="BO337" t="s">
        <v>74</v>
      </c>
      <c r="BP337" t="s">
        <v>74</v>
      </c>
      <c r="BQ337" t="s">
        <v>74</v>
      </c>
      <c r="BR337" t="s">
        <v>104</v>
      </c>
      <c r="BS337" t="s">
        <v>7061</v>
      </c>
      <c r="BT337" t="str">
        <f>HYPERLINK("https%3A%2F%2Fwww.webofscience.com%2Fwos%2Fwoscc%2Ffull-record%2FWOS:000600549600011","View Full Record in Web of Science")</f>
        <v>View Full Record in Web of Science</v>
      </c>
    </row>
    <row r="338" spans="1:72" x14ac:dyDescent="0.15">
      <c r="A338" t="s">
        <v>72</v>
      </c>
      <c r="B338" t="s">
        <v>7062</v>
      </c>
      <c r="C338" t="s">
        <v>74</v>
      </c>
      <c r="D338" t="s">
        <v>74</v>
      </c>
      <c r="E338" t="s">
        <v>74</v>
      </c>
      <c r="F338" t="s">
        <v>7063</v>
      </c>
      <c r="G338" t="s">
        <v>74</v>
      </c>
      <c r="H338" t="s">
        <v>74</v>
      </c>
      <c r="I338" t="s">
        <v>7064</v>
      </c>
      <c r="J338" t="s">
        <v>7065</v>
      </c>
      <c r="K338" t="s">
        <v>74</v>
      </c>
      <c r="L338" t="s">
        <v>74</v>
      </c>
      <c r="M338" t="s">
        <v>78</v>
      </c>
      <c r="N338" t="s">
        <v>79</v>
      </c>
      <c r="O338" t="s">
        <v>74</v>
      </c>
      <c r="P338" t="s">
        <v>74</v>
      </c>
      <c r="Q338" t="s">
        <v>74</v>
      </c>
      <c r="R338" t="s">
        <v>74</v>
      </c>
      <c r="S338" t="s">
        <v>74</v>
      </c>
      <c r="T338" t="s">
        <v>7066</v>
      </c>
      <c r="U338" t="s">
        <v>7067</v>
      </c>
      <c r="V338" t="s">
        <v>7068</v>
      </c>
      <c r="W338" t="s">
        <v>7069</v>
      </c>
      <c r="X338" t="s">
        <v>7070</v>
      </c>
      <c r="Y338" t="s">
        <v>7071</v>
      </c>
      <c r="Z338" t="s">
        <v>7072</v>
      </c>
      <c r="AA338" t="s">
        <v>74</v>
      </c>
      <c r="AB338" t="s">
        <v>7073</v>
      </c>
      <c r="AC338" t="s">
        <v>7074</v>
      </c>
      <c r="AD338" t="s">
        <v>7075</v>
      </c>
      <c r="AE338" t="s">
        <v>7076</v>
      </c>
      <c r="AF338" t="s">
        <v>74</v>
      </c>
      <c r="AG338">
        <v>46</v>
      </c>
      <c r="AH338">
        <v>7</v>
      </c>
      <c r="AI338">
        <v>9</v>
      </c>
      <c r="AJ338">
        <v>2</v>
      </c>
      <c r="AK338">
        <v>9</v>
      </c>
      <c r="AL338" t="s">
        <v>275</v>
      </c>
      <c r="AM338" t="s">
        <v>276</v>
      </c>
      <c r="AN338" t="s">
        <v>277</v>
      </c>
      <c r="AO338" t="s">
        <v>74</v>
      </c>
      <c r="AP338" t="s">
        <v>7077</v>
      </c>
      <c r="AQ338" t="s">
        <v>74</v>
      </c>
      <c r="AR338" t="s">
        <v>7078</v>
      </c>
      <c r="AS338" t="s">
        <v>7079</v>
      </c>
      <c r="AT338" t="s">
        <v>6558</v>
      </c>
      <c r="AU338">
        <v>2020</v>
      </c>
      <c r="AV338">
        <v>29</v>
      </c>
      <c r="AW338" t="s">
        <v>74</v>
      </c>
      <c r="AX338" t="s">
        <v>74</v>
      </c>
      <c r="AY338" t="s">
        <v>74</v>
      </c>
      <c r="AZ338" t="s">
        <v>74</v>
      </c>
      <c r="BA338" t="s">
        <v>74</v>
      </c>
      <c r="BB338" t="s">
        <v>74</v>
      </c>
      <c r="BC338" t="s">
        <v>74</v>
      </c>
      <c r="BD338">
        <v>101807</v>
      </c>
      <c r="BE338" t="s">
        <v>7080</v>
      </c>
      <c r="BF338" t="str">
        <f>HYPERLINK("http://dx.doi.org/10.1016/j.bcab.2020.101807","http://dx.doi.org/10.1016/j.bcab.2020.101807")</f>
        <v>http://dx.doi.org/10.1016/j.bcab.2020.101807</v>
      </c>
      <c r="BG338" t="s">
        <v>74</v>
      </c>
      <c r="BH338" t="s">
        <v>74</v>
      </c>
      <c r="BI338">
        <v>7</v>
      </c>
      <c r="BJ338" t="s">
        <v>2484</v>
      </c>
      <c r="BK338" t="s">
        <v>1214</v>
      </c>
      <c r="BL338" t="s">
        <v>2484</v>
      </c>
      <c r="BM338" t="s">
        <v>7081</v>
      </c>
      <c r="BN338" t="s">
        <v>74</v>
      </c>
      <c r="BO338" t="s">
        <v>74</v>
      </c>
      <c r="BP338" t="s">
        <v>74</v>
      </c>
      <c r="BQ338" t="s">
        <v>74</v>
      </c>
      <c r="BR338" t="s">
        <v>104</v>
      </c>
      <c r="BS338" t="s">
        <v>7082</v>
      </c>
      <c r="BT338" t="str">
        <f>HYPERLINK("https%3A%2F%2Fwww.webofscience.com%2Fwos%2Fwoscc%2Ffull-record%2FWOS:000599706700012","View Full Record in Web of Science")</f>
        <v>View Full Record in Web of Science</v>
      </c>
    </row>
    <row r="339" spans="1:72" x14ac:dyDescent="0.15">
      <c r="A339" t="s">
        <v>72</v>
      </c>
      <c r="B339" t="s">
        <v>7083</v>
      </c>
      <c r="C339" t="s">
        <v>74</v>
      </c>
      <c r="D339" t="s">
        <v>74</v>
      </c>
      <c r="E339" t="s">
        <v>74</v>
      </c>
      <c r="F339" t="s">
        <v>7084</v>
      </c>
      <c r="G339" t="s">
        <v>74</v>
      </c>
      <c r="H339" t="s">
        <v>74</v>
      </c>
      <c r="I339" t="s">
        <v>7085</v>
      </c>
      <c r="J339" t="s">
        <v>7086</v>
      </c>
      <c r="K339" t="s">
        <v>74</v>
      </c>
      <c r="L339" t="s">
        <v>74</v>
      </c>
      <c r="M339" t="s">
        <v>78</v>
      </c>
      <c r="N339" t="s">
        <v>79</v>
      </c>
      <c r="O339" t="s">
        <v>74</v>
      </c>
      <c r="P339" t="s">
        <v>74</v>
      </c>
      <c r="Q339" t="s">
        <v>74</v>
      </c>
      <c r="R339" t="s">
        <v>74</v>
      </c>
      <c r="S339" t="s">
        <v>74</v>
      </c>
      <c r="T339" t="s">
        <v>7087</v>
      </c>
      <c r="U339" t="s">
        <v>7088</v>
      </c>
      <c r="V339" t="s">
        <v>7089</v>
      </c>
      <c r="W339" t="s">
        <v>7090</v>
      </c>
      <c r="X339" t="s">
        <v>7091</v>
      </c>
      <c r="Y339" t="s">
        <v>7092</v>
      </c>
      <c r="Z339" t="s">
        <v>7093</v>
      </c>
      <c r="AA339" t="s">
        <v>7094</v>
      </c>
      <c r="AB339" t="s">
        <v>7095</v>
      </c>
      <c r="AC339" t="s">
        <v>7096</v>
      </c>
      <c r="AD339" t="s">
        <v>7097</v>
      </c>
      <c r="AE339" t="s">
        <v>7098</v>
      </c>
      <c r="AF339" t="s">
        <v>74</v>
      </c>
      <c r="AG339">
        <v>42</v>
      </c>
      <c r="AH339">
        <v>12</v>
      </c>
      <c r="AI339">
        <v>13</v>
      </c>
      <c r="AJ339">
        <v>0</v>
      </c>
      <c r="AK339">
        <v>8</v>
      </c>
      <c r="AL339" t="s">
        <v>1495</v>
      </c>
      <c r="AM339" t="s">
        <v>1496</v>
      </c>
      <c r="AN339" t="s">
        <v>1497</v>
      </c>
      <c r="AO339" t="s">
        <v>7099</v>
      </c>
      <c r="AP339" t="s">
        <v>7100</v>
      </c>
      <c r="AQ339" t="s">
        <v>74</v>
      </c>
      <c r="AR339" t="s">
        <v>7101</v>
      </c>
      <c r="AS339" t="s">
        <v>7102</v>
      </c>
      <c r="AT339" t="s">
        <v>6558</v>
      </c>
      <c r="AU339">
        <v>2020</v>
      </c>
      <c r="AV339">
        <v>50</v>
      </c>
      <c r="AW339">
        <v>10</v>
      </c>
      <c r="AX339" t="s">
        <v>74</v>
      </c>
      <c r="AY339" t="s">
        <v>74</v>
      </c>
      <c r="AZ339" t="s">
        <v>74</v>
      </c>
      <c r="BA339" t="s">
        <v>74</v>
      </c>
      <c r="BB339">
        <v>2873</v>
      </c>
      <c r="BC339">
        <v>2883</v>
      </c>
      <c r="BD339" t="s">
        <v>74</v>
      </c>
      <c r="BE339" t="s">
        <v>7103</v>
      </c>
      <c r="BF339" t="str">
        <f>HYPERLINK("http://dx.doi.org/10.1175/JPO-D-20-0117.1","http://dx.doi.org/10.1175/JPO-D-20-0117.1")</f>
        <v>http://dx.doi.org/10.1175/JPO-D-20-0117.1</v>
      </c>
      <c r="BG339" t="s">
        <v>74</v>
      </c>
      <c r="BH339" t="s">
        <v>74</v>
      </c>
      <c r="BI339">
        <v>11</v>
      </c>
      <c r="BJ339" t="s">
        <v>1283</v>
      </c>
      <c r="BK339" t="s">
        <v>100</v>
      </c>
      <c r="BL339" t="s">
        <v>1283</v>
      </c>
      <c r="BM339" t="s">
        <v>7104</v>
      </c>
      <c r="BN339" t="s">
        <v>74</v>
      </c>
      <c r="BO339" t="s">
        <v>701</v>
      </c>
      <c r="BP339" t="s">
        <v>74</v>
      </c>
      <c r="BQ339" t="s">
        <v>74</v>
      </c>
      <c r="BR339" t="s">
        <v>104</v>
      </c>
      <c r="BS339" t="s">
        <v>7105</v>
      </c>
      <c r="BT339" t="str">
        <f>HYPERLINK("https%3A%2F%2Fwww.webofscience.com%2Fwos%2Fwoscc%2Ffull-record%2FWOS:000589826300005","View Full Record in Web of Science")</f>
        <v>View Full Record in Web of Science</v>
      </c>
    </row>
    <row r="340" spans="1:72" x14ac:dyDescent="0.15">
      <c r="A340" t="s">
        <v>72</v>
      </c>
      <c r="B340" t="s">
        <v>7106</v>
      </c>
      <c r="C340" t="s">
        <v>74</v>
      </c>
      <c r="D340" t="s">
        <v>74</v>
      </c>
      <c r="E340" t="s">
        <v>74</v>
      </c>
      <c r="F340" t="s">
        <v>7107</v>
      </c>
      <c r="G340" t="s">
        <v>74</v>
      </c>
      <c r="H340" t="s">
        <v>74</v>
      </c>
      <c r="I340" t="s">
        <v>7108</v>
      </c>
      <c r="J340" t="s">
        <v>7086</v>
      </c>
      <c r="K340" t="s">
        <v>74</v>
      </c>
      <c r="L340" t="s">
        <v>74</v>
      </c>
      <c r="M340" t="s">
        <v>78</v>
      </c>
      <c r="N340" t="s">
        <v>79</v>
      </c>
      <c r="O340" t="s">
        <v>74</v>
      </c>
      <c r="P340" t="s">
        <v>74</v>
      </c>
      <c r="Q340" t="s">
        <v>74</v>
      </c>
      <c r="R340" t="s">
        <v>74</v>
      </c>
      <c r="S340" t="s">
        <v>74</v>
      </c>
      <c r="T340" t="s">
        <v>74</v>
      </c>
      <c r="U340" t="s">
        <v>7109</v>
      </c>
      <c r="V340" t="s">
        <v>7110</v>
      </c>
      <c r="W340" t="s">
        <v>7111</v>
      </c>
      <c r="X340" t="s">
        <v>7112</v>
      </c>
      <c r="Y340" t="s">
        <v>7113</v>
      </c>
      <c r="Z340" t="s">
        <v>7114</v>
      </c>
      <c r="AA340" t="s">
        <v>7115</v>
      </c>
      <c r="AB340" t="s">
        <v>7116</v>
      </c>
      <c r="AC340" t="s">
        <v>7117</v>
      </c>
      <c r="AD340" t="s">
        <v>7118</v>
      </c>
      <c r="AE340" t="s">
        <v>7119</v>
      </c>
      <c r="AF340" t="s">
        <v>74</v>
      </c>
      <c r="AG340">
        <v>61</v>
      </c>
      <c r="AH340">
        <v>15</v>
      </c>
      <c r="AI340">
        <v>16</v>
      </c>
      <c r="AJ340">
        <v>5</v>
      </c>
      <c r="AK340">
        <v>8</v>
      </c>
      <c r="AL340" t="s">
        <v>1495</v>
      </c>
      <c r="AM340" t="s">
        <v>1496</v>
      </c>
      <c r="AN340" t="s">
        <v>1497</v>
      </c>
      <c r="AO340" t="s">
        <v>7099</v>
      </c>
      <c r="AP340" t="s">
        <v>7100</v>
      </c>
      <c r="AQ340" t="s">
        <v>74</v>
      </c>
      <c r="AR340" t="s">
        <v>7101</v>
      </c>
      <c r="AS340" t="s">
        <v>7102</v>
      </c>
      <c r="AT340" t="s">
        <v>6558</v>
      </c>
      <c r="AU340">
        <v>2020</v>
      </c>
      <c r="AV340">
        <v>50</v>
      </c>
      <c r="AW340">
        <v>10</v>
      </c>
      <c r="AX340" t="s">
        <v>74</v>
      </c>
      <c r="AY340" t="s">
        <v>74</v>
      </c>
      <c r="AZ340" t="s">
        <v>74</v>
      </c>
      <c r="BA340" t="s">
        <v>74</v>
      </c>
      <c r="BB340">
        <v>3042</v>
      </c>
      <c r="BC340">
        <v>3062</v>
      </c>
      <c r="BD340" t="s">
        <v>74</v>
      </c>
      <c r="BE340" t="s">
        <v>7120</v>
      </c>
      <c r="BF340" t="str">
        <f>HYPERLINK("http://dx.doi.org/10.1175/JPO-D-20-0001.1","http://dx.doi.org/10.1175/JPO-D-20-0001.1")</f>
        <v>http://dx.doi.org/10.1175/JPO-D-20-0001.1</v>
      </c>
      <c r="BG340" t="s">
        <v>74</v>
      </c>
      <c r="BH340" t="s">
        <v>74</v>
      </c>
      <c r="BI340">
        <v>20</v>
      </c>
      <c r="BJ340" t="s">
        <v>1283</v>
      </c>
      <c r="BK340" t="s">
        <v>100</v>
      </c>
      <c r="BL340" t="s">
        <v>1283</v>
      </c>
      <c r="BM340" t="s">
        <v>7104</v>
      </c>
      <c r="BN340" t="s">
        <v>74</v>
      </c>
      <c r="BO340" t="s">
        <v>1919</v>
      </c>
      <c r="BP340" t="s">
        <v>74</v>
      </c>
      <c r="BQ340" t="s">
        <v>74</v>
      </c>
      <c r="BR340" t="s">
        <v>104</v>
      </c>
      <c r="BS340" t="s">
        <v>7121</v>
      </c>
      <c r="BT340" t="str">
        <f>HYPERLINK("https%3A%2F%2Fwww.webofscience.com%2Fwos%2Fwoscc%2Ffull-record%2FWOS:000589826300015","View Full Record in Web of Science")</f>
        <v>View Full Record in Web of Science</v>
      </c>
    </row>
    <row r="341" spans="1:72" x14ac:dyDescent="0.15">
      <c r="A341" t="s">
        <v>72</v>
      </c>
      <c r="B341" t="s">
        <v>7122</v>
      </c>
      <c r="C341" t="s">
        <v>74</v>
      </c>
      <c r="D341" t="s">
        <v>74</v>
      </c>
      <c r="E341" t="s">
        <v>74</v>
      </c>
      <c r="F341" t="s">
        <v>7123</v>
      </c>
      <c r="G341" t="s">
        <v>74</v>
      </c>
      <c r="H341" t="s">
        <v>74</v>
      </c>
      <c r="I341" t="s">
        <v>7124</v>
      </c>
      <c r="J341" t="s">
        <v>7125</v>
      </c>
      <c r="K341" t="s">
        <v>74</v>
      </c>
      <c r="L341" t="s">
        <v>74</v>
      </c>
      <c r="M341" t="s">
        <v>78</v>
      </c>
      <c r="N341" t="s">
        <v>79</v>
      </c>
      <c r="O341" t="s">
        <v>74</v>
      </c>
      <c r="P341" t="s">
        <v>74</v>
      </c>
      <c r="Q341" t="s">
        <v>74</v>
      </c>
      <c r="R341" t="s">
        <v>74</v>
      </c>
      <c r="S341" t="s">
        <v>74</v>
      </c>
      <c r="T341" t="s">
        <v>7126</v>
      </c>
      <c r="U341" t="s">
        <v>7127</v>
      </c>
      <c r="V341" t="s">
        <v>7128</v>
      </c>
      <c r="W341" t="s">
        <v>7129</v>
      </c>
      <c r="X341" t="s">
        <v>7130</v>
      </c>
      <c r="Y341" t="s">
        <v>7131</v>
      </c>
      <c r="Z341" t="s">
        <v>7132</v>
      </c>
      <c r="AA341" t="s">
        <v>7133</v>
      </c>
      <c r="AB341" t="s">
        <v>7134</v>
      </c>
      <c r="AC341" t="s">
        <v>7135</v>
      </c>
      <c r="AD341" t="s">
        <v>2354</v>
      </c>
      <c r="AE341" t="s">
        <v>7136</v>
      </c>
      <c r="AF341" t="s">
        <v>74</v>
      </c>
      <c r="AG341">
        <v>25</v>
      </c>
      <c r="AH341">
        <v>5</v>
      </c>
      <c r="AI341">
        <v>5</v>
      </c>
      <c r="AJ341">
        <v>0</v>
      </c>
      <c r="AK341">
        <v>0</v>
      </c>
      <c r="AL341" t="s">
        <v>7137</v>
      </c>
      <c r="AM341" t="s">
        <v>7138</v>
      </c>
      <c r="AN341" t="s">
        <v>7139</v>
      </c>
      <c r="AO341" t="s">
        <v>7140</v>
      </c>
      <c r="AP341" t="s">
        <v>74</v>
      </c>
      <c r="AQ341" t="s">
        <v>74</v>
      </c>
      <c r="AR341" t="s">
        <v>7141</v>
      </c>
      <c r="AS341" t="s">
        <v>7142</v>
      </c>
      <c r="AT341" t="s">
        <v>7143</v>
      </c>
      <c r="AU341">
        <v>2020</v>
      </c>
      <c r="AV341">
        <v>20</v>
      </c>
      <c r="AW341">
        <v>6</v>
      </c>
      <c r="AX341" t="s">
        <v>74</v>
      </c>
      <c r="AY341" t="s">
        <v>74</v>
      </c>
      <c r="AZ341" t="s">
        <v>74</v>
      </c>
      <c r="BA341" t="s">
        <v>74</v>
      </c>
      <c r="BB341" t="s">
        <v>74</v>
      </c>
      <c r="BC341" t="s">
        <v>74</v>
      </c>
      <c r="BD341" t="s">
        <v>7144</v>
      </c>
      <c r="BE341" t="s">
        <v>7145</v>
      </c>
      <c r="BF341" t="str">
        <f>HYPERLINK("http://dx.doi.org/10.2205/2020ES000718","http://dx.doi.org/10.2205/2020ES000718")</f>
        <v>http://dx.doi.org/10.2205/2020ES000718</v>
      </c>
      <c r="BG341" t="s">
        <v>74</v>
      </c>
      <c r="BH341" t="s">
        <v>74</v>
      </c>
      <c r="BI341">
        <v>11</v>
      </c>
      <c r="BJ341" t="s">
        <v>534</v>
      </c>
      <c r="BK341" t="s">
        <v>1214</v>
      </c>
      <c r="BL341" t="s">
        <v>535</v>
      </c>
      <c r="BM341" t="s">
        <v>7146</v>
      </c>
      <c r="BN341" t="s">
        <v>74</v>
      </c>
      <c r="BO341" t="s">
        <v>1432</v>
      </c>
      <c r="BP341" t="s">
        <v>74</v>
      </c>
      <c r="BQ341" t="s">
        <v>74</v>
      </c>
      <c r="BR341" t="s">
        <v>104</v>
      </c>
      <c r="BS341" t="s">
        <v>7147</v>
      </c>
      <c r="BT341" t="str">
        <f>HYPERLINK("https%3A%2F%2Fwww.webofscience.com%2Fwos%2Fwoscc%2Ffull-record%2FWOS:000595548100006","View Full Record in Web of Science")</f>
        <v>View Full Record in Web of Science</v>
      </c>
    </row>
    <row r="342" spans="1:72" x14ac:dyDescent="0.15">
      <c r="A342" t="s">
        <v>72</v>
      </c>
      <c r="B342" t="s">
        <v>7148</v>
      </c>
      <c r="C342" t="s">
        <v>74</v>
      </c>
      <c r="D342" t="s">
        <v>74</v>
      </c>
      <c r="E342" t="s">
        <v>74</v>
      </c>
      <c r="F342" t="s">
        <v>7149</v>
      </c>
      <c r="G342" t="s">
        <v>74</v>
      </c>
      <c r="H342" t="s">
        <v>74</v>
      </c>
      <c r="I342" t="s">
        <v>7150</v>
      </c>
      <c r="J342" t="s">
        <v>7151</v>
      </c>
      <c r="K342" t="s">
        <v>74</v>
      </c>
      <c r="L342" t="s">
        <v>74</v>
      </c>
      <c r="M342" t="s">
        <v>78</v>
      </c>
      <c r="N342" t="s">
        <v>79</v>
      </c>
      <c r="O342" t="s">
        <v>74</v>
      </c>
      <c r="P342" t="s">
        <v>74</v>
      </c>
      <c r="Q342" t="s">
        <v>74</v>
      </c>
      <c r="R342" t="s">
        <v>74</v>
      </c>
      <c r="S342" t="s">
        <v>74</v>
      </c>
      <c r="T342" t="s">
        <v>7152</v>
      </c>
      <c r="U342" t="s">
        <v>7153</v>
      </c>
      <c r="V342" t="s">
        <v>7154</v>
      </c>
      <c r="W342" t="s">
        <v>7155</v>
      </c>
      <c r="X342" t="s">
        <v>7156</v>
      </c>
      <c r="Y342" t="s">
        <v>7157</v>
      </c>
      <c r="Z342" t="s">
        <v>7158</v>
      </c>
      <c r="AA342" t="s">
        <v>74</v>
      </c>
      <c r="AB342" t="s">
        <v>74</v>
      </c>
      <c r="AC342" t="s">
        <v>74</v>
      </c>
      <c r="AD342" t="s">
        <v>74</v>
      </c>
      <c r="AE342" t="s">
        <v>74</v>
      </c>
      <c r="AF342" t="s">
        <v>74</v>
      </c>
      <c r="AG342">
        <v>97</v>
      </c>
      <c r="AH342">
        <v>14</v>
      </c>
      <c r="AI342">
        <v>14</v>
      </c>
      <c r="AJ342">
        <v>0</v>
      </c>
      <c r="AK342">
        <v>1</v>
      </c>
      <c r="AL342" t="s">
        <v>7159</v>
      </c>
      <c r="AM342" t="s">
        <v>7160</v>
      </c>
      <c r="AN342" t="s">
        <v>7161</v>
      </c>
      <c r="AO342" t="s">
        <v>7162</v>
      </c>
      <c r="AP342" t="s">
        <v>7163</v>
      </c>
      <c r="AQ342" t="s">
        <v>74</v>
      </c>
      <c r="AR342" t="s">
        <v>7151</v>
      </c>
      <c r="AS342" t="s">
        <v>7164</v>
      </c>
      <c r="AT342" t="s">
        <v>6558</v>
      </c>
      <c r="AU342">
        <v>2020</v>
      </c>
      <c r="AV342">
        <v>57</v>
      </c>
      <c r="AW342">
        <v>5</v>
      </c>
      <c r="AX342" t="s">
        <v>74</v>
      </c>
      <c r="AY342" t="s">
        <v>74</v>
      </c>
      <c r="AZ342" t="s">
        <v>74</v>
      </c>
      <c r="BA342" t="s">
        <v>74</v>
      </c>
      <c r="BB342">
        <v>464</v>
      </c>
      <c r="BC342">
        <v>479</v>
      </c>
      <c r="BD342" t="s">
        <v>74</v>
      </c>
      <c r="BE342" t="s">
        <v>7165</v>
      </c>
      <c r="BF342" t="str">
        <f>HYPERLINK("http://dx.doi.org/10.5710/AMGH.27.05.2020.3352","http://dx.doi.org/10.5710/AMGH.27.05.2020.3352")</f>
        <v>http://dx.doi.org/10.5710/AMGH.27.05.2020.3352</v>
      </c>
      <c r="BG342" t="s">
        <v>74</v>
      </c>
      <c r="BH342" t="s">
        <v>74</v>
      </c>
      <c r="BI342">
        <v>16</v>
      </c>
      <c r="BJ342" t="s">
        <v>1057</v>
      </c>
      <c r="BK342" t="s">
        <v>100</v>
      </c>
      <c r="BL342" t="s">
        <v>1057</v>
      </c>
      <c r="BM342" t="s">
        <v>7166</v>
      </c>
      <c r="BN342" t="s">
        <v>74</v>
      </c>
      <c r="BO342" t="s">
        <v>74</v>
      </c>
      <c r="BP342" t="s">
        <v>74</v>
      </c>
      <c r="BQ342" t="s">
        <v>74</v>
      </c>
      <c r="BR342" t="s">
        <v>104</v>
      </c>
      <c r="BS342" t="s">
        <v>7167</v>
      </c>
      <c r="BT342" t="str">
        <f>HYPERLINK("https%3A%2F%2Fwww.webofscience.com%2Fwos%2Fwoscc%2Ffull-record%2FWOS:000592805800006","View Full Record in Web of Science")</f>
        <v>View Full Record in Web of Science</v>
      </c>
    </row>
    <row r="343" spans="1:72" x14ac:dyDescent="0.15">
      <c r="A343" t="s">
        <v>72</v>
      </c>
      <c r="B343" t="s">
        <v>7168</v>
      </c>
      <c r="C343" t="s">
        <v>74</v>
      </c>
      <c r="D343" t="s">
        <v>74</v>
      </c>
      <c r="E343" t="s">
        <v>74</v>
      </c>
      <c r="F343" t="s">
        <v>7169</v>
      </c>
      <c r="G343" t="s">
        <v>74</v>
      </c>
      <c r="H343" t="s">
        <v>74</v>
      </c>
      <c r="I343" t="s">
        <v>7170</v>
      </c>
      <c r="J343" t="s">
        <v>7171</v>
      </c>
      <c r="K343" t="s">
        <v>74</v>
      </c>
      <c r="L343" t="s">
        <v>74</v>
      </c>
      <c r="M343" t="s">
        <v>78</v>
      </c>
      <c r="N343" t="s">
        <v>79</v>
      </c>
      <c r="O343" t="s">
        <v>74</v>
      </c>
      <c r="P343" t="s">
        <v>74</v>
      </c>
      <c r="Q343" t="s">
        <v>74</v>
      </c>
      <c r="R343" t="s">
        <v>74</v>
      </c>
      <c r="S343" t="s">
        <v>74</v>
      </c>
      <c r="T343" t="s">
        <v>7172</v>
      </c>
      <c r="U343" t="s">
        <v>7173</v>
      </c>
      <c r="V343" t="s">
        <v>7174</v>
      </c>
      <c r="W343" t="s">
        <v>7175</v>
      </c>
      <c r="X343" t="s">
        <v>7176</v>
      </c>
      <c r="Y343" t="s">
        <v>7177</v>
      </c>
      <c r="Z343" t="s">
        <v>7178</v>
      </c>
      <c r="AA343" t="s">
        <v>7179</v>
      </c>
      <c r="AB343" t="s">
        <v>7180</v>
      </c>
      <c r="AC343" t="s">
        <v>7181</v>
      </c>
      <c r="AD343" t="s">
        <v>7182</v>
      </c>
      <c r="AE343" t="s">
        <v>7183</v>
      </c>
      <c r="AF343" t="s">
        <v>74</v>
      </c>
      <c r="AG343">
        <v>171</v>
      </c>
      <c r="AH343">
        <v>27</v>
      </c>
      <c r="AI343">
        <v>27</v>
      </c>
      <c r="AJ343">
        <v>4</v>
      </c>
      <c r="AK343">
        <v>20</v>
      </c>
      <c r="AL343" t="s">
        <v>1406</v>
      </c>
      <c r="AM343" t="s">
        <v>1407</v>
      </c>
      <c r="AN343" t="s">
        <v>1408</v>
      </c>
      <c r="AO343" t="s">
        <v>7184</v>
      </c>
      <c r="AP343" t="s">
        <v>7185</v>
      </c>
      <c r="AQ343" t="s">
        <v>74</v>
      </c>
      <c r="AR343" t="s">
        <v>7186</v>
      </c>
      <c r="AS343" t="s">
        <v>7187</v>
      </c>
      <c r="AT343" t="s">
        <v>6558</v>
      </c>
      <c r="AU343">
        <v>2020</v>
      </c>
      <c r="AV343">
        <v>190</v>
      </c>
      <c r="AW343">
        <v>2</v>
      </c>
      <c r="AX343" t="s">
        <v>74</v>
      </c>
      <c r="AY343" t="s">
        <v>74</v>
      </c>
      <c r="AZ343" t="s">
        <v>74</v>
      </c>
      <c r="BA343" t="s">
        <v>74</v>
      </c>
      <c r="BB343">
        <v>460</v>
      </c>
      <c r="BC343">
        <v>482</v>
      </c>
      <c r="BD343" t="s">
        <v>74</v>
      </c>
      <c r="BE343" t="s">
        <v>7188</v>
      </c>
      <c r="BF343" t="str">
        <f>HYPERLINK("http://dx.doi.org/10.1093/zoolinnean/zlaa014","http://dx.doi.org/10.1093/zoolinnean/zlaa014")</f>
        <v>http://dx.doi.org/10.1093/zoolinnean/zlaa014</v>
      </c>
      <c r="BG343" t="s">
        <v>74</v>
      </c>
      <c r="BH343" t="s">
        <v>74</v>
      </c>
      <c r="BI343">
        <v>23</v>
      </c>
      <c r="BJ343" t="s">
        <v>1553</v>
      </c>
      <c r="BK343" t="s">
        <v>100</v>
      </c>
      <c r="BL343" t="s">
        <v>1553</v>
      </c>
      <c r="BM343" t="s">
        <v>7189</v>
      </c>
      <c r="BN343" t="s">
        <v>74</v>
      </c>
      <c r="BO343" t="s">
        <v>1980</v>
      </c>
      <c r="BP343" t="s">
        <v>74</v>
      </c>
      <c r="BQ343" t="s">
        <v>74</v>
      </c>
      <c r="BR343" t="s">
        <v>104</v>
      </c>
      <c r="BS343" t="s">
        <v>7190</v>
      </c>
      <c r="BT343" t="str">
        <f>HYPERLINK("https%3A%2F%2Fwww.webofscience.com%2Fwos%2Fwoscc%2Ffull-record%2FWOS:000593438900004","View Full Record in Web of Science")</f>
        <v>View Full Record in Web of Science</v>
      </c>
    </row>
    <row r="344" spans="1:72" x14ac:dyDescent="0.15">
      <c r="A344" t="s">
        <v>72</v>
      </c>
      <c r="B344" t="s">
        <v>7191</v>
      </c>
      <c r="C344" t="s">
        <v>74</v>
      </c>
      <c r="D344" t="s">
        <v>74</v>
      </c>
      <c r="E344" t="s">
        <v>74</v>
      </c>
      <c r="F344" t="s">
        <v>7192</v>
      </c>
      <c r="G344" t="s">
        <v>74</v>
      </c>
      <c r="H344" t="s">
        <v>74</v>
      </c>
      <c r="I344" t="s">
        <v>7193</v>
      </c>
      <c r="J344" t="s">
        <v>7171</v>
      </c>
      <c r="K344" t="s">
        <v>74</v>
      </c>
      <c r="L344" t="s">
        <v>74</v>
      </c>
      <c r="M344" t="s">
        <v>78</v>
      </c>
      <c r="N344" t="s">
        <v>79</v>
      </c>
      <c r="O344" t="s">
        <v>74</v>
      </c>
      <c r="P344" t="s">
        <v>74</v>
      </c>
      <c r="Q344" t="s">
        <v>74</v>
      </c>
      <c r="R344" t="s">
        <v>74</v>
      </c>
      <c r="S344" t="s">
        <v>74</v>
      </c>
      <c r="T344" t="s">
        <v>7194</v>
      </c>
      <c r="U344" t="s">
        <v>7195</v>
      </c>
      <c r="V344" t="s">
        <v>7196</v>
      </c>
      <c r="W344" t="s">
        <v>7197</v>
      </c>
      <c r="X344" t="s">
        <v>7198</v>
      </c>
      <c r="Y344" t="s">
        <v>7199</v>
      </c>
      <c r="Z344" t="s">
        <v>7200</v>
      </c>
      <c r="AA344" t="s">
        <v>7201</v>
      </c>
      <c r="AB344" t="s">
        <v>7202</v>
      </c>
      <c r="AC344" t="s">
        <v>7203</v>
      </c>
      <c r="AD344" t="s">
        <v>5444</v>
      </c>
      <c r="AE344" t="s">
        <v>7204</v>
      </c>
      <c r="AF344" t="s">
        <v>74</v>
      </c>
      <c r="AG344">
        <v>36</v>
      </c>
      <c r="AH344">
        <v>3</v>
      </c>
      <c r="AI344">
        <v>3</v>
      </c>
      <c r="AJ344">
        <v>2</v>
      </c>
      <c r="AK344">
        <v>5</v>
      </c>
      <c r="AL344" t="s">
        <v>1406</v>
      </c>
      <c r="AM344" t="s">
        <v>1407</v>
      </c>
      <c r="AN344" t="s">
        <v>1408</v>
      </c>
      <c r="AO344" t="s">
        <v>7184</v>
      </c>
      <c r="AP344" t="s">
        <v>7185</v>
      </c>
      <c r="AQ344" t="s">
        <v>74</v>
      </c>
      <c r="AR344" t="s">
        <v>7186</v>
      </c>
      <c r="AS344" t="s">
        <v>7187</v>
      </c>
      <c r="AT344" t="s">
        <v>6558</v>
      </c>
      <c r="AU344">
        <v>2020</v>
      </c>
      <c r="AV344">
        <v>190</v>
      </c>
      <c r="AW344">
        <v>2</v>
      </c>
      <c r="AX344" t="s">
        <v>74</v>
      </c>
      <c r="AY344" t="s">
        <v>74</v>
      </c>
      <c r="AZ344" t="s">
        <v>74</v>
      </c>
      <c r="BA344" t="s">
        <v>74</v>
      </c>
      <c r="BB344">
        <v>613</v>
      </c>
      <c r="BC344">
        <v>631</v>
      </c>
      <c r="BD344" t="s">
        <v>74</v>
      </c>
      <c r="BE344" t="s">
        <v>7205</v>
      </c>
      <c r="BF344" t="str">
        <f>HYPERLINK("http://dx.doi.org/10.1093/zoolinnean/zlz145","http://dx.doi.org/10.1093/zoolinnean/zlz145")</f>
        <v>http://dx.doi.org/10.1093/zoolinnean/zlz145</v>
      </c>
      <c r="BG344" t="s">
        <v>74</v>
      </c>
      <c r="BH344" t="s">
        <v>74</v>
      </c>
      <c r="BI344">
        <v>19</v>
      </c>
      <c r="BJ344" t="s">
        <v>1553</v>
      </c>
      <c r="BK344" t="s">
        <v>100</v>
      </c>
      <c r="BL344" t="s">
        <v>1553</v>
      </c>
      <c r="BM344" t="s">
        <v>7189</v>
      </c>
      <c r="BN344" t="s">
        <v>74</v>
      </c>
      <c r="BO344" t="s">
        <v>3641</v>
      </c>
      <c r="BP344" t="s">
        <v>74</v>
      </c>
      <c r="BQ344" t="s">
        <v>74</v>
      </c>
      <c r="BR344" t="s">
        <v>104</v>
      </c>
      <c r="BS344" t="s">
        <v>7206</v>
      </c>
      <c r="BT344" t="str">
        <f>HYPERLINK("https%3A%2F%2Fwww.webofscience.com%2Fwos%2Fwoscc%2Ffull-record%2FWOS:000593438900011","View Full Record in Web of Science")</f>
        <v>View Full Record in Web of Science</v>
      </c>
    </row>
    <row r="345" spans="1:72" x14ac:dyDescent="0.15">
      <c r="A345" t="s">
        <v>72</v>
      </c>
      <c r="B345" t="s">
        <v>7207</v>
      </c>
      <c r="C345" t="s">
        <v>74</v>
      </c>
      <c r="D345" t="s">
        <v>74</v>
      </c>
      <c r="E345" t="s">
        <v>74</v>
      </c>
      <c r="F345" t="s">
        <v>7208</v>
      </c>
      <c r="G345" t="s">
        <v>74</v>
      </c>
      <c r="H345" t="s">
        <v>74</v>
      </c>
      <c r="I345" t="s">
        <v>7209</v>
      </c>
      <c r="J345" t="s">
        <v>7210</v>
      </c>
      <c r="K345" t="s">
        <v>74</v>
      </c>
      <c r="L345" t="s">
        <v>74</v>
      </c>
      <c r="M345" t="s">
        <v>78</v>
      </c>
      <c r="N345" t="s">
        <v>79</v>
      </c>
      <c r="O345" t="s">
        <v>74</v>
      </c>
      <c r="P345" t="s">
        <v>74</v>
      </c>
      <c r="Q345" t="s">
        <v>74</v>
      </c>
      <c r="R345" t="s">
        <v>74</v>
      </c>
      <c r="S345" t="s">
        <v>74</v>
      </c>
      <c r="T345" t="s">
        <v>7211</v>
      </c>
      <c r="U345" t="s">
        <v>7212</v>
      </c>
      <c r="V345" t="s">
        <v>7213</v>
      </c>
      <c r="W345" t="s">
        <v>7214</v>
      </c>
      <c r="X345" t="s">
        <v>7215</v>
      </c>
      <c r="Y345" t="s">
        <v>7216</v>
      </c>
      <c r="Z345" t="s">
        <v>7217</v>
      </c>
      <c r="AA345" t="s">
        <v>7218</v>
      </c>
      <c r="AB345" t="s">
        <v>7219</v>
      </c>
      <c r="AC345" t="s">
        <v>7220</v>
      </c>
      <c r="AD345" t="s">
        <v>7221</v>
      </c>
      <c r="AE345" t="s">
        <v>7222</v>
      </c>
      <c r="AF345" t="s">
        <v>74</v>
      </c>
      <c r="AG345">
        <v>34</v>
      </c>
      <c r="AH345">
        <v>20</v>
      </c>
      <c r="AI345">
        <v>20</v>
      </c>
      <c r="AJ345">
        <v>1</v>
      </c>
      <c r="AK345">
        <v>14</v>
      </c>
      <c r="AL345" t="s">
        <v>1522</v>
      </c>
      <c r="AM345" t="s">
        <v>1407</v>
      </c>
      <c r="AN345" t="s">
        <v>1523</v>
      </c>
      <c r="AO345" t="s">
        <v>7223</v>
      </c>
      <c r="AP345" t="s">
        <v>7224</v>
      </c>
      <c r="AQ345" t="s">
        <v>74</v>
      </c>
      <c r="AR345" t="s">
        <v>7225</v>
      </c>
      <c r="AS345" t="s">
        <v>7226</v>
      </c>
      <c r="AT345" t="s">
        <v>6558</v>
      </c>
      <c r="AU345">
        <v>2020</v>
      </c>
      <c r="AV345">
        <v>180</v>
      </c>
      <c r="AW345" t="s">
        <v>74</v>
      </c>
      <c r="AX345" t="s">
        <v>74</v>
      </c>
      <c r="AY345" t="s">
        <v>74</v>
      </c>
      <c r="AZ345" t="s">
        <v>489</v>
      </c>
      <c r="BA345" t="s">
        <v>74</v>
      </c>
      <c r="BB345" t="s">
        <v>74</v>
      </c>
      <c r="BC345" t="s">
        <v>74</v>
      </c>
      <c r="BD345">
        <v>104722</v>
      </c>
      <c r="BE345" t="s">
        <v>7227</v>
      </c>
      <c r="BF345" t="str">
        <f>HYPERLINK("http://dx.doi.org/10.1016/j.dsr2.2019.104722","http://dx.doi.org/10.1016/j.dsr2.2019.104722")</f>
        <v>http://dx.doi.org/10.1016/j.dsr2.2019.104722</v>
      </c>
      <c r="BG345" t="s">
        <v>74</v>
      </c>
      <c r="BH345" t="s">
        <v>74</v>
      </c>
      <c r="BI345">
        <v>11</v>
      </c>
      <c r="BJ345" t="s">
        <v>1283</v>
      </c>
      <c r="BK345" t="s">
        <v>100</v>
      </c>
      <c r="BL345" t="s">
        <v>1283</v>
      </c>
      <c r="BM345" t="s">
        <v>7228</v>
      </c>
      <c r="BN345" t="s">
        <v>74</v>
      </c>
      <c r="BO345" t="s">
        <v>1894</v>
      </c>
      <c r="BP345" t="s">
        <v>74</v>
      </c>
      <c r="BQ345" t="s">
        <v>74</v>
      </c>
      <c r="BR345" t="s">
        <v>104</v>
      </c>
      <c r="BS345" t="s">
        <v>7229</v>
      </c>
      <c r="BT345" t="str">
        <f>HYPERLINK("https%3A%2F%2Fwww.webofscience.com%2Fwos%2Fwoscc%2Ffull-record%2FWOS:000591222000001","View Full Record in Web of Science")</f>
        <v>View Full Record in Web of Science</v>
      </c>
    </row>
    <row r="346" spans="1:72" x14ac:dyDescent="0.15">
      <c r="A346" t="s">
        <v>72</v>
      </c>
      <c r="B346" t="s">
        <v>7230</v>
      </c>
      <c r="C346" t="s">
        <v>74</v>
      </c>
      <c r="D346" t="s">
        <v>74</v>
      </c>
      <c r="E346" t="s">
        <v>74</v>
      </c>
      <c r="F346" t="s">
        <v>7231</v>
      </c>
      <c r="G346" t="s">
        <v>74</v>
      </c>
      <c r="H346" t="s">
        <v>74</v>
      </c>
      <c r="I346" t="s">
        <v>7232</v>
      </c>
      <c r="J346" t="s">
        <v>7233</v>
      </c>
      <c r="K346" t="s">
        <v>74</v>
      </c>
      <c r="L346" t="s">
        <v>74</v>
      </c>
      <c r="M346" t="s">
        <v>78</v>
      </c>
      <c r="N346" t="s">
        <v>79</v>
      </c>
      <c r="O346" t="s">
        <v>74</v>
      </c>
      <c r="P346" t="s">
        <v>74</v>
      </c>
      <c r="Q346" t="s">
        <v>74</v>
      </c>
      <c r="R346" t="s">
        <v>74</v>
      </c>
      <c r="S346" t="s">
        <v>74</v>
      </c>
      <c r="T346" t="s">
        <v>7234</v>
      </c>
      <c r="U346" t="s">
        <v>7235</v>
      </c>
      <c r="V346" t="s">
        <v>7236</v>
      </c>
      <c r="W346" t="s">
        <v>7237</v>
      </c>
      <c r="X346" t="s">
        <v>74</v>
      </c>
      <c r="Y346" t="s">
        <v>7238</v>
      </c>
      <c r="Z346" t="s">
        <v>7239</v>
      </c>
      <c r="AA346" t="s">
        <v>74</v>
      </c>
      <c r="AB346" t="s">
        <v>74</v>
      </c>
      <c r="AC346" t="s">
        <v>7240</v>
      </c>
      <c r="AD346" t="s">
        <v>1758</v>
      </c>
      <c r="AE346" t="s">
        <v>74</v>
      </c>
      <c r="AF346" t="s">
        <v>74</v>
      </c>
      <c r="AG346">
        <v>31</v>
      </c>
      <c r="AH346">
        <v>0</v>
      </c>
      <c r="AI346">
        <v>0</v>
      </c>
      <c r="AJ346">
        <v>1</v>
      </c>
      <c r="AK346">
        <v>1</v>
      </c>
      <c r="AL346" t="s">
        <v>7241</v>
      </c>
      <c r="AM346" t="s">
        <v>7242</v>
      </c>
      <c r="AN346" t="s">
        <v>7243</v>
      </c>
      <c r="AO346" t="s">
        <v>7244</v>
      </c>
      <c r="AP346" t="s">
        <v>7245</v>
      </c>
      <c r="AQ346" t="s">
        <v>74</v>
      </c>
      <c r="AR346" t="s">
        <v>7246</v>
      </c>
      <c r="AS346" t="s">
        <v>7247</v>
      </c>
      <c r="AT346" t="s">
        <v>6558</v>
      </c>
      <c r="AU346">
        <v>2020</v>
      </c>
      <c r="AV346">
        <v>47</v>
      </c>
      <c r="AW346">
        <v>2</v>
      </c>
      <c r="AX346" t="s">
        <v>74</v>
      </c>
      <c r="AY346" t="s">
        <v>74</v>
      </c>
      <c r="AZ346" t="s">
        <v>74</v>
      </c>
      <c r="BA346" t="s">
        <v>74</v>
      </c>
      <c r="BB346">
        <v>286</v>
      </c>
      <c r="BC346">
        <v>301</v>
      </c>
      <c r="BD346" t="s">
        <v>74</v>
      </c>
      <c r="BE346" t="s">
        <v>7248</v>
      </c>
      <c r="BF346" t="str">
        <f>HYPERLINK("http://dx.doi.org/10.3366/anh.2020.0655","http://dx.doi.org/10.3366/anh.2020.0655")</f>
        <v>http://dx.doi.org/10.3366/anh.2020.0655</v>
      </c>
      <c r="BG346" t="s">
        <v>74</v>
      </c>
      <c r="BH346" t="s">
        <v>74</v>
      </c>
      <c r="BI346">
        <v>16</v>
      </c>
      <c r="BJ346" t="s">
        <v>7249</v>
      </c>
      <c r="BK346" t="s">
        <v>7250</v>
      </c>
      <c r="BL346" t="s">
        <v>7251</v>
      </c>
      <c r="BM346" t="s">
        <v>7252</v>
      </c>
      <c r="BN346" t="s">
        <v>74</v>
      </c>
      <c r="BO346" t="s">
        <v>376</v>
      </c>
      <c r="BP346" t="s">
        <v>74</v>
      </c>
      <c r="BQ346" t="s">
        <v>74</v>
      </c>
      <c r="BR346" t="s">
        <v>104</v>
      </c>
      <c r="BS346" t="s">
        <v>7253</v>
      </c>
      <c r="BT346" t="str">
        <f>HYPERLINK("https%3A%2F%2Fwww.webofscience.com%2Fwos%2Fwoscc%2Ffull-record%2FWOS:000592604800006","View Full Record in Web of Science")</f>
        <v>View Full Record in Web of Science</v>
      </c>
    </row>
    <row r="347" spans="1:72" x14ac:dyDescent="0.15">
      <c r="A347" t="s">
        <v>72</v>
      </c>
      <c r="B347" t="s">
        <v>7254</v>
      </c>
      <c r="C347" t="s">
        <v>74</v>
      </c>
      <c r="D347" t="s">
        <v>74</v>
      </c>
      <c r="E347" t="s">
        <v>74</v>
      </c>
      <c r="F347" t="s">
        <v>7255</v>
      </c>
      <c r="G347" t="s">
        <v>74</v>
      </c>
      <c r="H347" t="s">
        <v>74</v>
      </c>
      <c r="I347" t="s">
        <v>7256</v>
      </c>
      <c r="J347" t="s">
        <v>7257</v>
      </c>
      <c r="K347" t="s">
        <v>74</v>
      </c>
      <c r="L347" t="s">
        <v>74</v>
      </c>
      <c r="M347" t="s">
        <v>78</v>
      </c>
      <c r="N347" t="s">
        <v>79</v>
      </c>
      <c r="O347" t="s">
        <v>74</v>
      </c>
      <c r="P347" t="s">
        <v>74</v>
      </c>
      <c r="Q347" t="s">
        <v>74</v>
      </c>
      <c r="R347" t="s">
        <v>74</v>
      </c>
      <c r="S347" t="s">
        <v>74</v>
      </c>
      <c r="T347" t="s">
        <v>7258</v>
      </c>
      <c r="U347" t="s">
        <v>7259</v>
      </c>
      <c r="V347" t="s">
        <v>7260</v>
      </c>
      <c r="W347" t="s">
        <v>7261</v>
      </c>
      <c r="X347" t="s">
        <v>7262</v>
      </c>
      <c r="Y347" t="s">
        <v>7263</v>
      </c>
      <c r="Z347" t="s">
        <v>7264</v>
      </c>
      <c r="AA347" t="s">
        <v>74</v>
      </c>
      <c r="AB347" t="s">
        <v>7265</v>
      </c>
      <c r="AC347" t="s">
        <v>7266</v>
      </c>
      <c r="AD347" t="s">
        <v>7267</v>
      </c>
      <c r="AE347" t="s">
        <v>7268</v>
      </c>
      <c r="AF347" t="s">
        <v>74</v>
      </c>
      <c r="AG347">
        <v>63</v>
      </c>
      <c r="AH347">
        <v>1</v>
      </c>
      <c r="AI347">
        <v>3</v>
      </c>
      <c r="AJ347">
        <v>2</v>
      </c>
      <c r="AK347">
        <v>10</v>
      </c>
      <c r="AL347" t="s">
        <v>7269</v>
      </c>
      <c r="AM347" t="s">
        <v>7270</v>
      </c>
      <c r="AN347" t="s">
        <v>7271</v>
      </c>
      <c r="AO347" t="s">
        <v>7272</v>
      </c>
      <c r="AP347" t="s">
        <v>7273</v>
      </c>
      <c r="AQ347" t="s">
        <v>74</v>
      </c>
      <c r="AR347" t="s">
        <v>7274</v>
      </c>
      <c r="AS347" t="s">
        <v>7275</v>
      </c>
      <c r="AT347" t="s">
        <v>6558</v>
      </c>
      <c r="AU347">
        <v>2020</v>
      </c>
      <c r="AV347">
        <v>320</v>
      </c>
      <c r="AW347">
        <v>8</v>
      </c>
      <c r="AX347" t="s">
        <v>74</v>
      </c>
      <c r="AY347" t="s">
        <v>74</v>
      </c>
      <c r="AZ347" t="s">
        <v>74</v>
      </c>
      <c r="BA347" t="s">
        <v>74</v>
      </c>
      <c r="BB347">
        <v>637</v>
      </c>
      <c r="BC347">
        <v>676</v>
      </c>
      <c r="BD347" t="s">
        <v>74</v>
      </c>
      <c r="BE347" t="s">
        <v>7276</v>
      </c>
      <c r="BF347" t="str">
        <f>HYPERLINK("http://dx.doi.org/10.2475/10.2020.01","http://dx.doi.org/10.2475/10.2020.01")</f>
        <v>http://dx.doi.org/10.2475/10.2020.01</v>
      </c>
      <c r="BG347" t="s">
        <v>74</v>
      </c>
      <c r="BH347" t="s">
        <v>74</v>
      </c>
      <c r="BI347">
        <v>40</v>
      </c>
      <c r="BJ347" t="s">
        <v>534</v>
      </c>
      <c r="BK347" t="s">
        <v>100</v>
      </c>
      <c r="BL347" t="s">
        <v>535</v>
      </c>
      <c r="BM347" t="s">
        <v>7277</v>
      </c>
      <c r="BN347" t="s">
        <v>74</v>
      </c>
      <c r="BO347" t="s">
        <v>74</v>
      </c>
      <c r="BP347" t="s">
        <v>74</v>
      </c>
      <c r="BQ347" t="s">
        <v>74</v>
      </c>
      <c r="BR347" t="s">
        <v>104</v>
      </c>
      <c r="BS347" t="s">
        <v>7278</v>
      </c>
      <c r="BT347" t="str">
        <f>HYPERLINK("https%3A%2F%2Fwww.webofscience.com%2Fwos%2Fwoscc%2Ffull-record%2FWOS:000595615300001","View Full Record in Web of Science")</f>
        <v>View Full Record in Web of Science</v>
      </c>
    </row>
    <row r="348" spans="1:72" x14ac:dyDescent="0.15">
      <c r="A348" t="s">
        <v>72</v>
      </c>
      <c r="B348" t="s">
        <v>7279</v>
      </c>
      <c r="C348" t="s">
        <v>74</v>
      </c>
      <c r="D348" t="s">
        <v>74</v>
      </c>
      <c r="E348" t="s">
        <v>74</v>
      </c>
      <c r="F348" t="s">
        <v>7280</v>
      </c>
      <c r="G348" t="s">
        <v>74</v>
      </c>
      <c r="H348" t="s">
        <v>74</v>
      </c>
      <c r="I348" t="s">
        <v>7281</v>
      </c>
      <c r="J348" t="s">
        <v>1483</v>
      </c>
      <c r="K348" t="s">
        <v>74</v>
      </c>
      <c r="L348" t="s">
        <v>74</v>
      </c>
      <c r="M348" t="s">
        <v>78</v>
      </c>
      <c r="N348" t="s">
        <v>79</v>
      </c>
      <c r="O348" t="s">
        <v>74</v>
      </c>
      <c r="P348" t="s">
        <v>74</v>
      </c>
      <c r="Q348" t="s">
        <v>74</v>
      </c>
      <c r="R348" t="s">
        <v>74</v>
      </c>
      <c r="S348" t="s">
        <v>74</v>
      </c>
      <c r="T348" t="s">
        <v>74</v>
      </c>
      <c r="U348" t="s">
        <v>7282</v>
      </c>
      <c r="V348" t="s">
        <v>7283</v>
      </c>
      <c r="W348" t="s">
        <v>7284</v>
      </c>
      <c r="X348" t="s">
        <v>7285</v>
      </c>
      <c r="Y348" t="s">
        <v>7286</v>
      </c>
      <c r="Z348" t="s">
        <v>7287</v>
      </c>
      <c r="AA348" t="s">
        <v>7288</v>
      </c>
      <c r="AB348" t="s">
        <v>7289</v>
      </c>
      <c r="AC348" t="s">
        <v>7290</v>
      </c>
      <c r="AD348" t="s">
        <v>7291</v>
      </c>
      <c r="AE348" t="s">
        <v>7292</v>
      </c>
      <c r="AF348" t="s">
        <v>74</v>
      </c>
      <c r="AG348">
        <v>41</v>
      </c>
      <c r="AH348">
        <v>25</v>
      </c>
      <c r="AI348">
        <v>25</v>
      </c>
      <c r="AJ348">
        <v>2</v>
      </c>
      <c r="AK348">
        <v>12</v>
      </c>
      <c r="AL348" t="s">
        <v>1495</v>
      </c>
      <c r="AM348" t="s">
        <v>1496</v>
      </c>
      <c r="AN348" t="s">
        <v>1497</v>
      </c>
      <c r="AO348" t="s">
        <v>1498</v>
      </c>
      <c r="AP348" t="s">
        <v>1499</v>
      </c>
      <c r="AQ348" t="s">
        <v>74</v>
      </c>
      <c r="AR348" t="s">
        <v>1500</v>
      </c>
      <c r="AS348" t="s">
        <v>1501</v>
      </c>
      <c r="AT348" t="s">
        <v>6558</v>
      </c>
      <c r="AU348">
        <v>2020</v>
      </c>
      <c r="AV348">
        <v>101</v>
      </c>
      <c r="AW348">
        <v>10</v>
      </c>
      <c r="AX348" t="s">
        <v>74</v>
      </c>
      <c r="AY348" t="s">
        <v>74</v>
      </c>
      <c r="AZ348" t="s">
        <v>74</v>
      </c>
      <c r="BA348" t="s">
        <v>74</v>
      </c>
      <c r="BB348" t="s">
        <v>7293</v>
      </c>
      <c r="BC348" t="s">
        <v>7294</v>
      </c>
      <c r="BD348" t="s">
        <v>74</v>
      </c>
      <c r="BE348" t="s">
        <v>7295</v>
      </c>
      <c r="BF348" t="str">
        <f>HYPERLINK("http://dx.doi.org/10.1175/BAMS-D-19-0255.1","http://dx.doi.org/10.1175/BAMS-D-19-0255.1")</f>
        <v>http://dx.doi.org/10.1175/BAMS-D-19-0255.1</v>
      </c>
      <c r="BG348" t="s">
        <v>74</v>
      </c>
      <c r="BH348" t="s">
        <v>74</v>
      </c>
      <c r="BI348">
        <v>24</v>
      </c>
      <c r="BJ348" t="s">
        <v>800</v>
      </c>
      <c r="BK348" t="s">
        <v>100</v>
      </c>
      <c r="BL348" t="s">
        <v>800</v>
      </c>
      <c r="BM348" t="s">
        <v>7296</v>
      </c>
      <c r="BN348" t="s">
        <v>74</v>
      </c>
      <c r="BO348" t="s">
        <v>1216</v>
      </c>
      <c r="BP348" t="s">
        <v>74</v>
      </c>
      <c r="BQ348" t="s">
        <v>74</v>
      </c>
      <c r="BR348" t="s">
        <v>104</v>
      </c>
      <c r="BS348" t="s">
        <v>7297</v>
      </c>
      <c r="BT348" t="str">
        <f>HYPERLINK("https%3A%2F%2Fwww.webofscience.com%2Fwos%2Fwoscc%2Ffull-record%2FWOS:000588395600006","View Full Record in Web of Science")</f>
        <v>View Full Record in Web of Science</v>
      </c>
    </row>
    <row r="349" spans="1:72" x14ac:dyDescent="0.15">
      <c r="A349" t="s">
        <v>72</v>
      </c>
      <c r="B349" t="s">
        <v>7298</v>
      </c>
      <c r="C349" t="s">
        <v>74</v>
      </c>
      <c r="D349" t="s">
        <v>74</v>
      </c>
      <c r="E349" t="s">
        <v>74</v>
      </c>
      <c r="F349" t="s">
        <v>7299</v>
      </c>
      <c r="G349" t="s">
        <v>74</v>
      </c>
      <c r="H349" t="s">
        <v>74</v>
      </c>
      <c r="I349" t="s">
        <v>7300</v>
      </c>
      <c r="J349" t="s">
        <v>7301</v>
      </c>
      <c r="K349" t="s">
        <v>74</v>
      </c>
      <c r="L349" t="s">
        <v>74</v>
      </c>
      <c r="M349" t="s">
        <v>78</v>
      </c>
      <c r="N349" t="s">
        <v>7302</v>
      </c>
      <c r="O349" t="s">
        <v>74</v>
      </c>
      <c r="P349" t="s">
        <v>74</v>
      </c>
      <c r="Q349" t="s">
        <v>74</v>
      </c>
      <c r="R349" t="s">
        <v>74</v>
      </c>
      <c r="S349" t="s">
        <v>74</v>
      </c>
      <c r="T349" t="s">
        <v>7303</v>
      </c>
      <c r="U349" t="s">
        <v>74</v>
      </c>
      <c r="V349" t="s">
        <v>7304</v>
      </c>
      <c r="W349" t="s">
        <v>7305</v>
      </c>
      <c r="X349" t="s">
        <v>7306</v>
      </c>
      <c r="Y349" t="s">
        <v>7307</v>
      </c>
      <c r="Z349" t="s">
        <v>7308</v>
      </c>
      <c r="AA349" t="s">
        <v>7309</v>
      </c>
      <c r="AB349" t="s">
        <v>7310</v>
      </c>
      <c r="AC349" t="s">
        <v>7311</v>
      </c>
      <c r="AD349" t="s">
        <v>7312</v>
      </c>
      <c r="AE349" t="s">
        <v>7313</v>
      </c>
      <c r="AF349" t="s">
        <v>74</v>
      </c>
      <c r="AG349">
        <v>3</v>
      </c>
      <c r="AH349">
        <v>2</v>
      </c>
      <c r="AI349">
        <v>2</v>
      </c>
      <c r="AJ349">
        <v>0</v>
      </c>
      <c r="AK349">
        <v>2</v>
      </c>
      <c r="AL349" t="s">
        <v>275</v>
      </c>
      <c r="AM349" t="s">
        <v>276</v>
      </c>
      <c r="AN349" t="s">
        <v>277</v>
      </c>
      <c r="AO349" t="s">
        <v>7314</v>
      </c>
      <c r="AP349" t="s">
        <v>74</v>
      </c>
      <c r="AQ349" t="s">
        <v>74</v>
      </c>
      <c r="AR349" t="s">
        <v>7315</v>
      </c>
      <c r="AS349" t="s">
        <v>7316</v>
      </c>
      <c r="AT349" t="s">
        <v>6558</v>
      </c>
      <c r="AU349">
        <v>2020</v>
      </c>
      <c r="AV349">
        <v>32</v>
      </c>
      <c r="AW349" t="s">
        <v>74</v>
      </c>
      <c r="AX349" t="s">
        <v>74</v>
      </c>
      <c r="AY349" t="s">
        <v>74</v>
      </c>
      <c r="AZ349" t="s">
        <v>74</v>
      </c>
      <c r="BA349" t="s">
        <v>74</v>
      </c>
      <c r="BB349" t="s">
        <v>74</v>
      </c>
      <c r="BC349" t="s">
        <v>74</v>
      </c>
      <c r="BD349">
        <v>106055</v>
      </c>
      <c r="BE349" t="s">
        <v>7317</v>
      </c>
      <c r="BF349" t="str">
        <f>HYPERLINK("http://dx.doi.org/10.1016/j.dib.2020.106055","http://dx.doi.org/10.1016/j.dib.2020.106055")</f>
        <v>http://dx.doi.org/10.1016/j.dib.2020.106055</v>
      </c>
      <c r="BG349" t="s">
        <v>74</v>
      </c>
      <c r="BH349" t="s">
        <v>74</v>
      </c>
      <c r="BI349">
        <v>6</v>
      </c>
      <c r="BJ349" t="s">
        <v>329</v>
      </c>
      <c r="BK349" t="s">
        <v>1214</v>
      </c>
      <c r="BL349" t="s">
        <v>330</v>
      </c>
      <c r="BM349" t="s">
        <v>7318</v>
      </c>
      <c r="BN349">
        <v>32775571</v>
      </c>
      <c r="BO349" t="s">
        <v>332</v>
      </c>
      <c r="BP349" t="s">
        <v>74</v>
      </c>
      <c r="BQ349" t="s">
        <v>74</v>
      </c>
      <c r="BR349" t="s">
        <v>104</v>
      </c>
      <c r="BS349" t="s">
        <v>7319</v>
      </c>
      <c r="BT349" t="str">
        <f>HYPERLINK("https%3A%2F%2Fwww.webofscience.com%2Fwos%2Fwoscc%2Ffull-record%2FWOS:000583229100020","View Full Record in Web of Science")</f>
        <v>View Full Record in Web of Science</v>
      </c>
    </row>
    <row r="350" spans="1:72" x14ac:dyDescent="0.15">
      <c r="A350" t="s">
        <v>72</v>
      </c>
      <c r="B350" t="s">
        <v>7320</v>
      </c>
      <c r="C350" t="s">
        <v>74</v>
      </c>
      <c r="D350" t="s">
        <v>74</v>
      </c>
      <c r="E350" t="s">
        <v>74</v>
      </c>
      <c r="F350" t="s">
        <v>7321</v>
      </c>
      <c r="G350" t="s">
        <v>74</v>
      </c>
      <c r="H350" t="s">
        <v>74</v>
      </c>
      <c r="I350" t="s">
        <v>7322</v>
      </c>
      <c r="J350" t="s">
        <v>7301</v>
      </c>
      <c r="K350" t="s">
        <v>74</v>
      </c>
      <c r="L350" t="s">
        <v>74</v>
      </c>
      <c r="M350" t="s">
        <v>78</v>
      </c>
      <c r="N350" t="s">
        <v>7302</v>
      </c>
      <c r="O350" t="s">
        <v>74</v>
      </c>
      <c r="P350" t="s">
        <v>74</v>
      </c>
      <c r="Q350" t="s">
        <v>74</v>
      </c>
      <c r="R350" t="s">
        <v>74</v>
      </c>
      <c r="S350" t="s">
        <v>74</v>
      </c>
      <c r="T350" t="s">
        <v>7323</v>
      </c>
      <c r="U350" t="s">
        <v>74</v>
      </c>
      <c r="V350" t="s">
        <v>7324</v>
      </c>
      <c r="W350" t="s">
        <v>7325</v>
      </c>
      <c r="X350" t="s">
        <v>7326</v>
      </c>
      <c r="Y350" t="s">
        <v>7327</v>
      </c>
      <c r="Z350" t="s">
        <v>7328</v>
      </c>
      <c r="AA350" t="s">
        <v>7329</v>
      </c>
      <c r="AB350" t="s">
        <v>7330</v>
      </c>
      <c r="AC350" t="s">
        <v>7331</v>
      </c>
      <c r="AD350" t="s">
        <v>7332</v>
      </c>
      <c r="AE350" t="s">
        <v>7333</v>
      </c>
      <c r="AF350" t="s">
        <v>74</v>
      </c>
      <c r="AG350">
        <v>6</v>
      </c>
      <c r="AH350">
        <v>1</v>
      </c>
      <c r="AI350">
        <v>2</v>
      </c>
      <c r="AJ350">
        <v>4</v>
      </c>
      <c r="AK350">
        <v>14</v>
      </c>
      <c r="AL350" t="s">
        <v>275</v>
      </c>
      <c r="AM350" t="s">
        <v>276</v>
      </c>
      <c r="AN350" t="s">
        <v>277</v>
      </c>
      <c r="AO350" t="s">
        <v>7314</v>
      </c>
      <c r="AP350" t="s">
        <v>74</v>
      </c>
      <c r="AQ350" t="s">
        <v>74</v>
      </c>
      <c r="AR350" t="s">
        <v>7315</v>
      </c>
      <c r="AS350" t="s">
        <v>7316</v>
      </c>
      <c r="AT350" t="s">
        <v>6558</v>
      </c>
      <c r="AU350">
        <v>2020</v>
      </c>
      <c r="AV350">
        <v>32</v>
      </c>
      <c r="AW350" t="s">
        <v>74</v>
      </c>
      <c r="AX350" t="s">
        <v>74</v>
      </c>
      <c r="AY350" t="s">
        <v>74</v>
      </c>
      <c r="AZ350" t="s">
        <v>74</v>
      </c>
      <c r="BA350" t="s">
        <v>74</v>
      </c>
      <c r="BB350" t="s">
        <v>74</v>
      </c>
      <c r="BC350" t="s">
        <v>74</v>
      </c>
      <c r="BD350">
        <v>106046</v>
      </c>
      <c r="BE350" t="s">
        <v>7334</v>
      </c>
      <c r="BF350" t="str">
        <f>HYPERLINK("http://dx.doi.org/10.1016/j.dib.2020.106046","http://dx.doi.org/10.1016/j.dib.2020.106046")</f>
        <v>http://dx.doi.org/10.1016/j.dib.2020.106046</v>
      </c>
      <c r="BG350" t="s">
        <v>74</v>
      </c>
      <c r="BH350" t="s">
        <v>74</v>
      </c>
      <c r="BI350">
        <v>7</v>
      </c>
      <c r="BJ350" t="s">
        <v>329</v>
      </c>
      <c r="BK350" t="s">
        <v>1214</v>
      </c>
      <c r="BL350" t="s">
        <v>330</v>
      </c>
      <c r="BM350" t="s">
        <v>7318</v>
      </c>
      <c r="BN350">
        <v>32760771</v>
      </c>
      <c r="BO350" t="s">
        <v>332</v>
      </c>
      <c r="BP350" t="s">
        <v>74</v>
      </c>
      <c r="BQ350" t="s">
        <v>74</v>
      </c>
      <c r="BR350" t="s">
        <v>104</v>
      </c>
      <c r="BS350" t="s">
        <v>7335</v>
      </c>
      <c r="BT350" t="str">
        <f>HYPERLINK("https%3A%2F%2Fwww.webofscience.com%2Fwos%2Fwoscc%2Ffull-record%2FWOS:000583229100012","View Full Record in Web of Science")</f>
        <v>View Full Record in Web of Science</v>
      </c>
    </row>
    <row r="351" spans="1:72" x14ac:dyDescent="0.15">
      <c r="A351" t="s">
        <v>72</v>
      </c>
      <c r="B351" t="s">
        <v>7336</v>
      </c>
      <c r="C351" t="s">
        <v>74</v>
      </c>
      <c r="D351" t="s">
        <v>74</v>
      </c>
      <c r="E351" t="s">
        <v>74</v>
      </c>
      <c r="F351" t="s">
        <v>7337</v>
      </c>
      <c r="G351" t="s">
        <v>74</v>
      </c>
      <c r="H351" t="s">
        <v>74</v>
      </c>
      <c r="I351" t="s">
        <v>7338</v>
      </c>
      <c r="J351" t="s">
        <v>7339</v>
      </c>
      <c r="K351" t="s">
        <v>74</v>
      </c>
      <c r="L351" t="s">
        <v>74</v>
      </c>
      <c r="M351" t="s">
        <v>78</v>
      </c>
      <c r="N351" t="s">
        <v>79</v>
      </c>
      <c r="O351" t="s">
        <v>74</v>
      </c>
      <c r="P351" t="s">
        <v>74</v>
      </c>
      <c r="Q351" t="s">
        <v>74</v>
      </c>
      <c r="R351" t="s">
        <v>74</v>
      </c>
      <c r="S351" t="s">
        <v>74</v>
      </c>
      <c r="T351" t="s">
        <v>74</v>
      </c>
      <c r="U351" t="s">
        <v>7340</v>
      </c>
      <c r="V351" t="s">
        <v>7341</v>
      </c>
      <c r="W351" t="s">
        <v>7342</v>
      </c>
      <c r="X351" t="s">
        <v>7343</v>
      </c>
      <c r="Y351" t="s">
        <v>7344</v>
      </c>
      <c r="Z351" t="s">
        <v>7345</v>
      </c>
      <c r="AA351" t="s">
        <v>7346</v>
      </c>
      <c r="AB351" t="s">
        <v>7347</v>
      </c>
      <c r="AC351" t="s">
        <v>7348</v>
      </c>
      <c r="AD351" t="s">
        <v>7349</v>
      </c>
      <c r="AE351" t="s">
        <v>7350</v>
      </c>
      <c r="AF351" t="s">
        <v>74</v>
      </c>
      <c r="AG351">
        <v>37</v>
      </c>
      <c r="AH351">
        <v>14</v>
      </c>
      <c r="AI351">
        <v>15</v>
      </c>
      <c r="AJ351">
        <v>0</v>
      </c>
      <c r="AK351">
        <v>4</v>
      </c>
      <c r="AL351" t="s">
        <v>1495</v>
      </c>
      <c r="AM351" t="s">
        <v>1496</v>
      </c>
      <c r="AN351" t="s">
        <v>1497</v>
      </c>
      <c r="AO351" t="s">
        <v>7351</v>
      </c>
      <c r="AP351" t="s">
        <v>7352</v>
      </c>
      <c r="AQ351" t="s">
        <v>74</v>
      </c>
      <c r="AR351" t="s">
        <v>7353</v>
      </c>
      <c r="AS351" t="s">
        <v>7354</v>
      </c>
      <c r="AT351" t="s">
        <v>6558</v>
      </c>
      <c r="AU351">
        <v>2020</v>
      </c>
      <c r="AV351">
        <v>77</v>
      </c>
      <c r="AW351">
        <v>10</v>
      </c>
      <c r="AX351" t="s">
        <v>74</v>
      </c>
      <c r="AY351" t="s">
        <v>74</v>
      </c>
      <c r="AZ351" t="s">
        <v>74</v>
      </c>
      <c r="BA351" t="s">
        <v>74</v>
      </c>
      <c r="BB351">
        <v>3343</v>
      </c>
      <c r="BC351">
        <v>3360</v>
      </c>
      <c r="BD351" t="s">
        <v>74</v>
      </c>
      <c r="BE351" t="s">
        <v>7355</v>
      </c>
      <c r="BF351" t="str">
        <f>HYPERLINK("http://dx.doi.org/10.1175/JAS-D-19-0309.1","http://dx.doi.org/10.1175/JAS-D-19-0309.1")</f>
        <v>http://dx.doi.org/10.1175/JAS-D-19-0309.1</v>
      </c>
      <c r="BG351" t="s">
        <v>74</v>
      </c>
      <c r="BH351" t="s">
        <v>74</v>
      </c>
      <c r="BI351">
        <v>18</v>
      </c>
      <c r="BJ351" t="s">
        <v>800</v>
      </c>
      <c r="BK351" t="s">
        <v>100</v>
      </c>
      <c r="BL351" t="s">
        <v>800</v>
      </c>
      <c r="BM351" t="s">
        <v>7356</v>
      </c>
      <c r="BN351" t="s">
        <v>74</v>
      </c>
      <c r="BO351" t="s">
        <v>304</v>
      </c>
      <c r="BP351" t="s">
        <v>74</v>
      </c>
      <c r="BQ351" t="s">
        <v>74</v>
      </c>
      <c r="BR351" t="s">
        <v>104</v>
      </c>
      <c r="BS351" t="s">
        <v>7357</v>
      </c>
      <c r="BT351" t="str">
        <f>HYPERLINK("https%3A%2F%2Fwww.webofscience.com%2Fwos%2Fwoscc%2Ffull-record%2FWOS:000589821600004","View Full Record in Web of Science")</f>
        <v>View Full Record in Web of Science</v>
      </c>
    </row>
    <row r="352" spans="1:72" x14ac:dyDescent="0.15">
      <c r="A352" t="s">
        <v>72</v>
      </c>
      <c r="B352" t="s">
        <v>7358</v>
      </c>
      <c r="C352" t="s">
        <v>74</v>
      </c>
      <c r="D352" t="s">
        <v>74</v>
      </c>
      <c r="E352" t="s">
        <v>74</v>
      </c>
      <c r="F352" t="s">
        <v>7359</v>
      </c>
      <c r="G352" t="s">
        <v>74</v>
      </c>
      <c r="H352" t="s">
        <v>74</v>
      </c>
      <c r="I352" t="s">
        <v>7360</v>
      </c>
      <c r="J352" t="s">
        <v>7361</v>
      </c>
      <c r="K352" t="s">
        <v>74</v>
      </c>
      <c r="L352" t="s">
        <v>74</v>
      </c>
      <c r="M352" t="s">
        <v>78</v>
      </c>
      <c r="N352" t="s">
        <v>79</v>
      </c>
      <c r="O352" t="s">
        <v>74</v>
      </c>
      <c r="P352" t="s">
        <v>74</v>
      </c>
      <c r="Q352" t="s">
        <v>74</v>
      </c>
      <c r="R352" t="s">
        <v>74</v>
      </c>
      <c r="S352" t="s">
        <v>74</v>
      </c>
      <c r="T352" t="s">
        <v>7362</v>
      </c>
      <c r="U352" t="s">
        <v>7363</v>
      </c>
      <c r="V352" t="s">
        <v>7364</v>
      </c>
      <c r="W352" t="s">
        <v>7365</v>
      </c>
      <c r="X352" t="s">
        <v>7366</v>
      </c>
      <c r="Y352" t="s">
        <v>7367</v>
      </c>
      <c r="Z352" t="s">
        <v>7368</v>
      </c>
      <c r="AA352" t="s">
        <v>74</v>
      </c>
      <c r="AB352" t="s">
        <v>74</v>
      </c>
      <c r="AC352" t="s">
        <v>74</v>
      </c>
      <c r="AD352" t="s">
        <v>74</v>
      </c>
      <c r="AE352" t="s">
        <v>74</v>
      </c>
      <c r="AF352" t="s">
        <v>74</v>
      </c>
      <c r="AG352">
        <v>31</v>
      </c>
      <c r="AH352">
        <v>5</v>
      </c>
      <c r="AI352">
        <v>6</v>
      </c>
      <c r="AJ352">
        <v>0</v>
      </c>
      <c r="AK352">
        <v>14</v>
      </c>
      <c r="AL352" t="s">
        <v>7369</v>
      </c>
      <c r="AM352" t="s">
        <v>7370</v>
      </c>
      <c r="AN352" t="s">
        <v>7371</v>
      </c>
      <c r="AO352" t="s">
        <v>7372</v>
      </c>
      <c r="AP352" t="s">
        <v>7373</v>
      </c>
      <c r="AQ352" t="s">
        <v>74</v>
      </c>
      <c r="AR352" t="s">
        <v>7374</v>
      </c>
      <c r="AS352" t="s">
        <v>7375</v>
      </c>
      <c r="AT352" t="s">
        <v>6558</v>
      </c>
      <c r="AU352">
        <v>2020</v>
      </c>
      <c r="AV352">
        <v>15</v>
      </c>
      <c r="AW352">
        <v>4</v>
      </c>
      <c r="AX352" t="s">
        <v>74</v>
      </c>
      <c r="AY352" t="s">
        <v>74</v>
      </c>
      <c r="AZ352" t="s">
        <v>74</v>
      </c>
      <c r="BA352" t="s">
        <v>74</v>
      </c>
      <c r="BB352">
        <v>530</v>
      </c>
      <c r="BC352">
        <v>541</v>
      </c>
      <c r="BD352" t="s">
        <v>74</v>
      </c>
      <c r="BE352" t="s">
        <v>7376</v>
      </c>
      <c r="BF352" t="str">
        <f>HYPERLINK("http://dx.doi.org/10.1163/1871191X-BJA10042","http://dx.doi.org/10.1163/1871191X-BJA10042")</f>
        <v>http://dx.doi.org/10.1163/1871191X-BJA10042</v>
      </c>
      <c r="BG352" t="s">
        <v>74</v>
      </c>
      <c r="BH352" t="s">
        <v>74</v>
      </c>
      <c r="BI352">
        <v>12</v>
      </c>
      <c r="BJ352" t="s">
        <v>7377</v>
      </c>
      <c r="BK352" t="s">
        <v>1214</v>
      </c>
      <c r="BL352" t="s">
        <v>7377</v>
      </c>
      <c r="BM352" t="s">
        <v>7378</v>
      </c>
      <c r="BN352" t="s">
        <v>74</v>
      </c>
      <c r="BO352" t="s">
        <v>1188</v>
      </c>
      <c r="BP352" t="s">
        <v>74</v>
      </c>
      <c r="BQ352" t="s">
        <v>74</v>
      </c>
      <c r="BR352" t="s">
        <v>104</v>
      </c>
      <c r="BS352" t="s">
        <v>7379</v>
      </c>
      <c r="BT352" t="str">
        <f>HYPERLINK("https%3A%2F%2Fwww.webofscience.com%2Fwos%2Fwoscc%2Ffull-record%2FWOS:000583804700005","View Full Record in Web of Science")</f>
        <v>View Full Record in Web of Science</v>
      </c>
    </row>
    <row r="353" spans="1:72" x14ac:dyDescent="0.15">
      <c r="A353" t="s">
        <v>72</v>
      </c>
      <c r="B353" t="s">
        <v>7380</v>
      </c>
      <c r="C353" t="s">
        <v>74</v>
      </c>
      <c r="D353" t="s">
        <v>74</v>
      </c>
      <c r="E353" t="s">
        <v>74</v>
      </c>
      <c r="F353" t="s">
        <v>7381</v>
      </c>
      <c r="G353" t="s">
        <v>74</v>
      </c>
      <c r="H353" t="s">
        <v>74</v>
      </c>
      <c r="I353" t="s">
        <v>7382</v>
      </c>
      <c r="J353" t="s">
        <v>7383</v>
      </c>
      <c r="K353" t="s">
        <v>74</v>
      </c>
      <c r="L353" t="s">
        <v>74</v>
      </c>
      <c r="M353" t="s">
        <v>78</v>
      </c>
      <c r="N353" t="s">
        <v>79</v>
      </c>
      <c r="O353" t="s">
        <v>74</v>
      </c>
      <c r="P353" t="s">
        <v>74</v>
      </c>
      <c r="Q353" t="s">
        <v>74</v>
      </c>
      <c r="R353" t="s">
        <v>74</v>
      </c>
      <c r="S353" t="s">
        <v>74</v>
      </c>
      <c r="T353" t="s">
        <v>7384</v>
      </c>
      <c r="U353" t="s">
        <v>7385</v>
      </c>
      <c r="V353" t="s">
        <v>7386</v>
      </c>
      <c r="W353" t="s">
        <v>7387</v>
      </c>
      <c r="X353" t="s">
        <v>7388</v>
      </c>
      <c r="Y353" t="s">
        <v>7389</v>
      </c>
      <c r="Z353" t="s">
        <v>7390</v>
      </c>
      <c r="AA353" t="s">
        <v>74</v>
      </c>
      <c r="AB353" t="s">
        <v>74</v>
      </c>
      <c r="AC353" t="s">
        <v>7391</v>
      </c>
      <c r="AD353" t="s">
        <v>7392</v>
      </c>
      <c r="AE353" t="s">
        <v>7393</v>
      </c>
      <c r="AF353" t="s">
        <v>74</v>
      </c>
      <c r="AG353">
        <v>22</v>
      </c>
      <c r="AH353">
        <v>2</v>
      </c>
      <c r="AI353">
        <v>2</v>
      </c>
      <c r="AJ353">
        <v>0</v>
      </c>
      <c r="AK353">
        <v>7</v>
      </c>
      <c r="AL353" t="s">
        <v>7394</v>
      </c>
      <c r="AM353" t="s">
        <v>7395</v>
      </c>
      <c r="AN353" t="s">
        <v>7396</v>
      </c>
      <c r="AO353" t="s">
        <v>74</v>
      </c>
      <c r="AP353" t="s">
        <v>7397</v>
      </c>
      <c r="AQ353" t="s">
        <v>74</v>
      </c>
      <c r="AR353" t="s">
        <v>7398</v>
      </c>
      <c r="AS353" t="s">
        <v>7399</v>
      </c>
      <c r="AT353" t="s">
        <v>6558</v>
      </c>
      <c r="AU353">
        <v>2020</v>
      </c>
      <c r="AV353">
        <v>2020</v>
      </c>
      <c r="AW353">
        <v>10</v>
      </c>
      <c r="AX353" t="s">
        <v>74</v>
      </c>
      <c r="AY353" t="s">
        <v>74</v>
      </c>
      <c r="AZ353" t="s">
        <v>74</v>
      </c>
      <c r="BA353" t="s">
        <v>74</v>
      </c>
      <c r="BB353">
        <v>900</v>
      </c>
      <c r="BC353">
        <v>905</v>
      </c>
      <c r="BD353" t="s">
        <v>74</v>
      </c>
      <c r="BE353" t="s">
        <v>7400</v>
      </c>
      <c r="BF353" t="str">
        <f>HYPERLINK("http://dx.doi.org/10.1049/joe.2020.0077","http://dx.doi.org/10.1049/joe.2020.0077")</f>
        <v>http://dx.doi.org/10.1049/joe.2020.0077</v>
      </c>
      <c r="BG353" t="s">
        <v>74</v>
      </c>
      <c r="BH353" t="s">
        <v>74</v>
      </c>
      <c r="BI353">
        <v>6</v>
      </c>
      <c r="BJ353" t="s">
        <v>7401</v>
      </c>
      <c r="BK353" t="s">
        <v>1214</v>
      </c>
      <c r="BL353" t="s">
        <v>3284</v>
      </c>
      <c r="BM353" t="s">
        <v>7402</v>
      </c>
      <c r="BN353" t="s">
        <v>74</v>
      </c>
      <c r="BO353" t="s">
        <v>202</v>
      </c>
      <c r="BP353" t="s">
        <v>74</v>
      </c>
      <c r="BQ353" t="s">
        <v>74</v>
      </c>
      <c r="BR353" t="s">
        <v>104</v>
      </c>
      <c r="BS353" t="s">
        <v>7403</v>
      </c>
      <c r="BT353" t="str">
        <f>HYPERLINK("https%3A%2F%2Fwww.webofscience.com%2Fwos%2Fwoscc%2Ffull-record%2FWOS:000591784600011","View Full Record in Web of Science")</f>
        <v>View Full Record in Web of Science</v>
      </c>
    </row>
    <row r="354" spans="1:72" x14ac:dyDescent="0.15">
      <c r="A354" t="s">
        <v>72</v>
      </c>
      <c r="B354" t="s">
        <v>7404</v>
      </c>
      <c r="C354" t="s">
        <v>74</v>
      </c>
      <c r="D354" t="s">
        <v>74</v>
      </c>
      <c r="E354" t="s">
        <v>74</v>
      </c>
      <c r="F354" t="s">
        <v>7405</v>
      </c>
      <c r="G354" t="s">
        <v>74</v>
      </c>
      <c r="H354" t="s">
        <v>74</v>
      </c>
      <c r="I354" t="s">
        <v>7406</v>
      </c>
      <c r="J354" t="s">
        <v>2074</v>
      </c>
      <c r="K354" t="s">
        <v>74</v>
      </c>
      <c r="L354" t="s">
        <v>74</v>
      </c>
      <c r="M354" t="s">
        <v>78</v>
      </c>
      <c r="N354" t="s">
        <v>79</v>
      </c>
      <c r="O354" t="s">
        <v>74</v>
      </c>
      <c r="P354" t="s">
        <v>74</v>
      </c>
      <c r="Q354" t="s">
        <v>74</v>
      </c>
      <c r="R354" t="s">
        <v>74</v>
      </c>
      <c r="S354" t="s">
        <v>74</v>
      </c>
      <c r="T354" t="s">
        <v>7407</v>
      </c>
      <c r="U354" t="s">
        <v>7408</v>
      </c>
      <c r="V354" t="s">
        <v>7409</v>
      </c>
      <c r="W354" t="s">
        <v>7410</v>
      </c>
      <c r="X354" t="s">
        <v>2122</v>
      </c>
      <c r="Y354" t="s">
        <v>7411</v>
      </c>
      <c r="Z354" t="s">
        <v>7412</v>
      </c>
      <c r="AA354" t="s">
        <v>7413</v>
      </c>
      <c r="AB354" t="s">
        <v>7414</v>
      </c>
      <c r="AC354" t="s">
        <v>7415</v>
      </c>
      <c r="AD354" t="s">
        <v>7416</v>
      </c>
      <c r="AE354" t="s">
        <v>7417</v>
      </c>
      <c r="AF354" t="s">
        <v>74</v>
      </c>
      <c r="AG354">
        <v>39</v>
      </c>
      <c r="AH354">
        <v>6</v>
      </c>
      <c r="AI354">
        <v>7</v>
      </c>
      <c r="AJ354">
        <v>3</v>
      </c>
      <c r="AK354">
        <v>34</v>
      </c>
      <c r="AL354" t="s">
        <v>2085</v>
      </c>
      <c r="AM354" t="s">
        <v>2086</v>
      </c>
      <c r="AN354" t="s">
        <v>2087</v>
      </c>
      <c r="AO354" t="s">
        <v>74</v>
      </c>
      <c r="AP354" t="s">
        <v>2088</v>
      </c>
      <c r="AQ354" t="s">
        <v>74</v>
      </c>
      <c r="AR354" t="s">
        <v>2089</v>
      </c>
      <c r="AS354" t="s">
        <v>2090</v>
      </c>
      <c r="AT354" t="s">
        <v>6558</v>
      </c>
      <c r="AU354">
        <v>2020</v>
      </c>
      <c r="AV354">
        <v>12</v>
      </c>
      <c r="AW354">
        <v>20</v>
      </c>
      <c r="AX354" t="s">
        <v>74</v>
      </c>
      <c r="AY354" t="s">
        <v>74</v>
      </c>
      <c r="AZ354" t="s">
        <v>74</v>
      </c>
      <c r="BA354" t="s">
        <v>74</v>
      </c>
      <c r="BB354" t="s">
        <v>74</v>
      </c>
      <c r="BC354" t="s">
        <v>74</v>
      </c>
      <c r="BD354">
        <v>3352</v>
      </c>
      <c r="BE354" t="s">
        <v>7418</v>
      </c>
      <c r="BF354" t="str">
        <f>HYPERLINK("http://dx.doi.org/10.3390/rs12203352","http://dx.doi.org/10.3390/rs12203352")</f>
        <v>http://dx.doi.org/10.3390/rs12203352</v>
      </c>
      <c r="BG354" t="s">
        <v>74</v>
      </c>
      <c r="BH354" t="s">
        <v>74</v>
      </c>
      <c r="BI354">
        <v>16</v>
      </c>
      <c r="BJ354" t="s">
        <v>2092</v>
      </c>
      <c r="BK354" t="s">
        <v>100</v>
      </c>
      <c r="BL354" t="s">
        <v>2093</v>
      </c>
      <c r="BM354" t="s">
        <v>7419</v>
      </c>
      <c r="BN354" t="s">
        <v>74</v>
      </c>
      <c r="BO354" t="s">
        <v>202</v>
      </c>
      <c r="BP354" t="s">
        <v>74</v>
      </c>
      <c r="BQ354" t="s">
        <v>74</v>
      </c>
      <c r="BR354" t="s">
        <v>104</v>
      </c>
      <c r="BS354" t="s">
        <v>7420</v>
      </c>
      <c r="BT354" t="str">
        <f>HYPERLINK("https%3A%2F%2Fwww.webofscience.com%2Fwos%2Fwoscc%2Ffull-record%2FWOS:000585536200001","View Full Record in Web of Science")</f>
        <v>View Full Record in Web of Science</v>
      </c>
    </row>
    <row r="355" spans="1:72" x14ac:dyDescent="0.15">
      <c r="A355" t="s">
        <v>72</v>
      </c>
      <c r="B355" t="s">
        <v>7421</v>
      </c>
      <c r="C355" t="s">
        <v>74</v>
      </c>
      <c r="D355" t="s">
        <v>74</v>
      </c>
      <c r="E355" t="s">
        <v>74</v>
      </c>
      <c r="F355" t="s">
        <v>7422</v>
      </c>
      <c r="G355" t="s">
        <v>74</v>
      </c>
      <c r="H355" t="s">
        <v>74</v>
      </c>
      <c r="I355" t="s">
        <v>7423</v>
      </c>
      <c r="J355" t="s">
        <v>5798</v>
      </c>
      <c r="K355" t="s">
        <v>74</v>
      </c>
      <c r="L355" t="s">
        <v>74</v>
      </c>
      <c r="M355" t="s">
        <v>78</v>
      </c>
      <c r="N355" t="s">
        <v>79</v>
      </c>
      <c r="O355" t="s">
        <v>74</v>
      </c>
      <c r="P355" t="s">
        <v>74</v>
      </c>
      <c r="Q355" t="s">
        <v>74</v>
      </c>
      <c r="R355" t="s">
        <v>74</v>
      </c>
      <c r="S355" t="s">
        <v>74</v>
      </c>
      <c r="T355" t="s">
        <v>74</v>
      </c>
      <c r="U355" t="s">
        <v>7424</v>
      </c>
      <c r="V355" t="s">
        <v>7425</v>
      </c>
      <c r="W355" t="s">
        <v>7426</v>
      </c>
      <c r="X355" t="s">
        <v>7427</v>
      </c>
      <c r="Y355" t="s">
        <v>7428</v>
      </c>
      <c r="Z355" t="s">
        <v>7429</v>
      </c>
      <c r="AA355" t="s">
        <v>7430</v>
      </c>
      <c r="AB355" t="s">
        <v>7431</v>
      </c>
      <c r="AC355" t="s">
        <v>7432</v>
      </c>
      <c r="AD355" t="s">
        <v>7433</v>
      </c>
      <c r="AE355" t="s">
        <v>7434</v>
      </c>
      <c r="AF355" t="s">
        <v>74</v>
      </c>
      <c r="AG355">
        <v>62</v>
      </c>
      <c r="AH355">
        <v>7</v>
      </c>
      <c r="AI355">
        <v>7</v>
      </c>
      <c r="AJ355">
        <v>0</v>
      </c>
      <c r="AK355">
        <v>14</v>
      </c>
      <c r="AL355" t="s">
        <v>5807</v>
      </c>
      <c r="AM355" t="s">
        <v>4984</v>
      </c>
      <c r="AN355" t="s">
        <v>5808</v>
      </c>
      <c r="AO355" t="s">
        <v>5809</v>
      </c>
      <c r="AP355" t="s">
        <v>74</v>
      </c>
      <c r="AQ355" t="s">
        <v>74</v>
      </c>
      <c r="AR355" t="s">
        <v>5798</v>
      </c>
      <c r="AS355" t="s">
        <v>5810</v>
      </c>
      <c r="AT355" t="s">
        <v>1163</v>
      </c>
      <c r="AU355">
        <v>2020</v>
      </c>
      <c r="AV355">
        <v>15</v>
      </c>
      <c r="AW355">
        <v>10</v>
      </c>
      <c r="AX355" t="s">
        <v>74</v>
      </c>
      <c r="AY355" t="s">
        <v>74</v>
      </c>
      <c r="AZ355" t="s">
        <v>74</v>
      </c>
      <c r="BA355" t="s">
        <v>74</v>
      </c>
      <c r="BB355" t="s">
        <v>74</v>
      </c>
      <c r="BC355" t="s">
        <v>74</v>
      </c>
      <c r="BD355" t="s">
        <v>7435</v>
      </c>
      <c r="BE355" t="s">
        <v>7436</v>
      </c>
      <c r="BF355" t="str">
        <f>HYPERLINK("http://dx.doi.org/10.1371/journal.pone.0239895","http://dx.doi.org/10.1371/journal.pone.0239895")</f>
        <v>http://dx.doi.org/10.1371/journal.pone.0239895</v>
      </c>
      <c r="BG355" t="s">
        <v>74</v>
      </c>
      <c r="BH355" t="s">
        <v>74</v>
      </c>
      <c r="BI355">
        <v>19</v>
      </c>
      <c r="BJ355" t="s">
        <v>329</v>
      </c>
      <c r="BK355" t="s">
        <v>100</v>
      </c>
      <c r="BL355" t="s">
        <v>330</v>
      </c>
      <c r="BM355" t="s">
        <v>7437</v>
      </c>
      <c r="BN355">
        <v>33002046</v>
      </c>
      <c r="BO355" t="s">
        <v>332</v>
      </c>
      <c r="BP355" t="s">
        <v>74</v>
      </c>
      <c r="BQ355" t="s">
        <v>74</v>
      </c>
      <c r="BR355" t="s">
        <v>104</v>
      </c>
      <c r="BS355" t="s">
        <v>7438</v>
      </c>
      <c r="BT355" t="str">
        <f>HYPERLINK("https%3A%2F%2Fwww.webofscience.com%2Fwos%2Fwoscc%2Ffull-record%2FWOS:000590270000069","View Full Record in Web of Science")</f>
        <v>View Full Record in Web of Science</v>
      </c>
    </row>
    <row r="356" spans="1:72" x14ac:dyDescent="0.15">
      <c r="A356" t="s">
        <v>72</v>
      </c>
      <c r="B356" t="s">
        <v>7439</v>
      </c>
      <c r="C356" t="s">
        <v>74</v>
      </c>
      <c r="D356" t="s">
        <v>74</v>
      </c>
      <c r="E356" t="s">
        <v>74</v>
      </c>
      <c r="F356" t="s">
        <v>7440</v>
      </c>
      <c r="G356" t="s">
        <v>74</v>
      </c>
      <c r="H356" t="s">
        <v>74</v>
      </c>
      <c r="I356" t="s">
        <v>7441</v>
      </c>
      <c r="J356" t="s">
        <v>1899</v>
      </c>
      <c r="K356" t="s">
        <v>74</v>
      </c>
      <c r="L356" t="s">
        <v>74</v>
      </c>
      <c r="M356" t="s">
        <v>78</v>
      </c>
      <c r="N356" t="s">
        <v>79</v>
      </c>
      <c r="O356" t="s">
        <v>74</v>
      </c>
      <c r="P356" t="s">
        <v>74</v>
      </c>
      <c r="Q356" t="s">
        <v>74</v>
      </c>
      <c r="R356" t="s">
        <v>74</v>
      </c>
      <c r="S356" t="s">
        <v>74</v>
      </c>
      <c r="T356" t="s">
        <v>7442</v>
      </c>
      <c r="U356" t="s">
        <v>7443</v>
      </c>
      <c r="V356" t="s">
        <v>7444</v>
      </c>
      <c r="W356" t="s">
        <v>7445</v>
      </c>
      <c r="X356" t="s">
        <v>7446</v>
      </c>
      <c r="Y356" t="s">
        <v>7447</v>
      </c>
      <c r="Z356" t="s">
        <v>7448</v>
      </c>
      <c r="AA356" t="s">
        <v>7449</v>
      </c>
      <c r="AB356" t="s">
        <v>7450</v>
      </c>
      <c r="AC356" t="s">
        <v>7451</v>
      </c>
      <c r="AD356" t="s">
        <v>7452</v>
      </c>
      <c r="AE356" t="s">
        <v>7453</v>
      </c>
      <c r="AF356" t="s">
        <v>74</v>
      </c>
      <c r="AG356">
        <v>35</v>
      </c>
      <c r="AH356">
        <v>13</v>
      </c>
      <c r="AI356">
        <v>13</v>
      </c>
      <c r="AJ356">
        <v>0</v>
      </c>
      <c r="AK356">
        <v>3</v>
      </c>
      <c r="AL356" t="s">
        <v>1710</v>
      </c>
      <c r="AM356" t="s">
        <v>609</v>
      </c>
      <c r="AN356" t="s">
        <v>1711</v>
      </c>
      <c r="AO356" t="s">
        <v>74</v>
      </c>
      <c r="AP356" t="s">
        <v>1912</v>
      </c>
      <c r="AQ356" t="s">
        <v>74</v>
      </c>
      <c r="AR356" t="s">
        <v>1913</v>
      </c>
      <c r="AS356" t="s">
        <v>1914</v>
      </c>
      <c r="AT356" t="s">
        <v>6558</v>
      </c>
      <c r="AU356">
        <v>2020</v>
      </c>
      <c r="AV356">
        <v>18</v>
      </c>
      <c r="AW356">
        <v>10</v>
      </c>
      <c r="AX356" t="s">
        <v>74</v>
      </c>
      <c r="AY356" t="s">
        <v>74</v>
      </c>
      <c r="AZ356" t="s">
        <v>74</v>
      </c>
      <c r="BA356" t="s">
        <v>74</v>
      </c>
      <c r="BB356" t="s">
        <v>74</v>
      </c>
      <c r="BC356" t="s">
        <v>74</v>
      </c>
      <c r="BD356" t="s">
        <v>7454</v>
      </c>
      <c r="BE356" t="s">
        <v>7455</v>
      </c>
      <c r="BF356" t="str">
        <f>HYPERLINK("http://dx.doi.org/10.1029/2020SW002594","http://dx.doi.org/10.1029/2020SW002594")</f>
        <v>http://dx.doi.org/10.1029/2020SW002594</v>
      </c>
      <c r="BG356" t="s">
        <v>74</v>
      </c>
      <c r="BH356" t="s">
        <v>74</v>
      </c>
      <c r="BI356">
        <v>20</v>
      </c>
      <c r="BJ356" t="s">
        <v>1917</v>
      </c>
      <c r="BK356" t="s">
        <v>100</v>
      </c>
      <c r="BL356" t="s">
        <v>1917</v>
      </c>
      <c r="BM356" t="s">
        <v>7456</v>
      </c>
      <c r="BN356" t="s">
        <v>74</v>
      </c>
      <c r="BO356" t="s">
        <v>3641</v>
      </c>
      <c r="BP356" t="s">
        <v>74</v>
      </c>
      <c r="BQ356" t="s">
        <v>74</v>
      </c>
      <c r="BR356" t="s">
        <v>104</v>
      </c>
      <c r="BS356" t="s">
        <v>7457</v>
      </c>
      <c r="BT356" t="str">
        <f>HYPERLINK("https%3A%2F%2Fwww.webofscience.com%2Fwos%2Fwoscc%2Ffull-record%2FWOS:000589621000001","View Full Record in Web of Science")</f>
        <v>View Full Record in Web of Science</v>
      </c>
    </row>
    <row r="357" spans="1:72" x14ac:dyDescent="0.15">
      <c r="A357" t="s">
        <v>72</v>
      </c>
      <c r="B357" t="s">
        <v>7458</v>
      </c>
      <c r="C357" t="s">
        <v>74</v>
      </c>
      <c r="D357" t="s">
        <v>74</v>
      </c>
      <c r="E357" t="s">
        <v>74</v>
      </c>
      <c r="F357" t="s">
        <v>7459</v>
      </c>
      <c r="G357" t="s">
        <v>74</v>
      </c>
      <c r="H357" t="s">
        <v>74</v>
      </c>
      <c r="I357" t="s">
        <v>7460</v>
      </c>
      <c r="J357" t="s">
        <v>7461</v>
      </c>
      <c r="K357" t="s">
        <v>74</v>
      </c>
      <c r="L357" t="s">
        <v>74</v>
      </c>
      <c r="M357" t="s">
        <v>78</v>
      </c>
      <c r="N357" t="s">
        <v>7462</v>
      </c>
      <c r="O357" t="s">
        <v>74</v>
      </c>
      <c r="P357" t="s">
        <v>74</v>
      </c>
      <c r="Q357" t="s">
        <v>74</v>
      </c>
      <c r="R357" t="s">
        <v>74</v>
      </c>
      <c r="S357" t="s">
        <v>74</v>
      </c>
      <c r="T357" t="s">
        <v>74</v>
      </c>
      <c r="U357" t="s">
        <v>74</v>
      </c>
      <c r="V357" t="s">
        <v>74</v>
      </c>
      <c r="W357" t="s">
        <v>7463</v>
      </c>
      <c r="X357" t="s">
        <v>7464</v>
      </c>
      <c r="Y357" t="s">
        <v>7465</v>
      </c>
      <c r="Z357" t="s">
        <v>74</v>
      </c>
      <c r="AA357" t="s">
        <v>74</v>
      </c>
      <c r="AB357" t="s">
        <v>74</v>
      </c>
      <c r="AC357" t="s">
        <v>74</v>
      </c>
      <c r="AD357" t="s">
        <v>74</v>
      </c>
      <c r="AE357" t="s">
        <v>74</v>
      </c>
      <c r="AF357" t="s">
        <v>74</v>
      </c>
      <c r="AG357">
        <v>1</v>
      </c>
      <c r="AH357">
        <v>0</v>
      </c>
      <c r="AI357">
        <v>0</v>
      </c>
      <c r="AJ357">
        <v>0</v>
      </c>
      <c r="AK357">
        <v>1</v>
      </c>
      <c r="AL357" t="s">
        <v>7466</v>
      </c>
      <c r="AM357" t="s">
        <v>7467</v>
      </c>
      <c r="AN357" t="s">
        <v>7468</v>
      </c>
      <c r="AO357" t="s">
        <v>7469</v>
      </c>
      <c r="AP357" t="s">
        <v>7470</v>
      </c>
      <c r="AQ357" t="s">
        <v>74</v>
      </c>
      <c r="AR357" t="s">
        <v>7471</v>
      </c>
      <c r="AS357" t="s">
        <v>7472</v>
      </c>
      <c r="AT357" t="s">
        <v>6558</v>
      </c>
      <c r="AU357">
        <v>2020</v>
      </c>
      <c r="AV357">
        <v>32</v>
      </c>
      <c r="AW357" t="s">
        <v>4223</v>
      </c>
      <c r="AX357" t="s">
        <v>74</v>
      </c>
      <c r="AY357" t="s">
        <v>74</v>
      </c>
      <c r="AZ357" t="s">
        <v>74</v>
      </c>
      <c r="BA357" t="s">
        <v>74</v>
      </c>
      <c r="BB357">
        <v>146</v>
      </c>
      <c r="BC357">
        <v>147</v>
      </c>
      <c r="BD357" t="s">
        <v>74</v>
      </c>
      <c r="BE357" t="s">
        <v>74</v>
      </c>
      <c r="BF357" t="s">
        <v>74</v>
      </c>
      <c r="BG357" t="s">
        <v>74</v>
      </c>
      <c r="BH357" t="s">
        <v>74</v>
      </c>
      <c r="BI357">
        <v>2</v>
      </c>
      <c r="BJ357" t="s">
        <v>7473</v>
      </c>
      <c r="BK357" t="s">
        <v>7474</v>
      </c>
      <c r="BL357" t="s">
        <v>7475</v>
      </c>
      <c r="BM357" t="s">
        <v>7476</v>
      </c>
      <c r="BN357" t="s">
        <v>74</v>
      </c>
      <c r="BO357" t="s">
        <v>74</v>
      </c>
      <c r="BP357" t="s">
        <v>74</v>
      </c>
      <c r="BQ357" t="s">
        <v>74</v>
      </c>
      <c r="BR357" t="s">
        <v>104</v>
      </c>
      <c r="BS357" t="s">
        <v>7477</v>
      </c>
      <c r="BT357" t="str">
        <f>HYPERLINK("https%3A%2F%2Fwww.webofscience.com%2Fwos%2Fwoscc%2Ffull-record%2FWOS:000588496600016","View Full Record in Web of Science")</f>
        <v>View Full Record in Web of Science</v>
      </c>
    </row>
    <row r="358" spans="1:72" x14ac:dyDescent="0.15">
      <c r="A358" t="s">
        <v>72</v>
      </c>
      <c r="B358" t="s">
        <v>7478</v>
      </c>
      <c r="C358" t="s">
        <v>74</v>
      </c>
      <c r="D358" t="s">
        <v>74</v>
      </c>
      <c r="E358" t="s">
        <v>74</v>
      </c>
      <c r="F358" t="s">
        <v>7479</v>
      </c>
      <c r="G358" t="s">
        <v>74</v>
      </c>
      <c r="H358" t="s">
        <v>74</v>
      </c>
      <c r="I358" t="s">
        <v>7480</v>
      </c>
      <c r="J358" t="s">
        <v>1924</v>
      </c>
      <c r="K358" t="s">
        <v>74</v>
      </c>
      <c r="L358" t="s">
        <v>74</v>
      </c>
      <c r="M358" t="s">
        <v>78</v>
      </c>
      <c r="N358" t="s">
        <v>79</v>
      </c>
      <c r="O358" t="s">
        <v>74</v>
      </c>
      <c r="P358" t="s">
        <v>74</v>
      </c>
      <c r="Q358" t="s">
        <v>74</v>
      </c>
      <c r="R358" t="s">
        <v>74</v>
      </c>
      <c r="S358" t="s">
        <v>74</v>
      </c>
      <c r="T358" t="s">
        <v>7481</v>
      </c>
      <c r="U358" t="s">
        <v>7482</v>
      </c>
      <c r="V358" t="s">
        <v>7483</v>
      </c>
      <c r="W358" t="s">
        <v>7484</v>
      </c>
      <c r="X358" t="s">
        <v>7485</v>
      </c>
      <c r="Y358" t="s">
        <v>7486</v>
      </c>
      <c r="Z358" t="s">
        <v>7487</v>
      </c>
      <c r="AA358" t="s">
        <v>74</v>
      </c>
      <c r="AB358" t="s">
        <v>7488</v>
      </c>
      <c r="AC358" t="s">
        <v>74</v>
      </c>
      <c r="AD358" t="s">
        <v>74</v>
      </c>
      <c r="AE358" t="s">
        <v>74</v>
      </c>
      <c r="AF358" t="s">
        <v>74</v>
      </c>
      <c r="AG358">
        <v>91</v>
      </c>
      <c r="AH358">
        <v>14</v>
      </c>
      <c r="AI358">
        <v>15</v>
      </c>
      <c r="AJ358">
        <v>3</v>
      </c>
      <c r="AK358">
        <v>21</v>
      </c>
      <c r="AL358" t="s">
        <v>1710</v>
      </c>
      <c r="AM358" t="s">
        <v>609</v>
      </c>
      <c r="AN358" t="s">
        <v>1711</v>
      </c>
      <c r="AO358" t="s">
        <v>74</v>
      </c>
      <c r="AP358" t="s">
        <v>1937</v>
      </c>
      <c r="AQ358" t="s">
        <v>74</v>
      </c>
      <c r="AR358" t="s">
        <v>1938</v>
      </c>
      <c r="AS358" t="s">
        <v>1939</v>
      </c>
      <c r="AT358" t="s">
        <v>6558</v>
      </c>
      <c r="AU358">
        <v>2020</v>
      </c>
      <c r="AV358">
        <v>21</v>
      </c>
      <c r="AW358">
        <v>10</v>
      </c>
      <c r="AX358" t="s">
        <v>74</v>
      </c>
      <c r="AY358" t="s">
        <v>74</v>
      </c>
      <c r="AZ358" t="s">
        <v>74</v>
      </c>
      <c r="BA358" t="s">
        <v>74</v>
      </c>
      <c r="BB358" t="s">
        <v>74</v>
      </c>
      <c r="BC358" t="s">
        <v>74</v>
      </c>
      <c r="BD358" t="s">
        <v>7489</v>
      </c>
      <c r="BE358" t="s">
        <v>7490</v>
      </c>
      <c r="BF358" t="str">
        <f>HYPERLINK("http://dx.doi.org/10.1029/2020GC009150","http://dx.doi.org/10.1029/2020GC009150")</f>
        <v>http://dx.doi.org/10.1029/2020GC009150</v>
      </c>
      <c r="BG358" t="s">
        <v>74</v>
      </c>
      <c r="BH358" t="s">
        <v>74</v>
      </c>
      <c r="BI358">
        <v>22</v>
      </c>
      <c r="BJ358" t="s">
        <v>1361</v>
      </c>
      <c r="BK358" t="s">
        <v>100</v>
      </c>
      <c r="BL358" t="s">
        <v>1361</v>
      </c>
      <c r="BM358" t="s">
        <v>7491</v>
      </c>
      <c r="BN358" t="s">
        <v>74</v>
      </c>
      <c r="BO358" t="s">
        <v>1259</v>
      </c>
      <c r="BP358" t="s">
        <v>74</v>
      </c>
      <c r="BQ358" t="s">
        <v>74</v>
      </c>
      <c r="BR358" t="s">
        <v>104</v>
      </c>
      <c r="BS358" t="s">
        <v>7492</v>
      </c>
      <c r="BT358" t="str">
        <f>HYPERLINK("https%3A%2F%2Fwww.webofscience.com%2Fwos%2Fwoscc%2Ffull-record%2FWOS:000588351500012","View Full Record in Web of Science")</f>
        <v>View Full Record in Web of Science</v>
      </c>
    </row>
    <row r="359" spans="1:72" x14ac:dyDescent="0.15">
      <c r="A359" t="s">
        <v>72</v>
      </c>
      <c r="B359" t="s">
        <v>7493</v>
      </c>
      <c r="C359" t="s">
        <v>74</v>
      </c>
      <c r="D359" t="s">
        <v>74</v>
      </c>
      <c r="E359" t="s">
        <v>74</v>
      </c>
      <c r="F359" t="s">
        <v>7494</v>
      </c>
      <c r="G359" t="s">
        <v>74</v>
      </c>
      <c r="H359" t="s">
        <v>74</v>
      </c>
      <c r="I359" t="s">
        <v>7495</v>
      </c>
      <c r="J359" t="s">
        <v>1924</v>
      </c>
      <c r="K359" t="s">
        <v>74</v>
      </c>
      <c r="L359" t="s">
        <v>74</v>
      </c>
      <c r="M359" t="s">
        <v>78</v>
      </c>
      <c r="N359" t="s">
        <v>79</v>
      </c>
      <c r="O359" t="s">
        <v>74</v>
      </c>
      <c r="P359" t="s">
        <v>74</v>
      </c>
      <c r="Q359" t="s">
        <v>74</v>
      </c>
      <c r="R359" t="s">
        <v>74</v>
      </c>
      <c r="S359" t="s">
        <v>74</v>
      </c>
      <c r="T359" t="s">
        <v>7496</v>
      </c>
      <c r="U359" t="s">
        <v>7497</v>
      </c>
      <c r="V359" t="s">
        <v>7498</v>
      </c>
      <c r="W359" t="s">
        <v>7499</v>
      </c>
      <c r="X359" t="s">
        <v>7500</v>
      </c>
      <c r="Y359" t="s">
        <v>7501</v>
      </c>
      <c r="Z359" t="s">
        <v>7502</v>
      </c>
      <c r="AA359" t="s">
        <v>7503</v>
      </c>
      <c r="AB359" t="s">
        <v>7504</v>
      </c>
      <c r="AC359" t="s">
        <v>7505</v>
      </c>
      <c r="AD359" t="s">
        <v>7506</v>
      </c>
      <c r="AE359" t="s">
        <v>7507</v>
      </c>
      <c r="AF359" t="s">
        <v>74</v>
      </c>
      <c r="AG359">
        <v>120</v>
      </c>
      <c r="AH359">
        <v>5</v>
      </c>
      <c r="AI359">
        <v>5</v>
      </c>
      <c r="AJ359">
        <v>0</v>
      </c>
      <c r="AK359">
        <v>7</v>
      </c>
      <c r="AL359" t="s">
        <v>1710</v>
      </c>
      <c r="AM359" t="s">
        <v>609</v>
      </c>
      <c r="AN359" t="s">
        <v>1711</v>
      </c>
      <c r="AO359" t="s">
        <v>74</v>
      </c>
      <c r="AP359" t="s">
        <v>1937</v>
      </c>
      <c r="AQ359" t="s">
        <v>74</v>
      </c>
      <c r="AR359" t="s">
        <v>1938</v>
      </c>
      <c r="AS359" t="s">
        <v>1939</v>
      </c>
      <c r="AT359" t="s">
        <v>6558</v>
      </c>
      <c r="AU359">
        <v>2020</v>
      </c>
      <c r="AV359">
        <v>21</v>
      </c>
      <c r="AW359">
        <v>10</v>
      </c>
      <c r="AX359" t="s">
        <v>74</v>
      </c>
      <c r="AY359" t="s">
        <v>74</v>
      </c>
      <c r="AZ359" t="s">
        <v>74</v>
      </c>
      <c r="BA359" t="s">
        <v>74</v>
      </c>
      <c r="BB359" t="s">
        <v>74</v>
      </c>
      <c r="BC359" t="s">
        <v>74</v>
      </c>
      <c r="BD359" t="s">
        <v>7508</v>
      </c>
      <c r="BE359" t="s">
        <v>7509</v>
      </c>
      <c r="BF359" t="str">
        <f>HYPERLINK("http://dx.doi.org/10.1029/2019GC008749","http://dx.doi.org/10.1029/2019GC008749")</f>
        <v>http://dx.doi.org/10.1029/2019GC008749</v>
      </c>
      <c r="BG359" t="s">
        <v>74</v>
      </c>
      <c r="BH359" t="s">
        <v>74</v>
      </c>
      <c r="BI359">
        <v>21</v>
      </c>
      <c r="BJ359" t="s">
        <v>1361</v>
      </c>
      <c r="BK359" t="s">
        <v>100</v>
      </c>
      <c r="BL359" t="s">
        <v>1361</v>
      </c>
      <c r="BM359" t="s">
        <v>7491</v>
      </c>
      <c r="BN359" t="s">
        <v>74</v>
      </c>
      <c r="BO359" t="s">
        <v>74</v>
      </c>
      <c r="BP359" t="s">
        <v>74</v>
      </c>
      <c r="BQ359" t="s">
        <v>74</v>
      </c>
      <c r="BR359" t="s">
        <v>104</v>
      </c>
      <c r="BS359" t="s">
        <v>7510</v>
      </c>
      <c r="BT359" t="str">
        <f>HYPERLINK("https%3A%2F%2Fwww.webofscience.com%2Fwos%2Fwoscc%2Ffull-record%2FWOS:000588351500015","View Full Record in Web of Science")</f>
        <v>View Full Record in Web of Science</v>
      </c>
    </row>
    <row r="360" spans="1:72" x14ac:dyDescent="0.15">
      <c r="A360" t="s">
        <v>72</v>
      </c>
      <c r="B360" t="s">
        <v>7511</v>
      </c>
      <c r="C360" t="s">
        <v>74</v>
      </c>
      <c r="D360" t="s">
        <v>74</v>
      </c>
      <c r="E360" t="s">
        <v>74</v>
      </c>
      <c r="F360" t="s">
        <v>7512</v>
      </c>
      <c r="G360" t="s">
        <v>74</v>
      </c>
      <c r="H360" t="s">
        <v>74</v>
      </c>
      <c r="I360" t="s">
        <v>7513</v>
      </c>
      <c r="J360" t="s">
        <v>1855</v>
      </c>
      <c r="K360" t="s">
        <v>74</v>
      </c>
      <c r="L360" t="s">
        <v>74</v>
      </c>
      <c r="M360" t="s">
        <v>78</v>
      </c>
      <c r="N360" t="s">
        <v>79</v>
      </c>
      <c r="O360" t="s">
        <v>74</v>
      </c>
      <c r="P360" t="s">
        <v>74</v>
      </c>
      <c r="Q360" t="s">
        <v>74</v>
      </c>
      <c r="R360" t="s">
        <v>74</v>
      </c>
      <c r="S360" t="s">
        <v>74</v>
      </c>
      <c r="T360" t="s">
        <v>74</v>
      </c>
      <c r="U360" t="s">
        <v>7514</v>
      </c>
      <c r="V360" t="s">
        <v>7515</v>
      </c>
      <c r="W360" t="s">
        <v>7516</v>
      </c>
      <c r="X360" t="s">
        <v>7517</v>
      </c>
      <c r="Y360" t="s">
        <v>7518</v>
      </c>
      <c r="Z360" t="s">
        <v>7519</v>
      </c>
      <c r="AA360" t="s">
        <v>7520</v>
      </c>
      <c r="AB360" t="s">
        <v>7521</v>
      </c>
      <c r="AC360" t="s">
        <v>7522</v>
      </c>
      <c r="AD360" t="s">
        <v>7523</v>
      </c>
      <c r="AE360" t="s">
        <v>7524</v>
      </c>
      <c r="AF360" t="s">
        <v>74</v>
      </c>
      <c r="AG360">
        <v>64</v>
      </c>
      <c r="AH360">
        <v>7</v>
      </c>
      <c r="AI360">
        <v>7</v>
      </c>
      <c r="AJ360">
        <v>1</v>
      </c>
      <c r="AK360">
        <v>6</v>
      </c>
      <c r="AL360" t="s">
        <v>1710</v>
      </c>
      <c r="AM360" t="s">
        <v>609</v>
      </c>
      <c r="AN360" t="s">
        <v>1711</v>
      </c>
      <c r="AO360" t="s">
        <v>1867</v>
      </c>
      <c r="AP360" t="s">
        <v>1868</v>
      </c>
      <c r="AQ360" t="s">
        <v>74</v>
      </c>
      <c r="AR360" t="s">
        <v>1869</v>
      </c>
      <c r="AS360" t="s">
        <v>1870</v>
      </c>
      <c r="AT360" t="s">
        <v>6558</v>
      </c>
      <c r="AU360">
        <v>2020</v>
      </c>
      <c r="AV360">
        <v>35</v>
      </c>
      <c r="AW360">
        <v>10</v>
      </c>
      <c r="AX360" t="s">
        <v>74</v>
      </c>
      <c r="AY360" t="s">
        <v>74</v>
      </c>
      <c r="AZ360" t="s">
        <v>74</v>
      </c>
      <c r="BA360" t="s">
        <v>74</v>
      </c>
      <c r="BB360" t="s">
        <v>74</v>
      </c>
      <c r="BC360" t="s">
        <v>74</v>
      </c>
      <c r="BD360" t="s">
        <v>7525</v>
      </c>
      <c r="BE360" t="s">
        <v>7526</v>
      </c>
      <c r="BF360" t="str">
        <f>HYPERLINK("http://dx.doi.org/10.1029/2020PA003890","http://dx.doi.org/10.1029/2020PA003890")</f>
        <v>http://dx.doi.org/10.1029/2020PA003890</v>
      </c>
      <c r="BG360" t="s">
        <v>74</v>
      </c>
      <c r="BH360" t="s">
        <v>74</v>
      </c>
      <c r="BI360">
        <v>16</v>
      </c>
      <c r="BJ360" t="s">
        <v>1873</v>
      </c>
      <c r="BK360" t="s">
        <v>100</v>
      </c>
      <c r="BL360" t="s">
        <v>1874</v>
      </c>
      <c r="BM360" t="s">
        <v>7527</v>
      </c>
      <c r="BN360" t="s">
        <v>74</v>
      </c>
      <c r="BO360" t="s">
        <v>1894</v>
      </c>
      <c r="BP360" t="s">
        <v>74</v>
      </c>
      <c r="BQ360" t="s">
        <v>74</v>
      </c>
      <c r="BR360" t="s">
        <v>104</v>
      </c>
      <c r="BS360" t="s">
        <v>7528</v>
      </c>
      <c r="BT360" t="str">
        <f>HYPERLINK("https%3A%2F%2Fwww.webofscience.com%2Fwos%2Fwoscc%2Ffull-record%2FWOS:000588449700003","View Full Record in Web of Science")</f>
        <v>View Full Record in Web of Science</v>
      </c>
    </row>
    <row r="361" spans="1:72" x14ac:dyDescent="0.15">
      <c r="A361" t="s">
        <v>72</v>
      </c>
      <c r="B361" t="s">
        <v>7529</v>
      </c>
      <c r="C361" t="s">
        <v>74</v>
      </c>
      <c r="D361" t="s">
        <v>74</v>
      </c>
      <c r="E361" t="s">
        <v>74</v>
      </c>
      <c r="F361" t="s">
        <v>7530</v>
      </c>
      <c r="G361" t="s">
        <v>74</v>
      </c>
      <c r="H361" t="s">
        <v>74</v>
      </c>
      <c r="I361" t="s">
        <v>7531</v>
      </c>
      <c r="J361" t="s">
        <v>1855</v>
      </c>
      <c r="K361" t="s">
        <v>74</v>
      </c>
      <c r="L361" t="s">
        <v>74</v>
      </c>
      <c r="M361" t="s">
        <v>78</v>
      </c>
      <c r="N361" t="s">
        <v>79</v>
      </c>
      <c r="O361" t="s">
        <v>74</v>
      </c>
      <c r="P361" t="s">
        <v>74</v>
      </c>
      <c r="Q361" t="s">
        <v>74</v>
      </c>
      <c r="R361" t="s">
        <v>74</v>
      </c>
      <c r="S361" t="s">
        <v>74</v>
      </c>
      <c r="T361" t="s">
        <v>7532</v>
      </c>
      <c r="U361" t="s">
        <v>7533</v>
      </c>
      <c r="V361" t="s">
        <v>7534</v>
      </c>
      <c r="W361" t="s">
        <v>7535</v>
      </c>
      <c r="X361" t="s">
        <v>7536</v>
      </c>
      <c r="Y361" t="s">
        <v>7537</v>
      </c>
      <c r="Z361" t="s">
        <v>7538</v>
      </c>
      <c r="AA361" t="s">
        <v>7539</v>
      </c>
      <c r="AB361" t="s">
        <v>7540</v>
      </c>
      <c r="AC361" t="s">
        <v>7541</v>
      </c>
      <c r="AD361" t="s">
        <v>7542</v>
      </c>
      <c r="AE361" t="s">
        <v>7543</v>
      </c>
      <c r="AF361" t="s">
        <v>74</v>
      </c>
      <c r="AG361">
        <v>74</v>
      </c>
      <c r="AH361">
        <v>0</v>
      </c>
      <c r="AI361">
        <v>0</v>
      </c>
      <c r="AJ361">
        <v>1</v>
      </c>
      <c r="AK361">
        <v>9</v>
      </c>
      <c r="AL361" t="s">
        <v>1710</v>
      </c>
      <c r="AM361" t="s">
        <v>609</v>
      </c>
      <c r="AN361" t="s">
        <v>1711</v>
      </c>
      <c r="AO361" t="s">
        <v>1867</v>
      </c>
      <c r="AP361" t="s">
        <v>1868</v>
      </c>
      <c r="AQ361" t="s">
        <v>74</v>
      </c>
      <c r="AR361" t="s">
        <v>1869</v>
      </c>
      <c r="AS361" t="s">
        <v>1870</v>
      </c>
      <c r="AT361" t="s">
        <v>6558</v>
      </c>
      <c r="AU361">
        <v>2020</v>
      </c>
      <c r="AV361">
        <v>35</v>
      </c>
      <c r="AW361">
        <v>10</v>
      </c>
      <c r="AX361" t="s">
        <v>74</v>
      </c>
      <c r="AY361" t="s">
        <v>74</v>
      </c>
      <c r="AZ361" t="s">
        <v>74</v>
      </c>
      <c r="BA361" t="s">
        <v>74</v>
      </c>
      <c r="BB361" t="s">
        <v>74</v>
      </c>
      <c r="BC361" t="s">
        <v>74</v>
      </c>
      <c r="BD361" t="s">
        <v>7544</v>
      </c>
      <c r="BE361" t="s">
        <v>7545</v>
      </c>
      <c r="BF361" t="str">
        <f>HYPERLINK("http://dx.doi.org/10.1029/2020PA003960","http://dx.doi.org/10.1029/2020PA003960")</f>
        <v>http://dx.doi.org/10.1029/2020PA003960</v>
      </c>
      <c r="BG361" t="s">
        <v>74</v>
      </c>
      <c r="BH361" t="s">
        <v>74</v>
      </c>
      <c r="BI361">
        <v>22</v>
      </c>
      <c r="BJ361" t="s">
        <v>1873</v>
      </c>
      <c r="BK361" t="s">
        <v>100</v>
      </c>
      <c r="BL361" t="s">
        <v>1874</v>
      </c>
      <c r="BM361" t="s">
        <v>7527</v>
      </c>
      <c r="BN361" t="s">
        <v>74</v>
      </c>
      <c r="BO361" t="s">
        <v>7546</v>
      </c>
      <c r="BP361" t="s">
        <v>74</v>
      </c>
      <c r="BQ361" t="s">
        <v>74</v>
      </c>
      <c r="BR361" t="s">
        <v>104</v>
      </c>
      <c r="BS361" t="s">
        <v>7547</v>
      </c>
      <c r="BT361" t="str">
        <f>HYPERLINK("https%3A%2F%2Fwww.webofscience.com%2Fwos%2Fwoscc%2Ffull-record%2FWOS:000588449700007","View Full Record in Web of Science")</f>
        <v>View Full Record in Web of Science</v>
      </c>
    </row>
    <row r="362" spans="1:72" x14ac:dyDescent="0.15">
      <c r="A362" t="s">
        <v>72</v>
      </c>
      <c r="B362" t="s">
        <v>7548</v>
      </c>
      <c r="C362" t="s">
        <v>74</v>
      </c>
      <c r="D362" t="s">
        <v>74</v>
      </c>
      <c r="E362" t="s">
        <v>74</v>
      </c>
      <c r="F362" t="s">
        <v>7549</v>
      </c>
      <c r="G362" t="s">
        <v>74</v>
      </c>
      <c r="H362" t="s">
        <v>74</v>
      </c>
      <c r="I362" t="s">
        <v>7550</v>
      </c>
      <c r="J362" t="s">
        <v>1855</v>
      </c>
      <c r="K362" t="s">
        <v>74</v>
      </c>
      <c r="L362" t="s">
        <v>74</v>
      </c>
      <c r="M362" t="s">
        <v>78</v>
      </c>
      <c r="N362" t="s">
        <v>79</v>
      </c>
      <c r="O362" t="s">
        <v>74</v>
      </c>
      <c r="P362" t="s">
        <v>74</v>
      </c>
      <c r="Q362" t="s">
        <v>74</v>
      </c>
      <c r="R362" t="s">
        <v>74</v>
      </c>
      <c r="S362" t="s">
        <v>74</v>
      </c>
      <c r="T362" t="s">
        <v>7551</v>
      </c>
      <c r="U362" t="s">
        <v>7552</v>
      </c>
      <c r="V362" t="s">
        <v>7553</v>
      </c>
      <c r="W362" t="s">
        <v>7554</v>
      </c>
      <c r="X362" t="s">
        <v>7555</v>
      </c>
      <c r="Y362" t="s">
        <v>7556</v>
      </c>
      <c r="Z362" t="s">
        <v>7557</v>
      </c>
      <c r="AA362" t="s">
        <v>7558</v>
      </c>
      <c r="AB362" t="s">
        <v>7559</v>
      </c>
      <c r="AC362" t="s">
        <v>7560</v>
      </c>
      <c r="AD362" t="s">
        <v>7561</v>
      </c>
      <c r="AE362" t="s">
        <v>7562</v>
      </c>
      <c r="AF362" t="s">
        <v>74</v>
      </c>
      <c r="AG362">
        <v>66</v>
      </c>
      <c r="AH362">
        <v>10</v>
      </c>
      <c r="AI362">
        <v>10</v>
      </c>
      <c r="AJ362">
        <v>2</v>
      </c>
      <c r="AK362">
        <v>16</v>
      </c>
      <c r="AL362" t="s">
        <v>1710</v>
      </c>
      <c r="AM362" t="s">
        <v>609</v>
      </c>
      <c r="AN362" t="s">
        <v>1711</v>
      </c>
      <c r="AO362" t="s">
        <v>1867</v>
      </c>
      <c r="AP362" t="s">
        <v>1868</v>
      </c>
      <c r="AQ362" t="s">
        <v>74</v>
      </c>
      <c r="AR362" t="s">
        <v>1869</v>
      </c>
      <c r="AS362" t="s">
        <v>1870</v>
      </c>
      <c r="AT362" t="s">
        <v>6558</v>
      </c>
      <c r="AU362">
        <v>2020</v>
      </c>
      <c r="AV362">
        <v>35</v>
      </c>
      <c r="AW362">
        <v>10</v>
      </c>
      <c r="AX362" t="s">
        <v>74</v>
      </c>
      <c r="AY362" t="s">
        <v>74</v>
      </c>
      <c r="AZ362" t="s">
        <v>74</v>
      </c>
      <c r="BA362" t="s">
        <v>74</v>
      </c>
      <c r="BB362" t="s">
        <v>74</v>
      </c>
      <c r="BC362" t="s">
        <v>74</v>
      </c>
      <c r="BD362" t="s">
        <v>7563</v>
      </c>
      <c r="BE362" t="s">
        <v>7564</v>
      </c>
      <c r="BF362" t="str">
        <f>HYPERLINK("http://dx.doi.org/10.1029/2020PA003935","http://dx.doi.org/10.1029/2020PA003935")</f>
        <v>http://dx.doi.org/10.1029/2020PA003935</v>
      </c>
      <c r="BG362" t="s">
        <v>74</v>
      </c>
      <c r="BH362" t="s">
        <v>74</v>
      </c>
      <c r="BI362">
        <v>10</v>
      </c>
      <c r="BJ362" t="s">
        <v>1873</v>
      </c>
      <c r="BK362" t="s">
        <v>100</v>
      </c>
      <c r="BL362" t="s">
        <v>1874</v>
      </c>
      <c r="BM362" t="s">
        <v>7527</v>
      </c>
      <c r="BN362" t="s">
        <v>74</v>
      </c>
      <c r="BO362" t="s">
        <v>74</v>
      </c>
      <c r="BP362" t="s">
        <v>74</v>
      </c>
      <c r="BQ362" t="s">
        <v>74</v>
      </c>
      <c r="BR362" t="s">
        <v>104</v>
      </c>
      <c r="BS362" t="s">
        <v>7565</v>
      </c>
      <c r="BT362" t="str">
        <f>HYPERLINK("https%3A%2F%2Fwww.webofscience.com%2Fwos%2Fwoscc%2Ffull-record%2FWOS:000588449700006","View Full Record in Web of Science")</f>
        <v>View Full Record in Web of Science</v>
      </c>
    </row>
    <row r="363" spans="1:72" x14ac:dyDescent="0.15">
      <c r="A363" t="s">
        <v>72</v>
      </c>
      <c r="B363" t="s">
        <v>7566</v>
      </c>
      <c r="C363" t="s">
        <v>74</v>
      </c>
      <c r="D363" t="s">
        <v>74</v>
      </c>
      <c r="E363" t="s">
        <v>74</v>
      </c>
      <c r="F363" t="s">
        <v>7567</v>
      </c>
      <c r="G363" t="s">
        <v>74</v>
      </c>
      <c r="H363" t="s">
        <v>74</v>
      </c>
      <c r="I363" t="s">
        <v>7568</v>
      </c>
      <c r="J363" t="s">
        <v>1697</v>
      </c>
      <c r="K363" t="s">
        <v>74</v>
      </c>
      <c r="L363" t="s">
        <v>74</v>
      </c>
      <c r="M363" t="s">
        <v>78</v>
      </c>
      <c r="N363" t="s">
        <v>79</v>
      </c>
      <c r="O363" t="s">
        <v>74</v>
      </c>
      <c r="P363" t="s">
        <v>74</v>
      </c>
      <c r="Q363" t="s">
        <v>74</v>
      </c>
      <c r="R363" t="s">
        <v>74</v>
      </c>
      <c r="S363" t="s">
        <v>74</v>
      </c>
      <c r="T363" t="s">
        <v>74</v>
      </c>
      <c r="U363" t="s">
        <v>7569</v>
      </c>
      <c r="V363" t="s">
        <v>7570</v>
      </c>
      <c r="W363" t="s">
        <v>7571</v>
      </c>
      <c r="X363" t="s">
        <v>7572</v>
      </c>
      <c r="Y363" t="s">
        <v>7573</v>
      </c>
      <c r="Z363" t="s">
        <v>7574</v>
      </c>
      <c r="AA363" t="s">
        <v>74</v>
      </c>
      <c r="AB363" t="s">
        <v>74</v>
      </c>
      <c r="AC363" t="s">
        <v>7575</v>
      </c>
      <c r="AD363" t="s">
        <v>7576</v>
      </c>
      <c r="AE363" t="s">
        <v>7577</v>
      </c>
      <c r="AF363" t="s">
        <v>74</v>
      </c>
      <c r="AG363">
        <v>137</v>
      </c>
      <c r="AH363">
        <v>1</v>
      </c>
      <c r="AI363">
        <v>2</v>
      </c>
      <c r="AJ363">
        <v>2</v>
      </c>
      <c r="AK363">
        <v>7</v>
      </c>
      <c r="AL363" t="s">
        <v>1710</v>
      </c>
      <c r="AM363" t="s">
        <v>609</v>
      </c>
      <c r="AN363" t="s">
        <v>1711</v>
      </c>
      <c r="AO363" t="s">
        <v>74</v>
      </c>
      <c r="AP363" t="s">
        <v>1712</v>
      </c>
      <c r="AQ363" t="s">
        <v>74</v>
      </c>
      <c r="AR363" t="s">
        <v>1713</v>
      </c>
      <c r="AS363" t="s">
        <v>1714</v>
      </c>
      <c r="AT363" t="s">
        <v>6558</v>
      </c>
      <c r="AU363">
        <v>2020</v>
      </c>
      <c r="AV363">
        <v>7</v>
      </c>
      <c r="AW363">
        <v>10</v>
      </c>
      <c r="AX363" t="s">
        <v>74</v>
      </c>
      <c r="AY363" t="s">
        <v>74</v>
      </c>
      <c r="AZ363" t="s">
        <v>74</v>
      </c>
      <c r="BA363" t="s">
        <v>74</v>
      </c>
      <c r="BB363" t="s">
        <v>74</v>
      </c>
      <c r="BC363" t="s">
        <v>74</v>
      </c>
      <c r="BD363" t="s">
        <v>7578</v>
      </c>
      <c r="BE363" t="s">
        <v>7579</v>
      </c>
      <c r="BF363" t="str">
        <f>HYPERLINK("http://dx.doi.org/10.1029/2020EA001177","http://dx.doi.org/10.1029/2020EA001177")</f>
        <v>http://dx.doi.org/10.1029/2020EA001177</v>
      </c>
      <c r="BG363" t="s">
        <v>74</v>
      </c>
      <c r="BH363" t="s">
        <v>74</v>
      </c>
      <c r="BI363">
        <v>21</v>
      </c>
      <c r="BJ363" t="s">
        <v>1717</v>
      </c>
      <c r="BK363" t="s">
        <v>100</v>
      </c>
      <c r="BL363" t="s">
        <v>1718</v>
      </c>
      <c r="BM363" t="s">
        <v>7580</v>
      </c>
      <c r="BN363">
        <v>33283022</v>
      </c>
      <c r="BO363" t="s">
        <v>332</v>
      </c>
      <c r="BP363" t="s">
        <v>74</v>
      </c>
      <c r="BQ363" t="s">
        <v>74</v>
      </c>
      <c r="BR363" t="s">
        <v>104</v>
      </c>
      <c r="BS363" t="s">
        <v>7581</v>
      </c>
      <c r="BT363" t="str">
        <f>HYPERLINK("https%3A%2F%2Fwww.webofscience.com%2Fwos%2Fwoscc%2Ffull-record%2FWOS:000586332600006","View Full Record in Web of Science")</f>
        <v>View Full Record in Web of Science</v>
      </c>
    </row>
    <row r="364" spans="1:72" x14ac:dyDescent="0.15">
      <c r="A364" t="s">
        <v>72</v>
      </c>
      <c r="B364" t="s">
        <v>7582</v>
      </c>
      <c r="C364" t="s">
        <v>74</v>
      </c>
      <c r="D364" t="s">
        <v>74</v>
      </c>
      <c r="E364" t="s">
        <v>74</v>
      </c>
      <c r="F364" t="s">
        <v>7583</v>
      </c>
      <c r="G364" t="s">
        <v>74</v>
      </c>
      <c r="H364" t="s">
        <v>74</v>
      </c>
      <c r="I364" t="s">
        <v>7584</v>
      </c>
      <c r="J364" t="s">
        <v>7585</v>
      </c>
      <c r="K364" t="s">
        <v>74</v>
      </c>
      <c r="L364" t="s">
        <v>74</v>
      </c>
      <c r="M364" t="s">
        <v>78</v>
      </c>
      <c r="N364" t="s">
        <v>79</v>
      </c>
      <c r="O364" t="s">
        <v>74</v>
      </c>
      <c r="P364" t="s">
        <v>74</v>
      </c>
      <c r="Q364" t="s">
        <v>74</v>
      </c>
      <c r="R364" t="s">
        <v>74</v>
      </c>
      <c r="S364" t="s">
        <v>74</v>
      </c>
      <c r="T364" t="s">
        <v>7586</v>
      </c>
      <c r="U364" t="s">
        <v>7587</v>
      </c>
      <c r="V364" t="s">
        <v>7588</v>
      </c>
      <c r="W364" t="s">
        <v>7589</v>
      </c>
      <c r="X364" t="s">
        <v>7590</v>
      </c>
      <c r="Y364" t="s">
        <v>7591</v>
      </c>
      <c r="Z364" t="s">
        <v>7592</v>
      </c>
      <c r="AA364" t="s">
        <v>74</v>
      </c>
      <c r="AB364" t="s">
        <v>7593</v>
      </c>
      <c r="AC364" t="s">
        <v>7594</v>
      </c>
      <c r="AD364" t="s">
        <v>7595</v>
      </c>
      <c r="AE364" t="s">
        <v>7596</v>
      </c>
      <c r="AF364" t="s">
        <v>74</v>
      </c>
      <c r="AG364">
        <v>79</v>
      </c>
      <c r="AH364">
        <v>14</v>
      </c>
      <c r="AI364">
        <v>14</v>
      </c>
      <c r="AJ364">
        <v>0</v>
      </c>
      <c r="AK364">
        <v>1</v>
      </c>
      <c r="AL364" t="s">
        <v>275</v>
      </c>
      <c r="AM364" t="s">
        <v>276</v>
      </c>
      <c r="AN364" t="s">
        <v>277</v>
      </c>
      <c r="AO364" t="s">
        <v>74</v>
      </c>
      <c r="AP364" t="s">
        <v>7597</v>
      </c>
      <c r="AQ364" t="s">
        <v>74</v>
      </c>
      <c r="AR364" t="s">
        <v>7598</v>
      </c>
      <c r="AS364" t="s">
        <v>7599</v>
      </c>
      <c r="AT364" t="s">
        <v>6558</v>
      </c>
      <c r="AU364">
        <v>2020</v>
      </c>
      <c r="AV364">
        <v>31</v>
      </c>
      <c r="AW364" t="s">
        <v>74</v>
      </c>
      <c r="AX364" t="s">
        <v>74</v>
      </c>
      <c r="AY364" t="s">
        <v>74</v>
      </c>
      <c r="AZ364" t="s">
        <v>74</v>
      </c>
      <c r="BA364" t="s">
        <v>74</v>
      </c>
      <c r="BB364" t="s">
        <v>74</v>
      </c>
      <c r="BC364" t="s">
        <v>74</v>
      </c>
      <c r="BD364">
        <v>100728</v>
      </c>
      <c r="BE364" t="s">
        <v>7600</v>
      </c>
      <c r="BF364" t="str">
        <f>HYPERLINK("http://dx.doi.org/10.1016/j.ejrh.2020.100728","http://dx.doi.org/10.1016/j.ejrh.2020.100728")</f>
        <v>http://dx.doi.org/10.1016/j.ejrh.2020.100728</v>
      </c>
      <c r="BG364" t="s">
        <v>74</v>
      </c>
      <c r="BH364" t="s">
        <v>74</v>
      </c>
      <c r="BI364">
        <v>12</v>
      </c>
      <c r="BJ364" t="s">
        <v>7601</v>
      </c>
      <c r="BK364" t="s">
        <v>100</v>
      </c>
      <c r="BL364" t="s">
        <v>7601</v>
      </c>
      <c r="BM364" t="s">
        <v>7602</v>
      </c>
      <c r="BN364" t="s">
        <v>74</v>
      </c>
      <c r="BO364" t="s">
        <v>2113</v>
      </c>
      <c r="BP364" t="s">
        <v>74</v>
      </c>
      <c r="BQ364" t="s">
        <v>74</v>
      </c>
      <c r="BR364" t="s">
        <v>104</v>
      </c>
      <c r="BS364" t="s">
        <v>7603</v>
      </c>
      <c r="BT364" t="str">
        <f>HYPERLINK("https%3A%2F%2Fwww.webofscience.com%2Fwos%2Fwoscc%2Ffull-record%2FWOS:000580949900015","View Full Record in Web of Science")</f>
        <v>View Full Record in Web of Science</v>
      </c>
    </row>
    <row r="365" spans="1:72" x14ac:dyDescent="0.15">
      <c r="A365" t="s">
        <v>72</v>
      </c>
      <c r="B365" t="s">
        <v>7604</v>
      </c>
      <c r="C365" t="s">
        <v>74</v>
      </c>
      <c r="D365" t="s">
        <v>74</v>
      </c>
      <c r="E365" t="s">
        <v>74</v>
      </c>
      <c r="F365" t="s">
        <v>7605</v>
      </c>
      <c r="G365" t="s">
        <v>74</v>
      </c>
      <c r="H365" t="s">
        <v>74</v>
      </c>
      <c r="I365" t="s">
        <v>7606</v>
      </c>
      <c r="J365" t="s">
        <v>2655</v>
      </c>
      <c r="K365" t="s">
        <v>74</v>
      </c>
      <c r="L365" t="s">
        <v>74</v>
      </c>
      <c r="M365" t="s">
        <v>78</v>
      </c>
      <c r="N365" t="s">
        <v>79</v>
      </c>
      <c r="O365" t="s">
        <v>74</v>
      </c>
      <c r="P365" t="s">
        <v>74</v>
      </c>
      <c r="Q365" t="s">
        <v>74</v>
      </c>
      <c r="R365" t="s">
        <v>74</v>
      </c>
      <c r="S365" t="s">
        <v>74</v>
      </c>
      <c r="T365" t="s">
        <v>7607</v>
      </c>
      <c r="U365" t="s">
        <v>7608</v>
      </c>
      <c r="V365" t="s">
        <v>7609</v>
      </c>
      <c r="W365" t="s">
        <v>7610</v>
      </c>
      <c r="X365" t="s">
        <v>7611</v>
      </c>
      <c r="Y365" t="s">
        <v>7612</v>
      </c>
      <c r="Z365" t="s">
        <v>7613</v>
      </c>
      <c r="AA365" t="s">
        <v>7614</v>
      </c>
      <c r="AB365" t="s">
        <v>7615</v>
      </c>
      <c r="AC365" t="s">
        <v>7616</v>
      </c>
      <c r="AD365" t="s">
        <v>7616</v>
      </c>
      <c r="AE365" t="s">
        <v>7617</v>
      </c>
      <c r="AF365" t="s">
        <v>74</v>
      </c>
      <c r="AG365">
        <v>73</v>
      </c>
      <c r="AH365">
        <v>14</v>
      </c>
      <c r="AI365">
        <v>15</v>
      </c>
      <c r="AJ365">
        <v>0</v>
      </c>
      <c r="AK365">
        <v>5</v>
      </c>
      <c r="AL365" t="s">
        <v>1522</v>
      </c>
      <c r="AM365" t="s">
        <v>1407</v>
      </c>
      <c r="AN365" t="s">
        <v>1523</v>
      </c>
      <c r="AO365" t="s">
        <v>2668</v>
      </c>
      <c r="AP365" t="s">
        <v>74</v>
      </c>
      <c r="AQ365" t="s">
        <v>74</v>
      </c>
      <c r="AR365" t="s">
        <v>2669</v>
      </c>
      <c r="AS365" t="s">
        <v>2670</v>
      </c>
      <c r="AT365" t="s">
        <v>1163</v>
      </c>
      <c r="AU365">
        <v>2020</v>
      </c>
      <c r="AV365">
        <v>245</v>
      </c>
      <c r="AW365" t="s">
        <v>74</v>
      </c>
      <c r="AX365" t="s">
        <v>74</v>
      </c>
      <c r="AY365" t="s">
        <v>74</v>
      </c>
      <c r="AZ365" t="s">
        <v>74</v>
      </c>
      <c r="BA365" t="s">
        <v>74</v>
      </c>
      <c r="BB365" t="s">
        <v>74</v>
      </c>
      <c r="BC365" t="s">
        <v>74</v>
      </c>
      <c r="BD365">
        <v>106461</v>
      </c>
      <c r="BE365" t="s">
        <v>7618</v>
      </c>
      <c r="BF365" t="str">
        <f>HYPERLINK("http://dx.doi.org/10.1016/j.quascirev.2020.106461","http://dx.doi.org/10.1016/j.quascirev.2020.106461")</f>
        <v>http://dx.doi.org/10.1016/j.quascirev.2020.106461</v>
      </c>
      <c r="BG365" t="s">
        <v>74</v>
      </c>
      <c r="BH365" t="s">
        <v>74</v>
      </c>
      <c r="BI365">
        <v>13</v>
      </c>
      <c r="BJ365" t="s">
        <v>99</v>
      </c>
      <c r="BK365" t="s">
        <v>100</v>
      </c>
      <c r="BL365" t="s">
        <v>101</v>
      </c>
      <c r="BM365" t="s">
        <v>7619</v>
      </c>
      <c r="BN365" t="s">
        <v>74</v>
      </c>
      <c r="BO365" t="s">
        <v>1188</v>
      </c>
      <c r="BP365" t="s">
        <v>74</v>
      </c>
      <c r="BQ365" t="s">
        <v>74</v>
      </c>
      <c r="BR365" t="s">
        <v>104</v>
      </c>
      <c r="BS365" t="s">
        <v>7620</v>
      </c>
      <c r="BT365" t="str">
        <f>HYPERLINK("https%3A%2F%2Fwww.webofscience.com%2Fwos%2Fwoscc%2Ffull-record%2FWOS:000575742100005","View Full Record in Web of Science")</f>
        <v>View Full Record in Web of Science</v>
      </c>
    </row>
    <row r="366" spans="1:72" x14ac:dyDescent="0.15">
      <c r="A366" t="s">
        <v>72</v>
      </c>
      <c r="B366" t="s">
        <v>7621</v>
      </c>
      <c r="C366" t="s">
        <v>74</v>
      </c>
      <c r="D366" t="s">
        <v>74</v>
      </c>
      <c r="E366" t="s">
        <v>74</v>
      </c>
      <c r="F366" t="s">
        <v>7622</v>
      </c>
      <c r="G366" t="s">
        <v>74</v>
      </c>
      <c r="H366" t="s">
        <v>74</v>
      </c>
      <c r="I366" t="s">
        <v>7623</v>
      </c>
      <c r="J366" t="s">
        <v>7624</v>
      </c>
      <c r="K366" t="s">
        <v>74</v>
      </c>
      <c r="L366" t="s">
        <v>74</v>
      </c>
      <c r="M366" t="s">
        <v>78</v>
      </c>
      <c r="N366" t="s">
        <v>79</v>
      </c>
      <c r="O366" t="s">
        <v>74</v>
      </c>
      <c r="P366" t="s">
        <v>74</v>
      </c>
      <c r="Q366" t="s">
        <v>74</v>
      </c>
      <c r="R366" t="s">
        <v>74</v>
      </c>
      <c r="S366" t="s">
        <v>74</v>
      </c>
      <c r="T366" t="s">
        <v>7625</v>
      </c>
      <c r="U366" t="s">
        <v>7626</v>
      </c>
      <c r="V366" t="s">
        <v>7627</v>
      </c>
      <c r="W366" t="s">
        <v>7628</v>
      </c>
      <c r="X366" t="s">
        <v>7629</v>
      </c>
      <c r="Y366" t="s">
        <v>7630</v>
      </c>
      <c r="Z366" t="s">
        <v>7631</v>
      </c>
      <c r="AA366" t="s">
        <v>7632</v>
      </c>
      <c r="AB366" t="s">
        <v>7633</v>
      </c>
      <c r="AC366" t="s">
        <v>7634</v>
      </c>
      <c r="AD366" t="s">
        <v>7635</v>
      </c>
      <c r="AE366" t="s">
        <v>7636</v>
      </c>
      <c r="AF366" t="s">
        <v>74</v>
      </c>
      <c r="AG366">
        <v>80</v>
      </c>
      <c r="AH366">
        <v>8</v>
      </c>
      <c r="AI366">
        <v>8</v>
      </c>
      <c r="AJ366">
        <v>1</v>
      </c>
      <c r="AK366">
        <v>6</v>
      </c>
      <c r="AL366" t="s">
        <v>2085</v>
      </c>
      <c r="AM366" t="s">
        <v>2086</v>
      </c>
      <c r="AN366" t="s">
        <v>2087</v>
      </c>
      <c r="AO366" t="s">
        <v>74</v>
      </c>
      <c r="AP366" t="s">
        <v>7637</v>
      </c>
      <c r="AQ366" t="s">
        <v>74</v>
      </c>
      <c r="AR366" t="s">
        <v>7638</v>
      </c>
      <c r="AS366" t="s">
        <v>7639</v>
      </c>
      <c r="AT366" t="s">
        <v>6558</v>
      </c>
      <c r="AU366">
        <v>2020</v>
      </c>
      <c r="AV366">
        <v>10</v>
      </c>
      <c r="AW366">
        <v>19</v>
      </c>
      <c r="AX366" t="s">
        <v>74</v>
      </c>
      <c r="AY366" t="s">
        <v>74</v>
      </c>
      <c r="AZ366" t="s">
        <v>74</v>
      </c>
      <c r="BA366" t="s">
        <v>74</v>
      </c>
      <c r="BB366" t="s">
        <v>74</v>
      </c>
      <c r="BC366" t="s">
        <v>74</v>
      </c>
      <c r="BD366">
        <v>6965</v>
      </c>
      <c r="BE366" t="s">
        <v>7640</v>
      </c>
      <c r="BF366" t="str">
        <f>HYPERLINK("http://dx.doi.org/10.3390/app10196965","http://dx.doi.org/10.3390/app10196965")</f>
        <v>http://dx.doi.org/10.3390/app10196965</v>
      </c>
      <c r="BG366" t="s">
        <v>74</v>
      </c>
      <c r="BH366" t="s">
        <v>74</v>
      </c>
      <c r="BI366">
        <v>20</v>
      </c>
      <c r="BJ366" t="s">
        <v>7641</v>
      </c>
      <c r="BK366" t="s">
        <v>100</v>
      </c>
      <c r="BL366" t="s">
        <v>7642</v>
      </c>
      <c r="BM366" t="s">
        <v>7643</v>
      </c>
      <c r="BN366" t="s">
        <v>74</v>
      </c>
      <c r="BO366" t="s">
        <v>202</v>
      </c>
      <c r="BP366" t="s">
        <v>74</v>
      </c>
      <c r="BQ366" t="s">
        <v>74</v>
      </c>
      <c r="BR366" t="s">
        <v>104</v>
      </c>
      <c r="BS366" t="s">
        <v>7644</v>
      </c>
      <c r="BT366" t="str">
        <f>HYPERLINK("https%3A%2F%2Fwww.webofscience.com%2Fwos%2Fwoscc%2Ffull-record%2FWOS:000587240000001","View Full Record in Web of Science")</f>
        <v>View Full Record in Web of Science</v>
      </c>
    </row>
    <row r="367" spans="1:72" x14ac:dyDescent="0.15">
      <c r="A367" t="s">
        <v>72</v>
      </c>
      <c r="B367" t="s">
        <v>7645</v>
      </c>
      <c r="C367" t="s">
        <v>74</v>
      </c>
      <c r="D367" t="s">
        <v>74</v>
      </c>
      <c r="E367" t="s">
        <v>74</v>
      </c>
      <c r="F367" t="s">
        <v>7646</v>
      </c>
      <c r="G367" t="s">
        <v>74</v>
      </c>
      <c r="H367" t="s">
        <v>74</v>
      </c>
      <c r="I367" t="s">
        <v>7647</v>
      </c>
      <c r="J367" t="s">
        <v>7648</v>
      </c>
      <c r="K367" t="s">
        <v>74</v>
      </c>
      <c r="L367" t="s">
        <v>74</v>
      </c>
      <c r="M367" t="s">
        <v>78</v>
      </c>
      <c r="N367" t="s">
        <v>79</v>
      </c>
      <c r="O367" t="s">
        <v>74</v>
      </c>
      <c r="P367" t="s">
        <v>74</v>
      </c>
      <c r="Q367" t="s">
        <v>74</v>
      </c>
      <c r="R367" t="s">
        <v>74</v>
      </c>
      <c r="S367" t="s">
        <v>74</v>
      </c>
      <c r="T367" t="s">
        <v>7649</v>
      </c>
      <c r="U367" t="s">
        <v>7650</v>
      </c>
      <c r="V367" t="s">
        <v>7651</v>
      </c>
      <c r="W367" t="s">
        <v>7652</v>
      </c>
      <c r="X367" t="s">
        <v>7653</v>
      </c>
      <c r="Y367" t="s">
        <v>7654</v>
      </c>
      <c r="Z367" t="s">
        <v>7655</v>
      </c>
      <c r="AA367" t="s">
        <v>7656</v>
      </c>
      <c r="AB367" t="s">
        <v>7657</v>
      </c>
      <c r="AC367" t="s">
        <v>7658</v>
      </c>
      <c r="AD367" t="s">
        <v>7659</v>
      </c>
      <c r="AE367" t="s">
        <v>7660</v>
      </c>
      <c r="AF367" t="s">
        <v>74</v>
      </c>
      <c r="AG367">
        <v>64</v>
      </c>
      <c r="AH367">
        <v>13</v>
      </c>
      <c r="AI367">
        <v>14</v>
      </c>
      <c r="AJ367">
        <v>2</v>
      </c>
      <c r="AK367">
        <v>14</v>
      </c>
      <c r="AL367" t="s">
        <v>2085</v>
      </c>
      <c r="AM367" t="s">
        <v>2086</v>
      </c>
      <c r="AN367" t="s">
        <v>2087</v>
      </c>
      <c r="AO367" t="s">
        <v>74</v>
      </c>
      <c r="AP367" t="s">
        <v>7661</v>
      </c>
      <c r="AQ367" t="s">
        <v>74</v>
      </c>
      <c r="AR367" t="s">
        <v>7648</v>
      </c>
      <c r="AS367" t="s">
        <v>7662</v>
      </c>
      <c r="AT367" t="s">
        <v>6558</v>
      </c>
      <c r="AU367">
        <v>2020</v>
      </c>
      <c r="AV367">
        <v>25</v>
      </c>
      <c r="AW367">
        <v>19</v>
      </c>
      <c r="AX367" t="s">
        <v>74</v>
      </c>
      <c r="AY367" t="s">
        <v>74</v>
      </c>
      <c r="AZ367" t="s">
        <v>74</v>
      </c>
      <c r="BA367" t="s">
        <v>74</v>
      </c>
      <c r="BB367" t="s">
        <v>74</v>
      </c>
      <c r="BC367" t="s">
        <v>74</v>
      </c>
      <c r="BD367">
        <v>4357</v>
      </c>
      <c r="BE367" t="s">
        <v>7663</v>
      </c>
      <c r="BF367" t="str">
        <f>HYPERLINK("http://dx.doi.org/10.3390/molecules25194357","http://dx.doi.org/10.3390/molecules25194357")</f>
        <v>http://dx.doi.org/10.3390/molecules25194357</v>
      </c>
      <c r="BG367" t="s">
        <v>74</v>
      </c>
      <c r="BH367" t="s">
        <v>74</v>
      </c>
      <c r="BI367">
        <v>16</v>
      </c>
      <c r="BJ367" t="s">
        <v>7664</v>
      </c>
      <c r="BK367" t="s">
        <v>100</v>
      </c>
      <c r="BL367" t="s">
        <v>2649</v>
      </c>
      <c r="BM367" t="s">
        <v>7665</v>
      </c>
      <c r="BN367">
        <v>32977394</v>
      </c>
      <c r="BO367" t="s">
        <v>2113</v>
      </c>
      <c r="BP367" t="s">
        <v>74</v>
      </c>
      <c r="BQ367" t="s">
        <v>74</v>
      </c>
      <c r="BR367" t="s">
        <v>104</v>
      </c>
      <c r="BS367" t="s">
        <v>7666</v>
      </c>
      <c r="BT367" t="str">
        <f>HYPERLINK("https%3A%2F%2Fwww.webofscience.com%2Fwos%2Fwoscc%2Ffull-record%2FWOS:000587214900001","View Full Record in Web of Science")</f>
        <v>View Full Record in Web of Science</v>
      </c>
    </row>
    <row r="368" spans="1:72" x14ac:dyDescent="0.15">
      <c r="A368" t="s">
        <v>72</v>
      </c>
      <c r="B368" t="s">
        <v>7667</v>
      </c>
      <c r="C368" t="s">
        <v>74</v>
      </c>
      <c r="D368" t="s">
        <v>74</v>
      </c>
      <c r="E368" t="s">
        <v>74</v>
      </c>
      <c r="F368" t="s">
        <v>7668</v>
      </c>
      <c r="G368" t="s">
        <v>74</v>
      </c>
      <c r="H368" t="s">
        <v>74</v>
      </c>
      <c r="I368" t="s">
        <v>7669</v>
      </c>
      <c r="J368" t="s">
        <v>2074</v>
      </c>
      <c r="K368" t="s">
        <v>74</v>
      </c>
      <c r="L368" t="s">
        <v>74</v>
      </c>
      <c r="M368" t="s">
        <v>78</v>
      </c>
      <c r="N368" t="s">
        <v>79</v>
      </c>
      <c r="O368" t="s">
        <v>74</v>
      </c>
      <c r="P368" t="s">
        <v>74</v>
      </c>
      <c r="Q368" t="s">
        <v>74</v>
      </c>
      <c r="R368" t="s">
        <v>74</v>
      </c>
      <c r="S368" t="s">
        <v>74</v>
      </c>
      <c r="T368" t="s">
        <v>7670</v>
      </c>
      <c r="U368" t="s">
        <v>7671</v>
      </c>
      <c r="V368" t="s">
        <v>7672</v>
      </c>
      <c r="W368" t="s">
        <v>7673</v>
      </c>
      <c r="X368" t="s">
        <v>7674</v>
      </c>
      <c r="Y368" t="s">
        <v>7675</v>
      </c>
      <c r="Z368" t="s">
        <v>7676</v>
      </c>
      <c r="AA368" t="s">
        <v>74</v>
      </c>
      <c r="AB368" t="s">
        <v>74</v>
      </c>
      <c r="AC368" t="s">
        <v>7677</v>
      </c>
      <c r="AD368" t="s">
        <v>7678</v>
      </c>
      <c r="AE368" t="s">
        <v>7679</v>
      </c>
      <c r="AF368" t="s">
        <v>74</v>
      </c>
      <c r="AG368">
        <v>33</v>
      </c>
      <c r="AH368">
        <v>0</v>
      </c>
      <c r="AI368">
        <v>0</v>
      </c>
      <c r="AJ368">
        <v>27</v>
      </c>
      <c r="AK368">
        <v>100</v>
      </c>
      <c r="AL368" t="s">
        <v>2085</v>
      </c>
      <c r="AM368" t="s">
        <v>2086</v>
      </c>
      <c r="AN368" t="s">
        <v>2087</v>
      </c>
      <c r="AO368" t="s">
        <v>74</v>
      </c>
      <c r="AP368" t="s">
        <v>2088</v>
      </c>
      <c r="AQ368" t="s">
        <v>74</v>
      </c>
      <c r="AR368" t="s">
        <v>2089</v>
      </c>
      <c r="AS368" t="s">
        <v>2090</v>
      </c>
      <c r="AT368" t="s">
        <v>6558</v>
      </c>
      <c r="AU368">
        <v>2020</v>
      </c>
      <c r="AV368">
        <v>12</v>
      </c>
      <c r="AW368">
        <v>19</v>
      </c>
      <c r="AX368" t="s">
        <v>74</v>
      </c>
      <c r="AY368" t="s">
        <v>74</v>
      </c>
      <c r="AZ368" t="s">
        <v>74</v>
      </c>
      <c r="BA368" t="s">
        <v>74</v>
      </c>
      <c r="BB368" t="s">
        <v>74</v>
      </c>
      <c r="BC368" t="s">
        <v>74</v>
      </c>
      <c r="BD368">
        <v>3179</v>
      </c>
      <c r="BE368" t="s">
        <v>7680</v>
      </c>
      <c r="BF368" t="str">
        <f>HYPERLINK("http://dx.doi.org/10.3390/rs12193179","http://dx.doi.org/10.3390/rs12193179")</f>
        <v>http://dx.doi.org/10.3390/rs12193179</v>
      </c>
      <c r="BG368" t="s">
        <v>74</v>
      </c>
      <c r="BH368" t="s">
        <v>74</v>
      </c>
      <c r="BI368">
        <v>19</v>
      </c>
      <c r="BJ368" t="s">
        <v>2092</v>
      </c>
      <c r="BK368" t="s">
        <v>100</v>
      </c>
      <c r="BL368" t="s">
        <v>2093</v>
      </c>
      <c r="BM368" t="s">
        <v>7681</v>
      </c>
      <c r="BN368" t="s">
        <v>74</v>
      </c>
      <c r="BO368" t="s">
        <v>202</v>
      </c>
      <c r="BP368" t="s">
        <v>74</v>
      </c>
      <c r="BQ368" t="s">
        <v>74</v>
      </c>
      <c r="BR368" t="s">
        <v>104</v>
      </c>
      <c r="BS368" t="s">
        <v>7682</v>
      </c>
      <c r="BT368" t="str">
        <f>HYPERLINK("https%3A%2F%2Fwww.webofscience.com%2Fwos%2Fwoscc%2Ffull-record%2FWOS:000586491400001","View Full Record in Web of Science")</f>
        <v>View Full Record in Web of Science</v>
      </c>
    </row>
    <row r="369" spans="1:72" x14ac:dyDescent="0.15">
      <c r="A369" t="s">
        <v>72</v>
      </c>
      <c r="B369" t="s">
        <v>7683</v>
      </c>
      <c r="C369" t="s">
        <v>74</v>
      </c>
      <c r="D369" t="s">
        <v>74</v>
      </c>
      <c r="E369" t="s">
        <v>74</v>
      </c>
      <c r="F369" t="s">
        <v>7684</v>
      </c>
      <c r="G369" t="s">
        <v>74</v>
      </c>
      <c r="H369" t="s">
        <v>74</v>
      </c>
      <c r="I369" t="s">
        <v>7685</v>
      </c>
      <c r="J369" t="s">
        <v>7686</v>
      </c>
      <c r="K369" t="s">
        <v>74</v>
      </c>
      <c r="L369" t="s">
        <v>74</v>
      </c>
      <c r="M369" t="s">
        <v>78</v>
      </c>
      <c r="N369" t="s">
        <v>79</v>
      </c>
      <c r="O369" t="s">
        <v>74</v>
      </c>
      <c r="P369" t="s">
        <v>74</v>
      </c>
      <c r="Q369" t="s">
        <v>74</v>
      </c>
      <c r="R369" t="s">
        <v>74</v>
      </c>
      <c r="S369" t="s">
        <v>74</v>
      </c>
      <c r="T369" t="s">
        <v>7687</v>
      </c>
      <c r="U369" t="s">
        <v>7688</v>
      </c>
      <c r="V369" t="s">
        <v>7689</v>
      </c>
      <c r="W369" t="s">
        <v>7690</v>
      </c>
      <c r="X369" t="s">
        <v>7691</v>
      </c>
      <c r="Y369" t="s">
        <v>7692</v>
      </c>
      <c r="Z369" t="s">
        <v>7693</v>
      </c>
      <c r="AA369" t="s">
        <v>7694</v>
      </c>
      <c r="AB369" t="s">
        <v>7695</v>
      </c>
      <c r="AC369" t="s">
        <v>7696</v>
      </c>
      <c r="AD369" t="s">
        <v>7697</v>
      </c>
      <c r="AE369" t="s">
        <v>7698</v>
      </c>
      <c r="AF369" t="s">
        <v>74</v>
      </c>
      <c r="AG369">
        <v>41</v>
      </c>
      <c r="AH369">
        <v>1</v>
      </c>
      <c r="AI369">
        <v>1</v>
      </c>
      <c r="AJ369">
        <v>1</v>
      </c>
      <c r="AK369">
        <v>32</v>
      </c>
      <c r="AL369" t="s">
        <v>7699</v>
      </c>
      <c r="AM369" t="s">
        <v>7700</v>
      </c>
      <c r="AN369" t="s">
        <v>7701</v>
      </c>
      <c r="AO369" t="s">
        <v>7702</v>
      </c>
      <c r="AP369" t="s">
        <v>74</v>
      </c>
      <c r="AQ369" t="s">
        <v>74</v>
      </c>
      <c r="AR369" t="s">
        <v>7703</v>
      </c>
      <c r="AS369" t="s">
        <v>7704</v>
      </c>
      <c r="AT369" t="s">
        <v>6558</v>
      </c>
      <c r="AU369">
        <v>2020</v>
      </c>
      <c r="AV369">
        <v>49</v>
      </c>
      <c r="AW369">
        <v>10</v>
      </c>
      <c r="AX369" t="s">
        <v>74</v>
      </c>
      <c r="AY369" t="s">
        <v>74</v>
      </c>
      <c r="AZ369" t="s">
        <v>74</v>
      </c>
      <c r="BA369" t="s">
        <v>74</v>
      </c>
      <c r="BB369">
        <v>2335</v>
      </c>
      <c r="BC369">
        <v>2344</v>
      </c>
      <c r="BD369" t="s">
        <v>74</v>
      </c>
      <c r="BE369" t="s">
        <v>7705</v>
      </c>
      <c r="BF369" t="str">
        <f>HYPERLINK("http://dx.doi.org/10.17576/jsm-2020-4910-01","http://dx.doi.org/10.17576/jsm-2020-4910-01")</f>
        <v>http://dx.doi.org/10.17576/jsm-2020-4910-01</v>
      </c>
      <c r="BG369" t="s">
        <v>74</v>
      </c>
      <c r="BH369" t="s">
        <v>74</v>
      </c>
      <c r="BI369">
        <v>10</v>
      </c>
      <c r="BJ369" t="s">
        <v>329</v>
      </c>
      <c r="BK369" t="s">
        <v>100</v>
      </c>
      <c r="BL369" t="s">
        <v>330</v>
      </c>
      <c r="BM369" t="s">
        <v>7706</v>
      </c>
      <c r="BN369" t="s">
        <v>74</v>
      </c>
      <c r="BO369" t="s">
        <v>7707</v>
      </c>
      <c r="BP369" t="s">
        <v>74</v>
      </c>
      <c r="BQ369" t="s">
        <v>74</v>
      </c>
      <c r="BR369" t="s">
        <v>104</v>
      </c>
      <c r="BS369" t="s">
        <v>7708</v>
      </c>
      <c r="BT369" t="str">
        <f>HYPERLINK("https%3A%2F%2Fwww.webofscience.com%2Fwos%2Fwoscc%2Ffull-record%2FWOS:000587250100001","View Full Record in Web of Science")</f>
        <v>View Full Record in Web of Science</v>
      </c>
    </row>
    <row r="370" spans="1:72" x14ac:dyDescent="0.15">
      <c r="A370" t="s">
        <v>72</v>
      </c>
      <c r="B370" t="s">
        <v>7709</v>
      </c>
      <c r="C370" t="s">
        <v>74</v>
      </c>
      <c r="D370" t="s">
        <v>74</v>
      </c>
      <c r="E370" t="s">
        <v>74</v>
      </c>
      <c r="F370" t="s">
        <v>7710</v>
      </c>
      <c r="G370" t="s">
        <v>74</v>
      </c>
      <c r="H370" t="s">
        <v>74</v>
      </c>
      <c r="I370" t="s">
        <v>7711</v>
      </c>
      <c r="J370" t="s">
        <v>1985</v>
      </c>
      <c r="K370" t="s">
        <v>74</v>
      </c>
      <c r="L370" t="s">
        <v>74</v>
      </c>
      <c r="M370" t="s">
        <v>78</v>
      </c>
      <c r="N370" t="s">
        <v>79</v>
      </c>
      <c r="O370" t="s">
        <v>74</v>
      </c>
      <c r="P370" t="s">
        <v>74</v>
      </c>
      <c r="Q370" t="s">
        <v>74</v>
      </c>
      <c r="R370" t="s">
        <v>74</v>
      </c>
      <c r="S370" t="s">
        <v>74</v>
      </c>
      <c r="T370" t="s">
        <v>7712</v>
      </c>
      <c r="U370" t="s">
        <v>7713</v>
      </c>
      <c r="V370" t="s">
        <v>7714</v>
      </c>
      <c r="W370" t="s">
        <v>7715</v>
      </c>
      <c r="X370" t="s">
        <v>7716</v>
      </c>
      <c r="Y370" t="s">
        <v>7717</v>
      </c>
      <c r="Z370" t="s">
        <v>7718</v>
      </c>
      <c r="AA370" t="s">
        <v>7719</v>
      </c>
      <c r="AB370" t="s">
        <v>7720</v>
      </c>
      <c r="AC370" t="s">
        <v>7721</v>
      </c>
      <c r="AD370" t="s">
        <v>7721</v>
      </c>
      <c r="AE370" t="s">
        <v>7722</v>
      </c>
      <c r="AF370" t="s">
        <v>74</v>
      </c>
      <c r="AG370">
        <v>79</v>
      </c>
      <c r="AH370">
        <v>11</v>
      </c>
      <c r="AI370">
        <v>11</v>
      </c>
      <c r="AJ370">
        <v>0</v>
      </c>
      <c r="AK370">
        <v>31</v>
      </c>
      <c r="AL370" t="s">
        <v>1710</v>
      </c>
      <c r="AM370" t="s">
        <v>609</v>
      </c>
      <c r="AN370" t="s">
        <v>1711</v>
      </c>
      <c r="AO370" t="s">
        <v>1998</v>
      </c>
      <c r="AP370" t="s">
        <v>1999</v>
      </c>
      <c r="AQ370" t="s">
        <v>74</v>
      </c>
      <c r="AR370" t="s">
        <v>2000</v>
      </c>
      <c r="AS370" t="s">
        <v>2001</v>
      </c>
      <c r="AT370" t="s">
        <v>6558</v>
      </c>
      <c r="AU370">
        <v>2020</v>
      </c>
      <c r="AV370">
        <v>34</v>
      </c>
      <c r="AW370">
        <v>10</v>
      </c>
      <c r="AX370" t="s">
        <v>74</v>
      </c>
      <c r="AY370" t="s">
        <v>74</v>
      </c>
      <c r="AZ370" t="s">
        <v>74</v>
      </c>
      <c r="BA370" t="s">
        <v>74</v>
      </c>
      <c r="BB370" t="s">
        <v>74</v>
      </c>
      <c r="BC370" t="s">
        <v>74</v>
      </c>
      <c r="BD370" t="s">
        <v>7723</v>
      </c>
      <c r="BE370" t="s">
        <v>7724</v>
      </c>
      <c r="BF370" t="str">
        <f>HYPERLINK("http://dx.doi.org/10.1029/2019GB006456","http://dx.doi.org/10.1029/2019GB006456")</f>
        <v>http://dx.doi.org/10.1029/2019GB006456</v>
      </c>
      <c r="BG370" t="s">
        <v>74</v>
      </c>
      <c r="BH370" t="s">
        <v>74</v>
      </c>
      <c r="BI370">
        <v>21</v>
      </c>
      <c r="BJ370" t="s">
        <v>846</v>
      </c>
      <c r="BK370" t="s">
        <v>100</v>
      </c>
      <c r="BL370" t="s">
        <v>847</v>
      </c>
      <c r="BM370" t="s">
        <v>7725</v>
      </c>
      <c r="BN370" t="s">
        <v>74</v>
      </c>
      <c r="BO370" t="s">
        <v>1259</v>
      </c>
      <c r="BP370" t="s">
        <v>74</v>
      </c>
      <c r="BQ370" t="s">
        <v>74</v>
      </c>
      <c r="BR370" t="s">
        <v>104</v>
      </c>
      <c r="BS370" t="s">
        <v>7726</v>
      </c>
      <c r="BT370" t="str">
        <f>HYPERLINK("https%3A%2F%2Fwww.webofscience.com%2Fwos%2Fwoscc%2Ffull-record%2FWOS:000586572100007","View Full Record in Web of Science")</f>
        <v>View Full Record in Web of Science</v>
      </c>
    </row>
    <row r="371" spans="1:72" x14ac:dyDescent="0.15">
      <c r="A371" t="s">
        <v>72</v>
      </c>
      <c r="B371" t="s">
        <v>7727</v>
      </c>
      <c r="C371" t="s">
        <v>74</v>
      </c>
      <c r="D371" t="s">
        <v>74</v>
      </c>
      <c r="E371" t="s">
        <v>74</v>
      </c>
      <c r="F371" t="s">
        <v>7728</v>
      </c>
      <c r="G371" t="s">
        <v>74</v>
      </c>
      <c r="H371" t="s">
        <v>74</v>
      </c>
      <c r="I371" t="s">
        <v>7729</v>
      </c>
      <c r="J371" t="s">
        <v>2026</v>
      </c>
      <c r="K371" t="s">
        <v>74</v>
      </c>
      <c r="L371" t="s">
        <v>74</v>
      </c>
      <c r="M371" t="s">
        <v>78</v>
      </c>
      <c r="N371" t="s">
        <v>79</v>
      </c>
      <c r="O371" t="s">
        <v>74</v>
      </c>
      <c r="P371" t="s">
        <v>74</v>
      </c>
      <c r="Q371" t="s">
        <v>74</v>
      </c>
      <c r="R371" t="s">
        <v>74</v>
      </c>
      <c r="S371" t="s">
        <v>74</v>
      </c>
      <c r="T371" t="s">
        <v>74</v>
      </c>
      <c r="U371" t="s">
        <v>7730</v>
      </c>
      <c r="V371" t="s">
        <v>7731</v>
      </c>
      <c r="W371" t="s">
        <v>7732</v>
      </c>
      <c r="X371" t="s">
        <v>7733</v>
      </c>
      <c r="Y371" t="s">
        <v>7734</v>
      </c>
      <c r="Z371" t="s">
        <v>7735</v>
      </c>
      <c r="AA371" t="s">
        <v>74</v>
      </c>
      <c r="AB371" t="s">
        <v>74</v>
      </c>
      <c r="AC371" t="s">
        <v>7736</v>
      </c>
      <c r="AD371" t="s">
        <v>7737</v>
      </c>
      <c r="AE371" t="s">
        <v>7738</v>
      </c>
      <c r="AF371" t="s">
        <v>74</v>
      </c>
      <c r="AG371">
        <v>54</v>
      </c>
      <c r="AH371">
        <v>5</v>
      </c>
      <c r="AI371">
        <v>5</v>
      </c>
      <c r="AJ371">
        <v>1</v>
      </c>
      <c r="AK371">
        <v>4</v>
      </c>
      <c r="AL371" t="s">
        <v>1710</v>
      </c>
      <c r="AM371" t="s">
        <v>609</v>
      </c>
      <c r="AN371" t="s">
        <v>1711</v>
      </c>
      <c r="AO371" t="s">
        <v>2038</v>
      </c>
      <c r="AP371" t="s">
        <v>2039</v>
      </c>
      <c r="AQ371" t="s">
        <v>74</v>
      </c>
      <c r="AR371" t="s">
        <v>2040</v>
      </c>
      <c r="AS371" t="s">
        <v>2041</v>
      </c>
      <c r="AT371" t="s">
        <v>6558</v>
      </c>
      <c r="AU371">
        <v>2020</v>
      </c>
      <c r="AV371">
        <v>125</v>
      </c>
      <c r="AW371">
        <v>10</v>
      </c>
      <c r="AX371" t="s">
        <v>74</v>
      </c>
      <c r="AY371" t="s">
        <v>74</v>
      </c>
      <c r="AZ371" t="s">
        <v>74</v>
      </c>
      <c r="BA371" t="s">
        <v>74</v>
      </c>
      <c r="BB371" t="s">
        <v>74</v>
      </c>
      <c r="BC371" t="s">
        <v>74</v>
      </c>
      <c r="BD371" t="s">
        <v>7739</v>
      </c>
      <c r="BE371" t="s">
        <v>7740</v>
      </c>
      <c r="BF371" t="str">
        <f>HYPERLINK("http://dx.doi.org/10.1029/2019JF005493","http://dx.doi.org/10.1029/2019JF005493")</f>
        <v>http://dx.doi.org/10.1029/2019JF005493</v>
      </c>
      <c r="BG371" t="s">
        <v>74</v>
      </c>
      <c r="BH371" t="s">
        <v>74</v>
      </c>
      <c r="BI371">
        <v>19</v>
      </c>
      <c r="BJ371" t="s">
        <v>534</v>
      </c>
      <c r="BK371" t="s">
        <v>100</v>
      </c>
      <c r="BL371" t="s">
        <v>535</v>
      </c>
      <c r="BM371" t="s">
        <v>7741</v>
      </c>
      <c r="BN371" t="s">
        <v>74</v>
      </c>
      <c r="BO371" t="s">
        <v>775</v>
      </c>
      <c r="BP371" t="s">
        <v>74</v>
      </c>
      <c r="BQ371" t="s">
        <v>74</v>
      </c>
      <c r="BR371" t="s">
        <v>104</v>
      </c>
      <c r="BS371" t="s">
        <v>7742</v>
      </c>
      <c r="BT371" t="str">
        <f>HYPERLINK("https%3A%2F%2Fwww.webofscience.com%2Fwos%2Fwoscc%2Ffull-record%2FWOS:000586451100005","View Full Record in Web of Science")</f>
        <v>View Full Record in Web of Science</v>
      </c>
    </row>
    <row r="372" spans="1:72" x14ac:dyDescent="0.15">
      <c r="A372" t="s">
        <v>72</v>
      </c>
      <c r="B372" t="s">
        <v>7743</v>
      </c>
      <c r="C372" t="s">
        <v>74</v>
      </c>
      <c r="D372" t="s">
        <v>74</v>
      </c>
      <c r="E372" t="s">
        <v>74</v>
      </c>
      <c r="F372" t="s">
        <v>7744</v>
      </c>
      <c r="G372" t="s">
        <v>74</v>
      </c>
      <c r="H372" t="s">
        <v>74</v>
      </c>
      <c r="I372" t="s">
        <v>7745</v>
      </c>
      <c r="J372" t="s">
        <v>2026</v>
      </c>
      <c r="K372" t="s">
        <v>74</v>
      </c>
      <c r="L372" t="s">
        <v>74</v>
      </c>
      <c r="M372" t="s">
        <v>78</v>
      </c>
      <c r="N372" t="s">
        <v>79</v>
      </c>
      <c r="O372" t="s">
        <v>74</v>
      </c>
      <c r="P372" t="s">
        <v>74</v>
      </c>
      <c r="Q372" t="s">
        <v>74</v>
      </c>
      <c r="R372" t="s">
        <v>74</v>
      </c>
      <c r="S372" t="s">
        <v>74</v>
      </c>
      <c r="T372" t="s">
        <v>7746</v>
      </c>
      <c r="U372" t="s">
        <v>7747</v>
      </c>
      <c r="V372" t="s">
        <v>7748</v>
      </c>
      <c r="W372" t="s">
        <v>7749</v>
      </c>
      <c r="X372" t="s">
        <v>7750</v>
      </c>
      <c r="Y372" t="s">
        <v>7751</v>
      </c>
      <c r="Z372" t="s">
        <v>7752</v>
      </c>
      <c r="AA372" t="s">
        <v>7753</v>
      </c>
      <c r="AB372" t="s">
        <v>7754</v>
      </c>
      <c r="AC372" t="s">
        <v>7755</v>
      </c>
      <c r="AD372" t="s">
        <v>7756</v>
      </c>
      <c r="AE372" t="s">
        <v>7757</v>
      </c>
      <c r="AF372" t="s">
        <v>74</v>
      </c>
      <c r="AG372">
        <v>83</v>
      </c>
      <c r="AH372">
        <v>21</v>
      </c>
      <c r="AI372">
        <v>23</v>
      </c>
      <c r="AJ372">
        <v>3</v>
      </c>
      <c r="AK372">
        <v>13</v>
      </c>
      <c r="AL372" t="s">
        <v>1710</v>
      </c>
      <c r="AM372" t="s">
        <v>609</v>
      </c>
      <c r="AN372" t="s">
        <v>1711</v>
      </c>
      <c r="AO372" t="s">
        <v>2038</v>
      </c>
      <c r="AP372" t="s">
        <v>2039</v>
      </c>
      <c r="AQ372" t="s">
        <v>74</v>
      </c>
      <c r="AR372" t="s">
        <v>2040</v>
      </c>
      <c r="AS372" t="s">
        <v>2041</v>
      </c>
      <c r="AT372" t="s">
        <v>6558</v>
      </c>
      <c r="AU372">
        <v>2020</v>
      </c>
      <c r="AV372">
        <v>125</v>
      </c>
      <c r="AW372">
        <v>10</v>
      </c>
      <c r="AX372" t="s">
        <v>74</v>
      </c>
      <c r="AY372" t="s">
        <v>74</v>
      </c>
      <c r="AZ372" t="s">
        <v>74</v>
      </c>
      <c r="BA372" t="s">
        <v>74</v>
      </c>
      <c r="BB372" t="s">
        <v>74</v>
      </c>
      <c r="BC372" t="s">
        <v>74</v>
      </c>
      <c r="BD372" t="s">
        <v>7758</v>
      </c>
      <c r="BE372" t="s">
        <v>7759</v>
      </c>
      <c r="BF372" t="str">
        <f>HYPERLINK("http://dx.doi.org/10.1029/2019JF005418","http://dx.doi.org/10.1029/2019JF005418")</f>
        <v>http://dx.doi.org/10.1029/2019JF005418</v>
      </c>
      <c r="BG372" t="s">
        <v>74</v>
      </c>
      <c r="BH372" t="s">
        <v>74</v>
      </c>
      <c r="BI372">
        <v>19</v>
      </c>
      <c r="BJ372" t="s">
        <v>534</v>
      </c>
      <c r="BK372" t="s">
        <v>100</v>
      </c>
      <c r="BL372" t="s">
        <v>535</v>
      </c>
      <c r="BM372" t="s">
        <v>7741</v>
      </c>
      <c r="BN372" t="s">
        <v>74</v>
      </c>
      <c r="BO372" t="s">
        <v>564</v>
      </c>
      <c r="BP372" t="s">
        <v>74</v>
      </c>
      <c r="BQ372" t="s">
        <v>74</v>
      </c>
      <c r="BR372" t="s">
        <v>104</v>
      </c>
      <c r="BS372" t="s">
        <v>7760</v>
      </c>
      <c r="BT372" t="str">
        <f>HYPERLINK("https%3A%2F%2Fwww.webofscience.com%2Fwos%2Fwoscc%2Ffull-record%2FWOS:000586451100011","View Full Record in Web of Science")</f>
        <v>View Full Record in Web of Science</v>
      </c>
    </row>
    <row r="373" spans="1:72" x14ac:dyDescent="0.15">
      <c r="A373" t="s">
        <v>72</v>
      </c>
      <c r="B373" t="s">
        <v>7761</v>
      </c>
      <c r="C373" t="s">
        <v>74</v>
      </c>
      <c r="D373" t="s">
        <v>74</v>
      </c>
      <c r="E373" t="s">
        <v>74</v>
      </c>
      <c r="F373" t="s">
        <v>7762</v>
      </c>
      <c r="G373" t="s">
        <v>74</v>
      </c>
      <c r="H373" t="s">
        <v>74</v>
      </c>
      <c r="I373" t="s">
        <v>7763</v>
      </c>
      <c r="J373" t="s">
        <v>7764</v>
      </c>
      <c r="K373" t="s">
        <v>74</v>
      </c>
      <c r="L373" t="s">
        <v>74</v>
      </c>
      <c r="M373" t="s">
        <v>78</v>
      </c>
      <c r="N373" t="s">
        <v>79</v>
      </c>
      <c r="O373" t="s">
        <v>74</v>
      </c>
      <c r="P373" t="s">
        <v>74</v>
      </c>
      <c r="Q373" t="s">
        <v>74</v>
      </c>
      <c r="R373" t="s">
        <v>74</v>
      </c>
      <c r="S373" t="s">
        <v>74</v>
      </c>
      <c r="T373" t="s">
        <v>7765</v>
      </c>
      <c r="U373" t="s">
        <v>7766</v>
      </c>
      <c r="V373" t="s">
        <v>7767</v>
      </c>
      <c r="W373" t="s">
        <v>7768</v>
      </c>
      <c r="X373" t="s">
        <v>7769</v>
      </c>
      <c r="Y373" t="s">
        <v>7770</v>
      </c>
      <c r="Z373" t="s">
        <v>7771</v>
      </c>
      <c r="AA373" t="s">
        <v>7772</v>
      </c>
      <c r="AB373" t="s">
        <v>7773</v>
      </c>
      <c r="AC373" t="s">
        <v>7774</v>
      </c>
      <c r="AD373" t="s">
        <v>7775</v>
      </c>
      <c r="AE373" t="s">
        <v>7776</v>
      </c>
      <c r="AF373" t="s">
        <v>74</v>
      </c>
      <c r="AG373">
        <v>29</v>
      </c>
      <c r="AH373">
        <v>3</v>
      </c>
      <c r="AI373">
        <v>3</v>
      </c>
      <c r="AJ373">
        <v>2</v>
      </c>
      <c r="AK373">
        <v>10</v>
      </c>
      <c r="AL373" t="s">
        <v>7777</v>
      </c>
      <c r="AM373" t="s">
        <v>7778</v>
      </c>
      <c r="AN373" t="s">
        <v>7779</v>
      </c>
      <c r="AO373" t="s">
        <v>7780</v>
      </c>
      <c r="AP373" t="s">
        <v>7781</v>
      </c>
      <c r="AQ373" t="s">
        <v>74</v>
      </c>
      <c r="AR373" t="s">
        <v>7782</v>
      </c>
      <c r="AS373" t="s">
        <v>7783</v>
      </c>
      <c r="AT373" t="s">
        <v>6558</v>
      </c>
      <c r="AU373">
        <v>2020</v>
      </c>
      <c r="AV373">
        <v>115</v>
      </c>
      <c r="AW373">
        <v>5</v>
      </c>
      <c r="AX373" t="s">
        <v>74</v>
      </c>
      <c r="AY373" t="s">
        <v>74</v>
      </c>
      <c r="AZ373" t="s">
        <v>74</v>
      </c>
      <c r="BA373" t="s">
        <v>74</v>
      </c>
      <c r="BB373">
        <v>407</v>
      </c>
      <c r="BC373">
        <v>415</v>
      </c>
      <c r="BD373" t="s">
        <v>74</v>
      </c>
      <c r="BE373" t="s">
        <v>7784</v>
      </c>
      <c r="BF373" t="str">
        <f>HYPERLINK("http://dx.doi.org/10.2465/jmps.181227","http://dx.doi.org/10.2465/jmps.181227")</f>
        <v>http://dx.doi.org/10.2465/jmps.181227</v>
      </c>
      <c r="BG373" t="s">
        <v>74</v>
      </c>
      <c r="BH373" t="s">
        <v>74</v>
      </c>
      <c r="BI373">
        <v>9</v>
      </c>
      <c r="BJ373" t="s">
        <v>7785</v>
      </c>
      <c r="BK373" t="s">
        <v>100</v>
      </c>
      <c r="BL373" t="s">
        <v>7785</v>
      </c>
      <c r="BM373" t="s">
        <v>7786</v>
      </c>
      <c r="BN373" t="s">
        <v>74</v>
      </c>
      <c r="BO373" t="s">
        <v>202</v>
      </c>
      <c r="BP373" t="s">
        <v>74</v>
      </c>
      <c r="BQ373" t="s">
        <v>74</v>
      </c>
      <c r="BR373" t="s">
        <v>104</v>
      </c>
      <c r="BS373" t="s">
        <v>7787</v>
      </c>
      <c r="BT373" t="str">
        <f>HYPERLINK("https%3A%2F%2Fwww.webofscience.com%2Fwos%2Fwoscc%2Ffull-record%2FWOS:000586427300004","View Full Record in Web of Science")</f>
        <v>View Full Record in Web of Science</v>
      </c>
    </row>
    <row r="374" spans="1:72" x14ac:dyDescent="0.15">
      <c r="A374" t="s">
        <v>72</v>
      </c>
      <c r="B374" t="s">
        <v>7788</v>
      </c>
      <c r="C374" t="s">
        <v>74</v>
      </c>
      <c r="D374" t="s">
        <v>74</v>
      </c>
      <c r="E374" t="s">
        <v>74</v>
      </c>
      <c r="F374" t="s">
        <v>7789</v>
      </c>
      <c r="G374" t="s">
        <v>74</v>
      </c>
      <c r="H374" t="s">
        <v>74</v>
      </c>
      <c r="I374" t="s">
        <v>7790</v>
      </c>
      <c r="J374" t="s">
        <v>7791</v>
      </c>
      <c r="K374" t="s">
        <v>74</v>
      </c>
      <c r="L374" t="s">
        <v>74</v>
      </c>
      <c r="M374" t="s">
        <v>78</v>
      </c>
      <c r="N374" t="s">
        <v>79</v>
      </c>
      <c r="O374" t="s">
        <v>74</v>
      </c>
      <c r="P374" t="s">
        <v>74</v>
      </c>
      <c r="Q374" t="s">
        <v>74</v>
      </c>
      <c r="R374" t="s">
        <v>74</v>
      </c>
      <c r="S374" t="s">
        <v>74</v>
      </c>
      <c r="T374" t="s">
        <v>7792</v>
      </c>
      <c r="U374" t="s">
        <v>7793</v>
      </c>
      <c r="V374" t="s">
        <v>7794</v>
      </c>
      <c r="W374" t="s">
        <v>7795</v>
      </c>
      <c r="X374" t="s">
        <v>7796</v>
      </c>
      <c r="Y374" t="s">
        <v>7797</v>
      </c>
      <c r="Z374" t="s">
        <v>7798</v>
      </c>
      <c r="AA374" t="s">
        <v>7799</v>
      </c>
      <c r="AB374" t="s">
        <v>7800</v>
      </c>
      <c r="AC374" t="s">
        <v>7801</v>
      </c>
      <c r="AD374" t="s">
        <v>7802</v>
      </c>
      <c r="AE374" t="s">
        <v>7803</v>
      </c>
      <c r="AF374" t="s">
        <v>74</v>
      </c>
      <c r="AG374">
        <v>39</v>
      </c>
      <c r="AH374">
        <v>9</v>
      </c>
      <c r="AI374">
        <v>9</v>
      </c>
      <c r="AJ374">
        <v>1</v>
      </c>
      <c r="AK374">
        <v>11</v>
      </c>
      <c r="AL374" t="s">
        <v>2085</v>
      </c>
      <c r="AM374" t="s">
        <v>2086</v>
      </c>
      <c r="AN374" t="s">
        <v>2087</v>
      </c>
      <c r="AO374" t="s">
        <v>74</v>
      </c>
      <c r="AP374" t="s">
        <v>7804</v>
      </c>
      <c r="AQ374" t="s">
        <v>74</v>
      </c>
      <c r="AR374" t="s">
        <v>7791</v>
      </c>
      <c r="AS374" t="s">
        <v>7805</v>
      </c>
      <c r="AT374" t="s">
        <v>6558</v>
      </c>
      <c r="AU374">
        <v>2020</v>
      </c>
      <c r="AV374">
        <v>9</v>
      </c>
      <c r="AW374">
        <v>10</v>
      </c>
      <c r="AX374" t="s">
        <v>74</v>
      </c>
      <c r="AY374" t="s">
        <v>74</v>
      </c>
      <c r="AZ374" t="s">
        <v>74</v>
      </c>
      <c r="BA374" t="s">
        <v>74</v>
      </c>
      <c r="BB374" t="s">
        <v>74</v>
      </c>
      <c r="BC374" t="s">
        <v>74</v>
      </c>
      <c r="BD374">
        <v>1307</v>
      </c>
      <c r="BE374" t="s">
        <v>7806</v>
      </c>
      <c r="BF374" t="str">
        <f>HYPERLINK("http://dx.doi.org/10.3390/plants9101307","http://dx.doi.org/10.3390/plants9101307")</f>
        <v>http://dx.doi.org/10.3390/plants9101307</v>
      </c>
      <c r="BG374" t="s">
        <v>74</v>
      </c>
      <c r="BH374" t="s">
        <v>74</v>
      </c>
      <c r="BI374">
        <v>11</v>
      </c>
      <c r="BJ374" t="s">
        <v>176</v>
      </c>
      <c r="BK374" t="s">
        <v>100</v>
      </c>
      <c r="BL374" t="s">
        <v>176</v>
      </c>
      <c r="BM374" t="s">
        <v>7807</v>
      </c>
      <c r="BN374">
        <v>33023238</v>
      </c>
      <c r="BO374" t="s">
        <v>332</v>
      </c>
      <c r="BP374" t="s">
        <v>74</v>
      </c>
      <c r="BQ374" t="s">
        <v>74</v>
      </c>
      <c r="BR374" t="s">
        <v>104</v>
      </c>
      <c r="BS374" t="s">
        <v>7808</v>
      </c>
      <c r="BT374" t="str">
        <f>HYPERLINK("https%3A%2F%2Fwww.webofscience.com%2Fwos%2Fwoscc%2Ffull-record%2FWOS:000586935000001","View Full Record in Web of Science")</f>
        <v>View Full Record in Web of Science</v>
      </c>
    </row>
    <row r="375" spans="1:72" x14ac:dyDescent="0.15">
      <c r="A375" t="s">
        <v>72</v>
      </c>
      <c r="B375" t="s">
        <v>7809</v>
      </c>
      <c r="C375" t="s">
        <v>74</v>
      </c>
      <c r="D375" t="s">
        <v>74</v>
      </c>
      <c r="E375" t="s">
        <v>74</v>
      </c>
      <c r="F375" t="s">
        <v>7810</v>
      </c>
      <c r="G375" t="s">
        <v>74</v>
      </c>
      <c r="H375" t="s">
        <v>74</v>
      </c>
      <c r="I375" t="s">
        <v>7811</v>
      </c>
      <c r="J375" t="s">
        <v>2173</v>
      </c>
      <c r="K375" t="s">
        <v>74</v>
      </c>
      <c r="L375" t="s">
        <v>74</v>
      </c>
      <c r="M375" t="s">
        <v>78</v>
      </c>
      <c r="N375" t="s">
        <v>79</v>
      </c>
      <c r="O375" t="s">
        <v>74</v>
      </c>
      <c r="P375" t="s">
        <v>74</v>
      </c>
      <c r="Q375" t="s">
        <v>74</v>
      </c>
      <c r="R375" t="s">
        <v>74</v>
      </c>
      <c r="S375" t="s">
        <v>74</v>
      </c>
      <c r="T375" t="s">
        <v>7812</v>
      </c>
      <c r="U375" t="s">
        <v>7813</v>
      </c>
      <c r="V375" t="s">
        <v>7814</v>
      </c>
      <c r="W375" t="s">
        <v>7815</v>
      </c>
      <c r="X375" t="s">
        <v>7816</v>
      </c>
      <c r="Y375" t="s">
        <v>7817</v>
      </c>
      <c r="Z375" t="s">
        <v>7818</v>
      </c>
      <c r="AA375" t="s">
        <v>74</v>
      </c>
      <c r="AB375" t="s">
        <v>74</v>
      </c>
      <c r="AC375" t="s">
        <v>7819</v>
      </c>
      <c r="AD375" t="s">
        <v>2705</v>
      </c>
      <c r="AE375" t="s">
        <v>7820</v>
      </c>
      <c r="AF375" t="s">
        <v>74</v>
      </c>
      <c r="AG375">
        <v>62</v>
      </c>
      <c r="AH375">
        <v>9</v>
      </c>
      <c r="AI375">
        <v>9</v>
      </c>
      <c r="AJ375">
        <v>2</v>
      </c>
      <c r="AK375">
        <v>13</v>
      </c>
      <c r="AL375" t="s">
        <v>2085</v>
      </c>
      <c r="AM375" t="s">
        <v>2086</v>
      </c>
      <c r="AN375" t="s">
        <v>2087</v>
      </c>
      <c r="AO375" t="s">
        <v>74</v>
      </c>
      <c r="AP375" t="s">
        <v>2185</v>
      </c>
      <c r="AQ375" t="s">
        <v>74</v>
      </c>
      <c r="AR375" t="s">
        <v>2186</v>
      </c>
      <c r="AS375" t="s">
        <v>2187</v>
      </c>
      <c r="AT375" t="s">
        <v>6558</v>
      </c>
      <c r="AU375">
        <v>2020</v>
      </c>
      <c r="AV375">
        <v>8</v>
      </c>
      <c r="AW375">
        <v>10</v>
      </c>
      <c r="AX375" t="s">
        <v>74</v>
      </c>
      <c r="AY375" t="s">
        <v>74</v>
      </c>
      <c r="AZ375" t="s">
        <v>74</v>
      </c>
      <c r="BA375" t="s">
        <v>74</v>
      </c>
      <c r="BB375" t="s">
        <v>74</v>
      </c>
      <c r="BC375" t="s">
        <v>74</v>
      </c>
      <c r="BD375">
        <v>822</v>
      </c>
      <c r="BE375" t="s">
        <v>7821</v>
      </c>
      <c r="BF375" t="str">
        <f>HYPERLINK("http://dx.doi.org/10.3390/jmse8100822","http://dx.doi.org/10.3390/jmse8100822")</f>
        <v>http://dx.doi.org/10.3390/jmse8100822</v>
      </c>
      <c r="BG375" t="s">
        <v>74</v>
      </c>
      <c r="BH375" t="s">
        <v>74</v>
      </c>
      <c r="BI375">
        <v>14</v>
      </c>
      <c r="BJ375" t="s">
        <v>2189</v>
      </c>
      <c r="BK375" t="s">
        <v>100</v>
      </c>
      <c r="BL375" t="s">
        <v>2190</v>
      </c>
      <c r="BM375" t="s">
        <v>7822</v>
      </c>
      <c r="BN375" t="s">
        <v>74</v>
      </c>
      <c r="BO375" t="s">
        <v>202</v>
      </c>
      <c r="BP375" t="s">
        <v>74</v>
      </c>
      <c r="BQ375" t="s">
        <v>74</v>
      </c>
      <c r="BR375" t="s">
        <v>104</v>
      </c>
      <c r="BS375" t="s">
        <v>7823</v>
      </c>
      <c r="BT375" t="str">
        <f>HYPERLINK("https%3A%2F%2Fwww.webofscience.com%2Fwos%2Fwoscc%2Ffull-record%2FWOS:000586165600001","View Full Record in Web of Science")</f>
        <v>View Full Record in Web of Science</v>
      </c>
    </row>
    <row r="376" spans="1:72" x14ac:dyDescent="0.15">
      <c r="A376" t="s">
        <v>72</v>
      </c>
      <c r="B376" t="s">
        <v>7824</v>
      </c>
      <c r="C376" t="s">
        <v>74</v>
      </c>
      <c r="D376" t="s">
        <v>74</v>
      </c>
      <c r="E376" t="s">
        <v>74</v>
      </c>
      <c r="F376" t="s">
        <v>7825</v>
      </c>
      <c r="G376" t="s">
        <v>74</v>
      </c>
      <c r="H376" t="s">
        <v>74</v>
      </c>
      <c r="I376" t="s">
        <v>7826</v>
      </c>
      <c r="J376" t="s">
        <v>7827</v>
      </c>
      <c r="K376" t="s">
        <v>74</v>
      </c>
      <c r="L376" t="s">
        <v>74</v>
      </c>
      <c r="M376" t="s">
        <v>78</v>
      </c>
      <c r="N376" t="s">
        <v>79</v>
      </c>
      <c r="O376" t="s">
        <v>74</v>
      </c>
      <c r="P376" t="s">
        <v>74</v>
      </c>
      <c r="Q376" t="s">
        <v>74</v>
      </c>
      <c r="R376" t="s">
        <v>74</v>
      </c>
      <c r="S376" t="s">
        <v>74</v>
      </c>
      <c r="T376" t="s">
        <v>7828</v>
      </c>
      <c r="U376" t="s">
        <v>7829</v>
      </c>
      <c r="V376" t="s">
        <v>7830</v>
      </c>
      <c r="W376" t="s">
        <v>7831</v>
      </c>
      <c r="X376" t="s">
        <v>7832</v>
      </c>
      <c r="Y376" t="s">
        <v>7833</v>
      </c>
      <c r="Z376" t="s">
        <v>7834</v>
      </c>
      <c r="AA376" t="s">
        <v>7835</v>
      </c>
      <c r="AB376" t="s">
        <v>7836</v>
      </c>
      <c r="AC376" t="s">
        <v>7837</v>
      </c>
      <c r="AD376" t="s">
        <v>7838</v>
      </c>
      <c r="AE376" t="s">
        <v>7839</v>
      </c>
      <c r="AF376" t="s">
        <v>74</v>
      </c>
      <c r="AG376">
        <v>56</v>
      </c>
      <c r="AH376">
        <v>6</v>
      </c>
      <c r="AI376">
        <v>7</v>
      </c>
      <c r="AJ376">
        <v>0</v>
      </c>
      <c r="AK376">
        <v>5</v>
      </c>
      <c r="AL376" t="s">
        <v>2085</v>
      </c>
      <c r="AM376" t="s">
        <v>2086</v>
      </c>
      <c r="AN376" t="s">
        <v>2087</v>
      </c>
      <c r="AO376" t="s">
        <v>7840</v>
      </c>
      <c r="AP376" t="s">
        <v>74</v>
      </c>
      <c r="AQ376" t="s">
        <v>74</v>
      </c>
      <c r="AR376" t="s">
        <v>7841</v>
      </c>
      <c r="AS376" t="s">
        <v>7842</v>
      </c>
      <c r="AT376" t="s">
        <v>6558</v>
      </c>
      <c r="AU376">
        <v>2020</v>
      </c>
      <c r="AV376">
        <v>10</v>
      </c>
      <c r="AW376">
        <v>10</v>
      </c>
      <c r="AX376" t="s">
        <v>74</v>
      </c>
      <c r="AY376" t="s">
        <v>74</v>
      </c>
      <c r="AZ376" t="s">
        <v>74</v>
      </c>
      <c r="BA376" t="s">
        <v>74</v>
      </c>
      <c r="BB376" t="s">
        <v>74</v>
      </c>
      <c r="BC376" t="s">
        <v>74</v>
      </c>
      <c r="BD376">
        <v>1820</v>
      </c>
      <c r="BE376" t="s">
        <v>7843</v>
      </c>
      <c r="BF376" t="str">
        <f>HYPERLINK("http://dx.doi.org/10.3390/ani10101820","http://dx.doi.org/10.3390/ani10101820")</f>
        <v>http://dx.doi.org/10.3390/ani10101820</v>
      </c>
      <c r="BG376" t="s">
        <v>74</v>
      </c>
      <c r="BH376" t="s">
        <v>74</v>
      </c>
      <c r="BI376">
        <v>8</v>
      </c>
      <c r="BJ376" t="s">
        <v>7844</v>
      </c>
      <c r="BK376" t="s">
        <v>100</v>
      </c>
      <c r="BL376" t="s">
        <v>7845</v>
      </c>
      <c r="BM376" t="s">
        <v>7846</v>
      </c>
      <c r="BN376">
        <v>33036253</v>
      </c>
      <c r="BO376" t="s">
        <v>5105</v>
      </c>
      <c r="BP376" t="s">
        <v>74</v>
      </c>
      <c r="BQ376" t="s">
        <v>74</v>
      </c>
      <c r="BR376" t="s">
        <v>104</v>
      </c>
      <c r="BS376" t="s">
        <v>7847</v>
      </c>
      <c r="BT376" t="str">
        <f>HYPERLINK("https%3A%2F%2Fwww.webofscience.com%2Fwos%2Fwoscc%2Ffull-record%2FWOS:000585461100001","View Full Record in Web of Science")</f>
        <v>View Full Record in Web of Science</v>
      </c>
    </row>
    <row r="377" spans="1:72" x14ac:dyDescent="0.15">
      <c r="A377" t="s">
        <v>72</v>
      </c>
      <c r="B377" t="s">
        <v>7848</v>
      </c>
      <c r="C377" t="s">
        <v>74</v>
      </c>
      <c r="D377" t="s">
        <v>74</v>
      </c>
      <c r="E377" t="s">
        <v>74</v>
      </c>
      <c r="F377" t="s">
        <v>7849</v>
      </c>
      <c r="G377" t="s">
        <v>74</v>
      </c>
      <c r="H377" t="s">
        <v>74</v>
      </c>
      <c r="I377" t="s">
        <v>7850</v>
      </c>
      <c r="J377" t="s">
        <v>7851</v>
      </c>
      <c r="K377" t="s">
        <v>74</v>
      </c>
      <c r="L377" t="s">
        <v>74</v>
      </c>
      <c r="M377" t="s">
        <v>78</v>
      </c>
      <c r="N377" t="s">
        <v>79</v>
      </c>
      <c r="O377" t="s">
        <v>74</v>
      </c>
      <c r="P377" t="s">
        <v>74</v>
      </c>
      <c r="Q377" t="s">
        <v>74</v>
      </c>
      <c r="R377" t="s">
        <v>74</v>
      </c>
      <c r="S377" t="s">
        <v>74</v>
      </c>
      <c r="T377" t="s">
        <v>7852</v>
      </c>
      <c r="U377" t="s">
        <v>7853</v>
      </c>
      <c r="V377" t="s">
        <v>7854</v>
      </c>
      <c r="W377" t="s">
        <v>7855</v>
      </c>
      <c r="X377" t="s">
        <v>7856</v>
      </c>
      <c r="Y377" t="s">
        <v>7857</v>
      </c>
      <c r="Z377" t="s">
        <v>7858</v>
      </c>
      <c r="AA377" t="s">
        <v>7859</v>
      </c>
      <c r="AB377" t="s">
        <v>7860</v>
      </c>
      <c r="AC377" t="s">
        <v>7861</v>
      </c>
      <c r="AD377" t="s">
        <v>7862</v>
      </c>
      <c r="AE377" t="s">
        <v>7863</v>
      </c>
      <c r="AF377" t="s">
        <v>74</v>
      </c>
      <c r="AG377">
        <v>61</v>
      </c>
      <c r="AH377">
        <v>4</v>
      </c>
      <c r="AI377">
        <v>4</v>
      </c>
      <c r="AJ377">
        <v>2</v>
      </c>
      <c r="AK377">
        <v>12</v>
      </c>
      <c r="AL377" t="s">
        <v>7864</v>
      </c>
      <c r="AM377" t="s">
        <v>6277</v>
      </c>
      <c r="AN377" t="s">
        <v>7865</v>
      </c>
      <c r="AO377" t="s">
        <v>7866</v>
      </c>
      <c r="AP377" t="s">
        <v>7867</v>
      </c>
      <c r="AQ377" t="s">
        <v>74</v>
      </c>
      <c r="AR377" t="s">
        <v>7868</v>
      </c>
      <c r="AS377" t="s">
        <v>7869</v>
      </c>
      <c r="AT377" t="s">
        <v>6558</v>
      </c>
      <c r="AU377">
        <v>2020</v>
      </c>
      <c r="AV377">
        <v>41</v>
      </c>
      <c r="AW377">
        <v>11</v>
      </c>
      <c r="AX377" t="s">
        <v>74</v>
      </c>
      <c r="AY377" t="s">
        <v>74</v>
      </c>
      <c r="AZ377" t="s">
        <v>74</v>
      </c>
      <c r="BA377" t="s">
        <v>74</v>
      </c>
      <c r="BB377">
        <v>105</v>
      </c>
      <c r="BC377">
        <v>119</v>
      </c>
      <c r="BD377" t="s">
        <v>74</v>
      </c>
      <c r="BE377" t="s">
        <v>7870</v>
      </c>
      <c r="BF377" t="str">
        <f>HYPERLINK("http://dx.doi.org/10.5252/cryptogamie-algologie2020v41a11","http://dx.doi.org/10.5252/cryptogamie-algologie2020v41a11")</f>
        <v>http://dx.doi.org/10.5252/cryptogamie-algologie2020v41a11</v>
      </c>
      <c r="BG377" t="s">
        <v>74</v>
      </c>
      <c r="BH377" t="s">
        <v>74</v>
      </c>
      <c r="BI377">
        <v>15</v>
      </c>
      <c r="BJ377" t="s">
        <v>7871</v>
      </c>
      <c r="BK377" t="s">
        <v>100</v>
      </c>
      <c r="BL377" t="s">
        <v>7871</v>
      </c>
      <c r="BM377" t="s">
        <v>7872</v>
      </c>
      <c r="BN377" t="s">
        <v>74</v>
      </c>
      <c r="BO377" t="s">
        <v>701</v>
      </c>
      <c r="BP377" t="s">
        <v>74</v>
      </c>
      <c r="BQ377" t="s">
        <v>74</v>
      </c>
      <c r="BR377" t="s">
        <v>104</v>
      </c>
      <c r="BS377" t="s">
        <v>7873</v>
      </c>
      <c r="BT377" t="str">
        <f>HYPERLINK("https%3A%2F%2Fwww.webofscience.com%2Fwos%2Fwoscc%2Ffull-record%2FWOS:000583813100001","View Full Record in Web of Science")</f>
        <v>View Full Record in Web of Science</v>
      </c>
    </row>
    <row r="378" spans="1:72" x14ac:dyDescent="0.15">
      <c r="A378" t="s">
        <v>72</v>
      </c>
      <c r="B378" t="s">
        <v>7874</v>
      </c>
      <c r="C378" t="s">
        <v>74</v>
      </c>
      <c r="D378" t="s">
        <v>74</v>
      </c>
      <c r="E378" t="s">
        <v>74</v>
      </c>
      <c r="F378" t="s">
        <v>7875</v>
      </c>
      <c r="G378" t="s">
        <v>74</v>
      </c>
      <c r="H378" t="s">
        <v>74</v>
      </c>
      <c r="I378" t="s">
        <v>7876</v>
      </c>
      <c r="J378" t="s">
        <v>7877</v>
      </c>
      <c r="K378" t="s">
        <v>74</v>
      </c>
      <c r="L378" t="s">
        <v>74</v>
      </c>
      <c r="M378" t="s">
        <v>78</v>
      </c>
      <c r="N378" t="s">
        <v>79</v>
      </c>
      <c r="O378" t="s">
        <v>74</v>
      </c>
      <c r="P378" t="s">
        <v>74</v>
      </c>
      <c r="Q378" t="s">
        <v>74</v>
      </c>
      <c r="R378" t="s">
        <v>74</v>
      </c>
      <c r="S378" t="s">
        <v>74</v>
      </c>
      <c r="T378" t="s">
        <v>7878</v>
      </c>
      <c r="U378" t="s">
        <v>7879</v>
      </c>
      <c r="V378" t="s">
        <v>7880</v>
      </c>
      <c r="W378" t="s">
        <v>7881</v>
      </c>
      <c r="X378" t="s">
        <v>7882</v>
      </c>
      <c r="Y378" t="s">
        <v>7883</v>
      </c>
      <c r="Z378" t="s">
        <v>7884</v>
      </c>
      <c r="AA378" t="s">
        <v>7885</v>
      </c>
      <c r="AB378" t="s">
        <v>7886</v>
      </c>
      <c r="AC378" t="s">
        <v>7887</v>
      </c>
      <c r="AD378" t="s">
        <v>7888</v>
      </c>
      <c r="AE378" t="s">
        <v>7889</v>
      </c>
      <c r="AF378" t="s">
        <v>74</v>
      </c>
      <c r="AG378">
        <v>66</v>
      </c>
      <c r="AH378">
        <v>20</v>
      </c>
      <c r="AI378">
        <v>20</v>
      </c>
      <c r="AJ378">
        <v>0</v>
      </c>
      <c r="AK378">
        <v>17</v>
      </c>
      <c r="AL378" t="s">
        <v>2085</v>
      </c>
      <c r="AM378" t="s">
        <v>2086</v>
      </c>
      <c r="AN378" t="s">
        <v>2087</v>
      </c>
      <c r="AO378" t="s">
        <v>74</v>
      </c>
      <c r="AP378" t="s">
        <v>7890</v>
      </c>
      <c r="AQ378" t="s">
        <v>74</v>
      </c>
      <c r="AR378" t="s">
        <v>7891</v>
      </c>
      <c r="AS378" t="s">
        <v>7892</v>
      </c>
      <c r="AT378" t="s">
        <v>6558</v>
      </c>
      <c r="AU378">
        <v>2020</v>
      </c>
      <c r="AV378">
        <v>11</v>
      </c>
      <c r="AW378">
        <v>10</v>
      </c>
      <c r="AX378" t="s">
        <v>74</v>
      </c>
      <c r="AY378" t="s">
        <v>74</v>
      </c>
      <c r="AZ378" t="s">
        <v>74</v>
      </c>
      <c r="BA378" t="s">
        <v>74</v>
      </c>
      <c r="BB378" t="s">
        <v>74</v>
      </c>
      <c r="BC378" t="s">
        <v>74</v>
      </c>
      <c r="BD378">
        <v>1150</v>
      </c>
      <c r="BE378" t="s">
        <v>7893</v>
      </c>
      <c r="BF378" t="str">
        <f>HYPERLINK("http://dx.doi.org/10.3390/genes11101150","http://dx.doi.org/10.3390/genes11101150")</f>
        <v>http://dx.doi.org/10.3390/genes11101150</v>
      </c>
      <c r="BG378" t="s">
        <v>74</v>
      </c>
      <c r="BH378" t="s">
        <v>74</v>
      </c>
      <c r="BI378">
        <v>17</v>
      </c>
      <c r="BJ378" t="s">
        <v>1387</v>
      </c>
      <c r="BK378" t="s">
        <v>100</v>
      </c>
      <c r="BL378" t="s">
        <v>1387</v>
      </c>
      <c r="BM378" t="s">
        <v>7894</v>
      </c>
      <c r="BN378">
        <v>33003631</v>
      </c>
      <c r="BO378" t="s">
        <v>332</v>
      </c>
      <c r="BP378" t="s">
        <v>74</v>
      </c>
      <c r="BQ378" t="s">
        <v>74</v>
      </c>
      <c r="BR378" t="s">
        <v>104</v>
      </c>
      <c r="BS378" t="s">
        <v>7895</v>
      </c>
      <c r="BT378" t="str">
        <f>HYPERLINK("https%3A%2F%2Fwww.webofscience.com%2Fwos%2Fwoscc%2Ffull-record%2FWOS:000585310900001","View Full Record in Web of Science")</f>
        <v>View Full Record in Web of Science</v>
      </c>
    </row>
    <row r="379" spans="1:72" x14ac:dyDescent="0.15">
      <c r="A379" t="s">
        <v>72</v>
      </c>
      <c r="B379" t="s">
        <v>7896</v>
      </c>
      <c r="C379" t="s">
        <v>74</v>
      </c>
      <c r="D379" t="s">
        <v>74</v>
      </c>
      <c r="E379" t="s">
        <v>74</v>
      </c>
      <c r="F379" t="s">
        <v>7897</v>
      </c>
      <c r="G379" t="s">
        <v>74</v>
      </c>
      <c r="H379" t="s">
        <v>74</v>
      </c>
      <c r="I379" t="s">
        <v>7898</v>
      </c>
      <c r="J379" t="s">
        <v>2218</v>
      </c>
      <c r="K379" t="s">
        <v>74</v>
      </c>
      <c r="L379" t="s">
        <v>74</v>
      </c>
      <c r="M379" t="s">
        <v>78</v>
      </c>
      <c r="N379" t="s">
        <v>79</v>
      </c>
      <c r="O379" t="s">
        <v>74</v>
      </c>
      <c r="P379" t="s">
        <v>74</v>
      </c>
      <c r="Q379" t="s">
        <v>74</v>
      </c>
      <c r="R379" t="s">
        <v>74</v>
      </c>
      <c r="S379" t="s">
        <v>74</v>
      </c>
      <c r="T379" t="s">
        <v>7899</v>
      </c>
      <c r="U379" t="s">
        <v>7900</v>
      </c>
      <c r="V379" t="s">
        <v>7901</v>
      </c>
      <c r="W379" t="s">
        <v>7902</v>
      </c>
      <c r="X379" t="s">
        <v>7903</v>
      </c>
      <c r="Y379" t="s">
        <v>7904</v>
      </c>
      <c r="Z379" t="s">
        <v>7905</v>
      </c>
      <c r="AA379" t="s">
        <v>7906</v>
      </c>
      <c r="AB379" t="s">
        <v>7907</v>
      </c>
      <c r="AC379" t="s">
        <v>74</v>
      </c>
      <c r="AD379" t="s">
        <v>74</v>
      </c>
      <c r="AE379" t="s">
        <v>74</v>
      </c>
      <c r="AF379" t="s">
        <v>74</v>
      </c>
      <c r="AG379">
        <v>64</v>
      </c>
      <c r="AH379">
        <v>11</v>
      </c>
      <c r="AI379">
        <v>15</v>
      </c>
      <c r="AJ379">
        <v>10</v>
      </c>
      <c r="AK379">
        <v>86</v>
      </c>
      <c r="AL379" t="s">
        <v>2085</v>
      </c>
      <c r="AM379" t="s">
        <v>2086</v>
      </c>
      <c r="AN379" t="s">
        <v>2087</v>
      </c>
      <c r="AO379" t="s">
        <v>74</v>
      </c>
      <c r="AP379" t="s">
        <v>2230</v>
      </c>
      <c r="AQ379" t="s">
        <v>74</v>
      </c>
      <c r="AR379" t="s">
        <v>2231</v>
      </c>
      <c r="AS379" t="s">
        <v>2232</v>
      </c>
      <c r="AT379" t="s">
        <v>6558</v>
      </c>
      <c r="AU379">
        <v>2020</v>
      </c>
      <c r="AV379">
        <v>18</v>
      </c>
      <c r="AW379">
        <v>10</v>
      </c>
      <c r="AX379" t="s">
        <v>74</v>
      </c>
      <c r="AY379" t="s">
        <v>74</v>
      </c>
      <c r="AZ379" t="s">
        <v>74</v>
      </c>
      <c r="BA379" t="s">
        <v>74</v>
      </c>
      <c r="BB379" t="s">
        <v>74</v>
      </c>
      <c r="BC379" t="s">
        <v>74</v>
      </c>
      <c r="BD379">
        <v>492</v>
      </c>
      <c r="BE379" t="s">
        <v>7908</v>
      </c>
      <c r="BF379" t="str">
        <f>HYPERLINK("http://dx.doi.org/10.3390/md18100492","http://dx.doi.org/10.3390/md18100492")</f>
        <v>http://dx.doi.org/10.3390/md18100492</v>
      </c>
      <c r="BG379" t="s">
        <v>74</v>
      </c>
      <c r="BH379" t="s">
        <v>74</v>
      </c>
      <c r="BI379">
        <v>21</v>
      </c>
      <c r="BJ379" t="s">
        <v>2234</v>
      </c>
      <c r="BK379" t="s">
        <v>100</v>
      </c>
      <c r="BL379" t="s">
        <v>2235</v>
      </c>
      <c r="BM379" t="s">
        <v>7909</v>
      </c>
      <c r="BN379">
        <v>32993042</v>
      </c>
      <c r="BO379" t="s">
        <v>2113</v>
      </c>
      <c r="BP379" t="s">
        <v>74</v>
      </c>
      <c r="BQ379" t="s">
        <v>74</v>
      </c>
      <c r="BR379" t="s">
        <v>104</v>
      </c>
      <c r="BS379" t="s">
        <v>7910</v>
      </c>
      <c r="BT379" t="str">
        <f>HYPERLINK("https%3A%2F%2Fwww.webofscience.com%2Fwos%2Fwoscc%2Ffull-record%2FWOS:000585112500001","View Full Record in Web of Science")</f>
        <v>View Full Record in Web of Science</v>
      </c>
    </row>
    <row r="380" spans="1:72" x14ac:dyDescent="0.15">
      <c r="A380" t="s">
        <v>72</v>
      </c>
      <c r="B380" t="s">
        <v>7911</v>
      </c>
      <c r="C380" t="s">
        <v>74</v>
      </c>
      <c r="D380" t="s">
        <v>74</v>
      </c>
      <c r="E380" t="s">
        <v>74</v>
      </c>
      <c r="F380" t="s">
        <v>7912</v>
      </c>
      <c r="G380" t="s">
        <v>74</v>
      </c>
      <c r="H380" t="s">
        <v>74</v>
      </c>
      <c r="I380" t="s">
        <v>7913</v>
      </c>
      <c r="J380" t="s">
        <v>2298</v>
      </c>
      <c r="K380" t="s">
        <v>74</v>
      </c>
      <c r="L380" t="s">
        <v>74</v>
      </c>
      <c r="M380" t="s">
        <v>78</v>
      </c>
      <c r="N380" t="s">
        <v>79</v>
      </c>
      <c r="O380" t="s">
        <v>74</v>
      </c>
      <c r="P380" t="s">
        <v>74</v>
      </c>
      <c r="Q380" t="s">
        <v>74</v>
      </c>
      <c r="R380" t="s">
        <v>74</v>
      </c>
      <c r="S380" t="s">
        <v>74</v>
      </c>
      <c r="T380" t="s">
        <v>7914</v>
      </c>
      <c r="U380" t="s">
        <v>7915</v>
      </c>
      <c r="V380" t="s">
        <v>7916</v>
      </c>
      <c r="W380" t="s">
        <v>7917</v>
      </c>
      <c r="X380" t="s">
        <v>7918</v>
      </c>
      <c r="Y380" t="s">
        <v>7919</v>
      </c>
      <c r="Z380" t="s">
        <v>7920</v>
      </c>
      <c r="AA380" t="s">
        <v>7921</v>
      </c>
      <c r="AB380" t="s">
        <v>7922</v>
      </c>
      <c r="AC380" t="s">
        <v>7923</v>
      </c>
      <c r="AD380" t="s">
        <v>7924</v>
      </c>
      <c r="AE380" t="s">
        <v>7925</v>
      </c>
      <c r="AF380" t="s">
        <v>74</v>
      </c>
      <c r="AG380">
        <v>79</v>
      </c>
      <c r="AH380">
        <v>4</v>
      </c>
      <c r="AI380">
        <v>5</v>
      </c>
      <c r="AJ380">
        <v>1</v>
      </c>
      <c r="AK380">
        <v>6</v>
      </c>
      <c r="AL380" t="s">
        <v>2085</v>
      </c>
      <c r="AM380" t="s">
        <v>2086</v>
      </c>
      <c r="AN380" t="s">
        <v>2087</v>
      </c>
      <c r="AO380" t="s">
        <v>74</v>
      </c>
      <c r="AP380" t="s">
        <v>2310</v>
      </c>
      <c r="AQ380" t="s">
        <v>74</v>
      </c>
      <c r="AR380" t="s">
        <v>2311</v>
      </c>
      <c r="AS380" t="s">
        <v>2312</v>
      </c>
      <c r="AT380" t="s">
        <v>6558</v>
      </c>
      <c r="AU380">
        <v>2020</v>
      </c>
      <c r="AV380">
        <v>10</v>
      </c>
      <c r="AW380">
        <v>10</v>
      </c>
      <c r="AX380" t="s">
        <v>74</v>
      </c>
      <c r="AY380" t="s">
        <v>74</v>
      </c>
      <c r="AZ380" t="s">
        <v>74</v>
      </c>
      <c r="BA380" t="s">
        <v>74</v>
      </c>
      <c r="BB380" t="s">
        <v>74</v>
      </c>
      <c r="BC380" t="s">
        <v>74</v>
      </c>
      <c r="BD380">
        <v>892</v>
      </c>
      <c r="BE380" t="s">
        <v>7926</v>
      </c>
      <c r="BF380" t="str">
        <f>HYPERLINK("http://dx.doi.org/10.3390/min10100892","http://dx.doi.org/10.3390/min10100892")</f>
        <v>http://dx.doi.org/10.3390/min10100892</v>
      </c>
      <c r="BG380" t="s">
        <v>74</v>
      </c>
      <c r="BH380" t="s">
        <v>74</v>
      </c>
      <c r="BI380">
        <v>18</v>
      </c>
      <c r="BJ380" t="s">
        <v>2314</v>
      </c>
      <c r="BK380" t="s">
        <v>100</v>
      </c>
      <c r="BL380" t="s">
        <v>2314</v>
      </c>
      <c r="BM380" t="s">
        <v>7927</v>
      </c>
      <c r="BN380" t="s">
        <v>74</v>
      </c>
      <c r="BO380" t="s">
        <v>202</v>
      </c>
      <c r="BP380" t="s">
        <v>74</v>
      </c>
      <c r="BQ380" t="s">
        <v>74</v>
      </c>
      <c r="BR380" t="s">
        <v>104</v>
      </c>
      <c r="BS380" t="s">
        <v>7928</v>
      </c>
      <c r="BT380" t="str">
        <f>HYPERLINK("https%3A%2F%2Fwww.webofscience.com%2Fwos%2Fwoscc%2Ffull-record%2FWOS:000585187900001","View Full Record in Web of Science")</f>
        <v>View Full Record in Web of Science</v>
      </c>
    </row>
    <row r="381" spans="1:72" x14ac:dyDescent="0.15">
      <c r="A381" t="s">
        <v>72</v>
      </c>
      <c r="B381" t="s">
        <v>7929</v>
      </c>
      <c r="C381" t="s">
        <v>74</v>
      </c>
      <c r="D381" t="s">
        <v>74</v>
      </c>
      <c r="E381" t="s">
        <v>74</v>
      </c>
      <c r="F381" t="s">
        <v>7930</v>
      </c>
      <c r="G381" t="s">
        <v>74</v>
      </c>
      <c r="H381" t="s">
        <v>74</v>
      </c>
      <c r="I381" t="s">
        <v>7931</v>
      </c>
      <c r="J381" t="s">
        <v>7932</v>
      </c>
      <c r="K381" t="s">
        <v>74</v>
      </c>
      <c r="L381" t="s">
        <v>74</v>
      </c>
      <c r="M381" t="s">
        <v>78</v>
      </c>
      <c r="N381" t="s">
        <v>79</v>
      </c>
      <c r="O381" t="s">
        <v>74</v>
      </c>
      <c r="P381" t="s">
        <v>74</v>
      </c>
      <c r="Q381" t="s">
        <v>74</v>
      </c>
      <c r="R381" t="s">
        <v>74</v>
      </c>
      <c r="S381" t="s">
        <v>74</v>
      </c>
      <c r="T381" t="s">
        <v>7933</v>
      </c>
      <c r="U381" t="s">
        <v>7934</v>
      </c>
      <c r="V381" t="s">
        <v>7935</v>
      </c>
      <c r="W381" t="s">
        <v>7936</v>
      </c>
      <c r="X381" t="s">
        <v>7937</v>
      </c>
      <c r="Y381" t="s">
        <v>7938</v>
      </c>
      <c r="Z381" t="s">
        <v>7939</v>
      </c>
      <c r="AA381" t="s">
        <v>74</v>
      </c>
      <c r="AB381" t="s">
        <v>74</v>
      </c>
      <c r="AC381" t="s">
        <v>7940</v>
      </c>
      <c r="AD381" t="s">
        <v>7941</v>
      </c>
      <c r="AE381" t="s">
        <v>7942</v>
      </c>
      <c r="AF381" t="s">
        <v>74</v>
      </c>
      <c r="AG381">
        <v>24</v>
      </c>
      <c r="AH381">
        <v>4</v>
      </c>
      <c r="AI381">
        <v>4</v>
      </c>
      <c r="AJ381">
        <v>1</v>
      </c>
      <c r="AK381">
        <v>11</v>
      </c>
      <c r="AL381" t="s">
        <v>7943</v>
      </c>
      <c r="AM381" t="s">
        <v>7944</v>
      </c>
      <c r="AN381" t="s">
        <v>7945</v>
      </c>
      <c r="AO381" t="s">
        <v>7946</v>
      </c>
      <c r="AP381" t="s">
        <v>7947</v>
      </c>
      <c r="AQ381" t="s">
        <v>74</v>
      </c>
      <c r="AR381" t="s">
        <v>7948</v>
      </c>
      <c r="AS381" t="s">
        <v>7949</v>
      </c>
      <c r="AT381" t="s">
        <v>6558</v>
      </c>
      <c r="AU381">
        <v>2020</v>
      </c>
      <c r="AV381">
        <v>98</v>
      </c>
      <c r="AW381">
        <v>5</v>
      </c>
      <c r="AX381" t="s">
        <v>74</v>
      </c>
      <c r="AY381" t="s">
        <v>74</v>
      </c>
      <c r="AZ381" t="s">
        <v>74</v>
      </c>
      <c r="BA381" t="s">
        <v>74</v>
      </c>
      <c r="BB381">
        <v>1083</v>
      </c>
      <c r="BC381">
        <v>1091</v>
      </c>
      <c r="BD381" t="s">
        <v>74</v>
      </c>
      <c r="BE381" t="s">
        <v>7950</v>
      </c>
      <c r="BF381" t="str">
        <f>HYPERLINK("http://dx.doi.org/10.2151/jmsj.2020-055","http://dx.doi.org/10.2151/jmsj.2020-055")</f>
        <v>http://dx.doi.org/10.2151/jmsj.2020-055</v>
      </c>
      <c r="BG381" t="s">
        <v>74</v>
      </c>
      <c r="BH381" t="s">
        <v>74</v>
      </c>
      <c r="BI381">
        <v>9</v>
      </c>
      <c r="BJ381" t="s">
        <v>800</v>
      </c>
      <c r="BK381" t="s">
        <v>100</v>
      </c>
      <c r="BL381" t="s">
        <v>800</v>
      </c>
      <c r="BM381" t="s">
        <v>7951</v>
      </c>
      <c r="BN381" t="s">
        <v>74</v>
      </c>
      <c r="BO381" t="s">
        <v>202</v>
      </c>
      <c r="BP381" t="s">
        <v>74</v>
      </c>
      <c r="BQ381" t="s">
        <v>74</v>
      </c>
      <c r="BR381" t="s">
        <v>104</v>
      </c>
      <c r="BS381" t="s">
        <v>7952</v>
      </c>
      <c r="BT381" t="str">
        <f>HYPERLINK("https%3A%2F%2Fwww.webofscience.com%2Fwos%2Fwoscc%2Ffull-record%2FWOS:000582305300012","View Full Record in Web of Science")</f>
        <v>View Full Record in Web of Science</v>
      </c>
    </row>
    <row r="382" spans="1:72" x14ac:dyDescent="0.15">
      <c r="A382" t="s">
        <v>72</v>
      </c>
      <c r="B382" t="s">
        <v>7953</v>
      </c>
      <c r="C382" t="s">
        <v>74</v>
      </c>
      <c r="D382" t="s">
        <v>74</v>
      </c>
      <c r="E382" t="s">
        <v>74</v>
      </c>
      <c r="F382" t="s">
        <v>7954</v>
      </c>
      <c r="G382" t="s">
        <v>74</v>
      </c>
      <c r="H382" t="s">
        <v>74</v>
      </c>
      <c r="I382" t="s">
        <v>7955</v>
      </c>
      <c r="J382" t="s">
        <v>1510</v>
      </c>
      <c r="K382" t="s">
        <v>74</v>
      </c>
      <c r="L382" t="s">
        <v>74</v>
      </c>
      <c r="M382" t="s">
        <v>78</v>
      </c>
      <c r="N382" t="s">
        <v>79</v>
      </c>
      <c r="O382" t="s">
        <v>74</v>
      </c>
      <c r="P382" t="s">
        <v>74</v>
      </c>
      <c r="Q382" t="s">
        <v>74</v>
      </c>
      <c r="R382" t="s">
        <v>74</v>
      </c>
      <c r="S382" t="s">
        <v>74</v>
      </c>
      <c r="T382" t="s">
        <v>7956</v>
      </c>
      <c r="U382" t="s">
        <v>7957</v>
      </c>
      <c r="V382" t="s">
        <v>7958</v>
      </c>
      <c r="W382" t="s">
        <v>7959</v>
      </c>
      <c r="X382" t="s">
        <v>7960</v>
      </c>
      <c r="Y382" t="s">
        <v>7961</v>
      </c>
      <c r="Z382" t="s">
        <v>5513</v>
      </c>
      <c r="AA382" t="s">
        <v>7962</v>
      </c>
      <c r="AB382" t="s">
        <v>7963</v>
      </c>
      <c r="AC382" t="s">
        <v>7964</v>
      </c>
      <c r="AD382" t="s">
        <v>7965</v>
      </c>
      <c r="AE382" t="s">
        <v>7966</v>
      </c>
      <c r="AF382" t="s">
        <v>74</v>
      </c>
      <c r="AG382">
        <v>82</v>
      </c>
      <c r="AH382">
        <v>6</v>
      </c>
      <c r="AI382">
        <v>6</v>
      </c>
      <c r="AJ382">
        <v>2</v>
      </c>
      <c r="AK382">
        <v>15</v>
      </c>
      <c r="AL382" t="s">
        <v>1522</v>
      </c>
      <c r="AM382" t="s">
        <v>1407</v>
      </c>
      <c r="AN382" t="s">
        <v>1523</v>
      </c>
      <c r="AO382" t="s">
        <v>1524</v>
      </c>
      <c r="AP382" t="s">
        <v>74</v>
      </c>
      <c r="AQ382" t="s">
        <v>74</v>
      </c>
      <c r="AR382" t="s">
        <v>1525</v>
      </c>
      <c r="AS382" t="s">
        <v>1526</v>
      </c>
      <c r="AT382" t="s">
        <v>6558</v>
      </c>
      <c r="AU382">
        <v>2020</v>
      </c>
      <c r="AV382">
        <v>188</v>
      </c>
      <c r="AW382" t="s">
        <v>74</v>
      </c>
      <c r="AX382" t="s">
        <v>74</v>
      </c>
      <c r="AY382" t="s">
        <v>74</v>
      </c>
      <c r="AZ382" t="s">
        <v>74</v>
      </c>
      <c r="BA382" t="s">
        <v>74</v>
      </c>
      <c r="BB382" t="s">
        <v>74</v>
      </c>
      <c r="BC382" t="s">
        <v>74</v>
      </c>
      <c r="BD382">
        <v>102425</v>
      </c>
      <c r="BE382" t="s">
        <v>7967</v>
      </c>
      <c r="BF382" t="str">
        <f>HYPERLINK("http://dx.doi.org/10.1016/j.pocean.2020.102425","http://dx.doi.org/10.1016/j.pocean.2020.102425")</f>
        <v>http://dx.doi.org/10.1016/j.pocean.2020.102425</v>
      </c>
      <c r="BG382" t="s">
        <v>74</v>
      </c>
      <c r="BH382" t="s">
        <v>74</v>
      </c>
      <c r="BI382">
        <v>11</v>
      </c>
      <c r="BJ382" t="s">
        <v>1283</v>
      </c>
      <c r="BK382" t="s">
        <v>100</v>
      </c>
      <c r="BL382" t="s">
        <v>1283</v>
      </c>
      <c r="BM382" t="s">
        <v>7968</v>
      </c>
      <c r="BN382" t="s">
        <v>74</v>
      </c>
      <c r="BO382" t="s">
        <v>74</v>
      </c>
      <c r="BP382" t="s">
        <v>74</v>
      </c>
      <c r="BQ382" t="s">
        <v>74</v>
      </c>
      <c r="BR382" t="s">
        <v>104</v>
      </c>
      <c r="BS382" t="s">
        <v>7969</v>
      </c>
      <c r="BT382" t="str">
        <f>HYPERLINK("https%3A%2F%2Fwww.webofscience.com%2Fwos%2Fwoscc%2Ffull-record%2FWOS:000582696800012","View Full Record in Web of Science")</f>
        <v>View Full Record in Web of Science</v>
      </c>
    </row>
    <row r="383" spans="1:72" x14ac:dyDescent="0.15">
      <c r="A383" t="s">
        <v>72</v>
      </c>
      <c r="B383" t="s">
        <v>7970</v>
      </c>
      <c r="C383" t="s">
        <v>74</v>
      </c>
      <c r="D383" t="s">
        <v>74</v>
      </c>
      <c r="E383" t="s">
        <v>74</v>
      </c>
      <c r="F383" t="s">
        <v>7971</v>
      </c>
      <c r="G383" t="s">
        <v>74</v>
      </c>
      <c r="H383" t="s">
        <v>74</v>
      </c>
      <c r="I383" t="s">
        <v>7972</v>
      </c>
      <c r="J383" t="s">
        <v>1510</v>
      </c>
      <c r="K383" t="s">
        <v>74</v>
      </c>
      <c r="L383" t="s">
        <v>74</v>
      </c>
      <c r="M383" t="s">
        <v>78</v>
      </c>
      <c r="N383" t="s">
        <v>79</v>
      </c>
      <c r="O383" t="s">
        <v>74</v>
      </c>
      <c r="P383" t="s">
        <v>74</v>
      </c>
      <c r="Q383" t="s">
        <v>74</v>
      </c>
      <c r="R383" t="s">
        <v>74</v>
      </c>
      <c r="S383" t="s">
        <v>74</v>
      </c>
      <c r="T383" t="s">
        <v>7973</v>
      </c>
      <c r="U383" t="s">
        <v>7974</v>
      </c>
      <c r="V383" t="s">
        <v>7975</v>
      </c>
      <c r="W383" t="s">
        <v>7976</v>
      </c>
      <c r="X383" t="s">
        <v>7977</v>
      </c>
      <c r="Y383" t="s">
        <v>7978</v>
      </c>
      <c r="Z383" t="s">
        <v>7979</v>
      </c>
      <c r="AA383" t="s">
        <v>74</v>
      </c>
      <c r="AB383" t="s">
        <v>74</v>
      </c>
      <c r="AC383" t="s">
        <v>7980</v>
      </c>
      <c r="AD383" t="s">
        <v>7980</v>
      </c>
      <c r="AE383" t="s">
        <v>7981</v>
      </c>
      <c r="AF383" t="s">
        <v>74</v>
      </c>
      <c r="AG383">
        <v>125</v>
      </c>
      <c r="AH383">
        <v>16</v>
      </c>
      <c r="AI383">
        <v>16</v>
      </c>
      <c r="AJ383">
        <v>0</v>
      </c>
      <c r="AK383">
        <v>11</v>
      </c>
      <c r="AL383" t="s">
        <v>1522</v>
      </c>
      <c r="AM383" t="s">
        <v>1407</v>
      </c>
      <c r="AN383" t="s">
        <v>1523</v>
      </c>
      <c r="AO383" t="s">
        <v>1524</v>
      </c>
      <c r="AP383" t="s">
        <v>74</v>
      </c>
      <c r="AQ383" t="s">
        <v>74</v>
      </c>
      <c r="AR383" t="s">
        <v>1525</v>
      </c>
      <c r="AS383" t="s">
        <v>1526</v>
      </c>
      <c r="AT383" t="s">
        <v>6558</v>
      </c>
      <c r="AU383">
        <v>2020</v>
      </c>
      <c r="AV383">
        <v>188</v>
      </c>
      <c r="AW383" t="s">
        <v>74</v>
      </c>
      <c r="AX383" t="s">
        <v>74</v>
      </c>
      <c r="AY383" t="s">
        <v>74</v>
      </c>
      <c r="AZ383" t="s">
        <v>74</v>
      </c>
      <c r="BA383" t="s">
        <v>74</v>
      </c>
      <c r="BB383" t="s">
        <v>74</v>
      </c>
      <c r="BC383" t="s">
        <v>74</v>
      </c>
      <c r="BD383">
        <v>102412</v>
      </c>
      <c r="BE383" t="s">
        <v>7982</v>
      </c>
      <c r="BF383" t="str">
        <f>HYPERLINK("http://dx.doi.org/10.1016/j.pocean.2020.102412","http://dx.doi.org/10.1016/j.pocean.2020.102412")</f>
        <v>http://dx.doi.org/10.1016/j.pocean.2020.102412</v>
      </c>
      <c r="BG383" t="s">
        <v>74</v>
      </c>
      <c r="BH383" t="s">
        <v>74</v>
      </c>
      <c r="BI383">
        <v>19</v>
      </c>
      <c r="BJ383" t="s">
        <v>1283</v>
      </c>
      <c r="BK383" t="s">
        <v>100</v>
      </c>
      <c r="BL383" t="s">
        <v>1283</v>
      </c>
      <c r="BM383" t="s">
        <v>7968</v>
      </c>
      <c r="BN383" t="s">
        <v>74</v>
      </c>
      <c r="BO383" t="s">
        <v>1188</v>
      </c>
      <c r="BP383" t="s">
        <v>74</v>
      </c>
      <c r="BQ383" t="s">
        <v>74</v>
      </c>
      <c r="BR383" t="s">
        <v>104</v>
      </c>
      <c r="BS383" t="s">
        <v>7983</v>
      </c>
      <c r="BT383" t="str">
        <f>HYPERLINK("https%3A%2F%2Fwww.webofscience.com%2Fwos%2Fwoscc%2Ffull-record%2FWOS:000582696800001","View Full Record in Web of Science")</f>
        <v>View Full Record in Web of Science</v>
      </c>
    </row>
    <row r="384" spans="1:72" x14ac:dyDescent="0.15">
      <c r="A384" t="s">
        <v>72</v>
      </c>
      <c r="B384" t="s">
        <v>7984</v>
      </c>
      <c r="C384" t="s">
        <v>74</v>
      </c>
      <c r="D384" t="s">
        <v>74</v>
      </c>
      <c r="E384" t="s">
        <v>74</v>
      </c>
      <c r="F384" t="s">
        <v>7985</v>
      </c>
      <c r="G384" t="s">
        <v>74</v>
      </c>
      <c r="H384" t="s">
        <v>74</v>
      </c>
      <c r="I384" t="s">
        <v>7986</v>
      </c>
      <c r="J384" t="s">
        <v>1510</v>
      </c>
      <c r="K384" t="s">
        <v>74</v>
      </c>
      <c r="L384" t="s">
        <v>74</v>
      </c>
      <c r="M384" t="s">
        <v>78</v>
      </c>
      <c r="N384" t="s">
        <v>79</v>
      </c>
      <c r="O384" t="s">
        <v>74</v>
      </c>
      <c r="P384" t="s">
        <v>74</v>
      </c>
      <c r="Q384" t="s">
        <v>74</v>
      </c>
      <c r="R384" t="s">
        <v>74</v>
      </c>
      <c r="S384" t="s">
        <v>74</v>
      </c>
      <c r="T384" t="s">
        <v>7987</v>
      </c>
      <c r="U384" t="s">
        <v>7988</v>
      </c>
      <c r="V384" t="s">
        <v>7989</v>
      </c>
      <c r="W384" t="s">
        <v>7990</v>
      </c>
      <c r="X384" t="s">
        <v>7991</v>
      </c>
      <c r="Y384" t="s">
        <v>7992</v>
      </c>
      <c r="Z384" t="s">
        <v>7993</v>
      </c>
      <c r="AA384" t="s">
        <v>7994</v>
      </c>
      <c r="AB384" t="s">
        <v>7995</v>
      </c>
      <c r="AC384" t="s">
        <v>7996</v>
      </c>
      <c r="AD384" t="s">
        <v>7997</v>
      </c>
      <c r="AE384" t="s">
        <v>7998</v>
      </c>
      <c r="AF384" t="s">
        <v>74</v>
      </c>
      <c r="AG384">
        <v>61</v>
      </c>
      <c r="AH384">
        <v>6</v>
      </c>
      <c r="AI384">
        <v>7</v>
      </c>
      <c r="AJ384">
        <v>3</v>
      </c>
      <c r="AK384">
        <v>19</v>
      </c>
      <c r="AL384" t="s">
        <v>1522</v>
      </c>
      <c r="AM384" t="s">
        <v>1407</v>
      </c>
      <c r="AN384" t="s">
        <v>1523</v>
      </c>
      <c r="AO384" t="s">
        <v>1524</v>
      </c>
      <c r="AP384" t="s">
        <v>74</v>
      </c>
      <c r="AQ384" t="s">
        <v>74</v>
      </c>
      <c r="AR384" t="s">
        <v>1525</v>
      </c>
      <c r="AS384" t="s">
        <v>1526</v>
      </c>
      <c r="AT384" t="s">
        <v>6558</v>
      </c>
      <c r="AU384">
        <v>2020</v>
      </c>
      <c r="AV384">
        <v>188</v>
      </c>
      <c r="AW384" t="s">
        <v>74</v>
      </c>
      <c r="AX384" t="s">
        <v>74</v>
      </c>
      <c r="AY384" t="s">
        <v>74</v>
      </c>
      <c r="AZ384" t="s">
        <v>74</v>
      </c>
      <c r="BA384" t="s">
        <v>74</v>
      </c>
      <c r="BB384" t="s">
        <v>74</v>
      </c>
      <c r="BC384" t="s">
        <v>74</v>
      </c>
      <c r="BD384">
        <v>102416</v>
      </c>
      <c r="BE384" t="s">
        <v>7999</v>
      </c>
      <c r="BF384" t="str">
        <f>HYPERLINK("http://dx.doi.org/10.1016/j.pocean.2020.102416","http://dx.doi.org/10.1016/j.pocean.2020.102416")</f>
        <v>http://dx.doi.org/10.1016/j.pocean.2020.102416</v>
      </c>
      <c r="BG384" t="s">
        <v>74</v>
      </c>
      <c r="BH384" t="s">
        <v>74</v>
      </c>
      <c r="BI384">
        <v>16</v>
      </c>
      <c r="BJ384" t="s">
        <v>1283</v>
      </c>
      <c r="BK384" t="s">
        <v>100</v>
      </c>
      <c r="BL384" t="s">
        <v>1283</v>
      </c>
      <c r="BM384" t="s">
        <v>7968</v>
      </c>
      <c r="BN384" t="s">
        <v>74</v>
      </c>
      <c r="BO384" t="s">
        <v>1188</v>
      </c>
      <c r="BP384" t="s">
        <v>74</v>
      </c>
      <c r="BQ384" t="s">
        <v>74</v>
      </c>
      <c r="BR384" t="s">
        <v>104</v>
      </c>
      <c r="BS384" t="s">
        <v>8000</v>
      </c>
      <c r="BT384" t="str">
        <f>HYPERLINK("https%3A%2F%2Fwww.webofscience.com%2Fwos%2Fwoscc%2Ffull-record%2FWOS:000582696800003","View Full Record in Web of Science")</f>
        <v>View Full Record in Web of Science</v>
      </c>
    </row>
    <row r="385" spans="1:72" x14ac:dyDescent="0.15">
      <c r="A385" t="s">
        <v>72</v>
      </c>
      <c r="B385" t="s">
        <v>8001</v>
      </c>
      <c r="C385" t="s">
        <v>74</v>
      </c>
      <c r="D385" t="s">
        <v>74</v>
      </c>
      <c r="E385" t="s">
        <v>74</v>
      </c>
      <c r="F385" t="s">
        <v>8002</v>
      </c>
      <c r="G385" t="s">
        <v>74</v>
      </c>
      <c r="H385" t="s">
        <v>74</v>
      </c>
      <c r="I385" t="s">
        <v>8003</v>
      </c>
      <c r="J385" t="s">
        <v>8004</v>
      </c>
      <c r="K385" t="s">
        <v>74</v>
      </c>
      <c r="L385" t="s">
        <v>74</v>
      </c>
      <c r="M385" t="s">
        <v>78</v>
      </c>
      <c r="N385" t="s">
        <v>138</v>
      </c>
      <c r="O385" t="s">
        <v>74</v>
      </c>
      <c r="P385" t="s">
        <v>74</v>
      </c>
      <c r="Q385" t="s">
        <v>74</v>
      </c>
      <c r="R385" t="s">
        <v>74</v>
      </c>
      <c r="S385" t="s">
        <v>74</v>
      </c>
      <c r="T385" t="s">
        <v>74</v>
      </c>
      <c r="U385" t="s">
        <v>8005</v>
      </c>
      <c r="V385" t="s">
        <v>8006</v>
      </c>
      <c r="W385" t="s">
        <v>8007</v>
      </c>
      <c r="X385" t="s">
        <v>8008</v>
      </c>
      <c r="Y385" t="s">
        <v>8009</v>
      </c>
      <c r="Z385" t="s">
        <v>8010</v>
      </c>
      <c r="AA385" t="s">
        <v>8011</v>
      </c>
      <c r="AB385" t="s">
        <v>8012</v>
      </c>
      <c r="AC385" t="s">
        <v>8013</v>
      </c>
      <c r="AD385" t="s">
        <v>8014</v>
      </c>
      <c r="AE385" t="s">
        <v>8015</v>
      </c>
      <c r="AF385" t="s">
        <v>74</v>
      </c>
      <c r="AG385">
        <v>127</v>
      </c>
      <c r="AH385">
        <v>7</v>
      </c>
      <c r="AI385">
        <v>7</v>
      </c>
      <c r="AJ385">
        <v>8</v>
      </c>
      <c r="AK385">
        <v>59</v>
      </c>
      <c r="AL385" t="s">
        <v>8016</v>
      </c>
      <c r="AM385" t="s">
        <v>4452</v>
      </c>
      <c r="AN385" t="s">
        <v>8017</v>
      </c>
      <c r="AO385" t="s">
        <v>8018</v>
      </c>
      <c r="AP385" t="s">
        <v>8019</v>
      </c>
      <c r="AQ385" t="s">
        <v>74</v>
      </c>
      <c r="AR385" t="s">
        <v>8020</v>
      </c>
      <c r="AS385" t="s">
        <v>8021</v>
      </c>
      <c r="AT385" t="s">
        <v>1163</v>
      </c>
      <c r="AU385">
        <v>2020</v>
      </c>
      <c r="AV385">
        <v>22</v>
      </c>
      <c r="AW385">
        <v>10</v>
      </c>
      <c r="AX385" t="s">
        <v>74</v>
      </c>
      <c r="AY385" t="s">
        <v>74</v>
      </c>
      <c r="AZ385" t="s">
        <v>74</v>
      </c>
      <c r="BA385" t="s">
        <v>74</v>
      </c>
      <c r="BB385">
        <v>2003</v>
      </c>
      <c r="BC385">
        <v>2022</v>
      </c>
      <c r="BD385" t="s">
        <v>74</v>
      </c>
      <c r="BE385" t="s">
        <v>8022</v>
      </c>
      <c r="BF385" t="str">
        <f>HYPERLINK("http://dx.doi.org/10.1039/d0em00092b","http://dx.doi.org/10.1039/d0em00092b")</f>
        <v>http://dx.doi.org/10.1039/d0em00092b</v>
      </c>
      <c r="BG385" t="s">
        <v>74</v>
      </c>
      <c r="BH385" t="s">
        <v>74</v>
      </c>
      <c r="BI385">
        <v>20</v>
      </c>
      <c r="BJ385" t="s">
        <v>8023</v>
      </c>
      <c r="BK385" t="s">
        <v>100</v>
      </c>
      <c r="BL385" t="s">
        <v>8024</v>
      </c>
      <c r="BM385" t="s">
        <v>8025</v>
      </c>
      <c r="BN385">
        <v>32749425</v>
      </c>
      <c r="BO385" t="s">
        <v>74</v>
      </c>
      <c r="BP385" t="s">
        <v>74</v>
      </c>
      <c r="BQ385" t="s">
        <v>74</v>
      </c>
      <c r="BR385" t="s">
        <v>104</v>
      </c>
      <c r="BS385" t="s">
        <v>8026</v>
      </c>
      <c r="BT385" t="str">
        <f>HYPERLINK("https%3A%2F%2Fwww.webofscience.com%2Fwos%2Fwoscc%2Ffull-record%2FWOS:000580653600001","View Full Record in Web of Science")</f>
        <v>View Full Record in Web of Science</v>
      </c>
    </row>
    <row r="386" spans="1:72" x14ac:dyDescent="0.15">
      <c r="A386" t="s">
        <v>72</v>
      </c>
      <c r="B386" t="s">
        <v>8027</v>
      </c>
      <c r="C386" t="s">
        <v>74</v>
      </c>
      <c r="D386" t="s">
        <v>74</v>
      </c>
      <c r="E386" t="s">
        <v>74</v>
      </c>
      <c r="F386" t="s">
        <v>8028</v>
      </c>
      <c r="G386" t="s">
        <v>74</v>
      </c>
      <c r="H386" t="s">
        <v>74</v>
      </c>
      <c r="I386" t="s">
        <v>8029</v>
      </c>
      <c r="J386" t="s">
        <v>8030</v>
      </c>
      <c r="K386" t="s">
        <v>74</v>
      </c>
      <c r="L386" t="s">
        <v>74</v>
      </c>
      <c r="M386" t="s">
        <v>78</v>
      </c>
      <c r="N386" t="s">
        <v>6486</v>
      </c>
      <c r="O386" t="s">
        <v>8031</v>
      </c>
      <c r="P386" t="s">
        <v>8032</v>
      </c>
      <c r="Q386" t="s">
        <v>8033</v>
      </c>
      <c r="R386" t="s">
        <v>74</v>
      </c>
      <c r="S386" t="s">
        <v>74</v>
      </c>
      <c r="T386" t="s">
        <v>8034</v>
      </c>
      <c r="U386" t="s">
        <v>8035</v>
      </c>
      <c r="V386" t="s">
        <v>8036</v>
      </c>
      <c r="W386" t="s">
        <v>8037</v>
      </c>
      <c r="X386" t="s">
        <v>8038</v>
      </c>
      <c r="Y386" t="s">
        <v>8039</v>
      </c>
      <c r="Z386" t="s">
        <v>8040</v>
      </c>
      <c r="AA386" t="s">
        <v>74</v>
      </c>
      <c r="AB386" t="s">
        <v>8041</v>
      </c>
      <c r="AC386" t="s">
        <v>8042</v>
      </c>
      <c r="AD386" t="s">
        <v>8043</v>
      </c>
      <c r="AE386" t="s">
        <v>8044</v>
      </c>
      <c r="AF386" t="s">
        <v>74</v>
      </c>
      <c r="AG386">
        <v>35</v>
      </c>
      <c r="AH386">
        <v>3</v>
      </c>
      <c r="AI386">
        <v>3</v>
      </c>
      <c r="AJ386">
        <v>0</v>
      </c>
      <c r="AK386">
        <v>7</v>
      </c>
      <c r="AL386" t="s">
        <v>275</v>
      </c>
      <c r="AM386" t="s">
        <v>276</v>
      </c>
      <c r="AN386" t="s">
        <v>8045</v>
      </c>
      <c r="AO386" t="s">
        <v>8046</v>
      </c>
      <c r="AP386" t="s">
        <v>8047</v>
      </c>
      <c r="AQ386" t="s">
        <v>74</v>
      </c>
      <c r="AR386" t="s">
        <v>8048</v>
      </c>
      <c r="AS386" t="s">
        <v>8049</v>
      </c>
      <c r="AT386" t="s">
        <v>6558</v>
      </c>
      <c r="AU386">
        <v>2020</v>
      </c>
      <c r="AV386">
        <v>183</v>
      </c>
      <c r="AW386" t="s">
        <v>74</v>
      </c>
      <c r="AX386" t="s">
        <v>74</v>
      </c>
      <c r="AY386" t="s">
        <v>74</v>
      </c>
      <c r="AZ386" t="s">
        <v>74</v>
      </c>
      <c r="BA386" t="s">
        <v>74</v>
      </c>
      <c r="BB386" t="s">
        <v>74</v>
      </c>
      <c r="BC386" t="s">
        <v>74</v>
      </c>
      <c r="BD386">
        <v>105122</v>
      </c>
      <c r="BE386" t="s">
        <v>8050</v>
      </c>
      <c r="BF386" t="str">
        <f>HYPERLINK("http://dx.doi.org/10.1016/j.prevetmed.2020.105122","http://dx.doi.org/10.1016/j.prevetmed.2020.105122")</f>
        <v>http://dx.doi.org/10.1016/j.prevetmed.2020.105122</v>
      </c>
      <c r="BG386" t="s">
        <v>74</v>
      </c>
      <c r="BH386" t="s">
        <v>74</v>
      </c>
      <c r="BI386">
        <v>9</v>
      </c>
      <c r="BJ386" t="s">
        <v>6225</v>
      </c>
      <c r="BK386" t="s">
        <v>6508</v>
      </c>
      <c r="BL386" t="s">
        <v>6225</v>
      </c>
      <c r="BM386" t="s">
        <v>8051</v>
      </c>
      <c r="BN386">
        <v>32891901</v>
      </c>
      <c r="BO386" t="s">
        <v>74</v>
      </c>
      <c r="BP386" t="s">
        <v>74</v>
      </c>
      <c r="BQ386" t="s">
        <v>74</v>
      </c>
      <c r="BR386" t="s">
        <v>104</v>
      </c>
      <c r="BS386" t="s">
        <v>8052</v>
      </c>
      <c r="BT386" t="str">
        <f>HYPERLINK("https%3A%2F%2Fwww.webofscience.com%2Fwos%2Fwoscc%2Ffull-record%2FWOS:000579919400009","View Full Record in Web of Science")</f>
        <v>View Full Record in Web of Science</v>
      </c>
    </row>
    <row r="387" spans="1:72" x14ac:dyDescent="0.15">
      <c r="A387" t="s">
        <v>72</v>
      </c>
      <c r="B387" t="s">
        <v>8053</v>
      </c>
      <c r="C387" t="s">
        <v>74</v>
      </c>
      <c r="D387" t="s">
        <v>74</v>
      </c>
      <c r="E387" t="s">
        <v>74</v>
      </c>
      <c r="F387" t="s">
        <v>8054</v>
      </c>
      <c r="G387" t="s">
        <v>74</v>
      </c>
      <c r="H387" t="s">
        <v>74</v>
      </c>
      <c r="I387" t="s">
        <v>8055</v>
      </c>
      <c r="J387" t="s">
        <v>8056</v>
      </c>
      <c r="K387" t="s">
        <v>74</v>
      </c>
      <c r="L387" t="s">
        <v>74</v>
      </c>
      <c r="M387" t="s">
        <v>78</v>
      </c>
      <c r="N387" t="s">
        <v>79</v>
      </c>
      <c r="O387" t="s">
        <v>74</v>
      </c>
      <c r="P387" t="s">
        <v>74</v>
      </c>
      <c r="Q387" t="s">
        <v>74</v>
      </c>
      <c r="R387" t="s">
        <v>74</v>
      </c>
      <c r="S387" t="s">
        <v>74</v>
      </c>
      <c r="T387" t="s">
        <v>8057</v>
      </c>
      <c r="U387" t="s">
        <v>8058</v>
      </c>
      <c r="V387" t="s">
        <v>8059</v>
      </c>
      <c r="W387" t="s">
        <v>8060</v>
      </c>
      <c r="X387" t="s">
        <v>811</v>
      </c>
      <c r="Y387" t="s">
        <v>8061</v>
      </c>
      <c r="Z387" t="s">
        <v>8062</v>
      </c>
      <c r="AA387" t="s">
        <v>8063</v>
      </c>
      <c r="AB387" t="s">
        <v>8064</v>
      </c>
      <c r="AC387" t="s">
        <v>74</v>
      </c>
      <c r="AD387" t="s">
        <v>74</v>
      </c>
      <c r="AE387" t="s">
        <v>74</v>
      </c>
      <c r="AF387" t="s">
        <v>74</v>
      </c>
      <c r="AG387">
        <v>35</v>
      </c>
      <c r="AH387">
        <v>7</v>
      </c>
      <c r="AI387">
        <v>8</v>
      </c>
      <c r="AJ387">
        <v>0</v>
      </c>
      <c r="AK387">
        <v>10</v>
      </c>
      <c r="AL387" t="s">
        <v>219</v>
      </c>
      <c r="AM387" t="s">
        <v>220</v>
      </c>
      <c r="AN387" t="s">
        <v>221</v>
      </c>
      <c r="AO387" t="s">
        <v>8065</v>
      </c>
      <c r="AP387" t="s">
        <v>8066</v>
      </c>
      <c r="AQ387" t="s">
        <v>74</v>
      </c>
      <c r="AR387" t="s">
        <v>8067</v>
      </c>
      <c r="AS387" t="s">
        <v>8068</v>
      </c>
      <c r="AT387" t="s">
        <v>6558</v>
      </c>
      <c r="AU387">
        <v>2020</v>
      </c>
      <c r="AV387">
        <v>56</v>
      </c>
      <c r="AW387">
        <v>5</v>
      </c>
      <c r="AX387" t="s">
        <v>74</v>
      </c>
      <c r="AY387" t="s">
        <v>74</v>
      </c>
      <c r="AZ387" t="s">
        <v>74</v>
      </c>
      <c r="BA387" t="s">
        <v>74</v>
      </c>
      <c r="BB387">
        <v>1196</v>
      </c>
      <c r="BC387">
        <v>1207</v>
      </c>
      <c r="BD387" t="s">
        <v>74</v>
      </c>
      <c r="BE387" t="s">
        <v>8069</v>
      </c>
      <c r="BF387" t="str">
        <f>HYPERLINK("http://dx.doi.org/10.1111/jpy.13027","http://dx.doi.org/10.1111/jpy.13027")</f>
        <v>http://dx.doi.org/10.1111/jpy.13027</v>
      </c>
      <c r="BG387" t="s">
        <v>74</v>
      </c>
      <c r="BH387" t="s">
        <v>74</v>
      </c>
      <c r="BI387">
        <v>12</v>
      </c>
      <c r="BJ387" t="s">
        <v>7871</v>
      </c>
      <c r="BK387" t="s">
        <v>100</v>
      </c>
      <c r="BL387" t="s">
        <v>7871</v>
      </c>
      <c r="BM387" t="s">
        <v>8070</v>
      </c>
      <c r="BN387">
        <v>32428973</v>
      </c>
      <c r="BO387" t="s">
        <v>74</v>
      </c>
      <c r="BP387" t="s">
        <v>74</v>
      </c>
      <c r="BQ387" t="s">
        <v>74</v>
      </c>
      <c r="BR387" t="s">
        <v>104</v>
      </c>
      <c r="BS387" t="s">
        <v>8071</v>
      </c>
      <c r="BT387" t="str">
        <f>HYPERLINK("https%3A%2F%2Fwww.webofscience.com%2Fwos%2Fwoscc%2Ffull-record%2FWOS:000580734600007","View Full Record in Web of Science")</f>
        <v>View Full Record in Web of Science</v>
      </c>
    </row>
    <row r="388" spans="1:72" x14ac:dyDescent="0.15">
      <c r="A388" t="s">
        <v>72</v>
      </c>
      <c r="B388" t="s">
        <v>8072</v>
      </c>
      <c r="C388" t="s">
        <v>74</v>
      </c>
      <c r="D388" t="s">
        <v>74</v>
      </c>
      <c r="E388" t="s">
        <v>74</v>
      </c>
      <c r="F388" t="s">
        <v>8073</v>
      </c>
      <c r="G388" t="s">
        <v>74</v>
      </c>
      <c r="H388" t="s">
        <v>74</v>
      </c>
      <c r="I388" t="s">
        <v>8074</v>
      </c>
      <c r="J388" t="s">
        <v>8075</v>
      </c>
      <c r="K388" t="s">
        <v>74</v>
      </c>
      <c r="L388" t="s">
        <v>74</v>
      </c>
      <c r="M388" t="s">
        <v>78</v>
      </c>
      <c r="N388" t="s">
        <v>79</v>
      </c>
      <c r="O388" t="s">
        <v>74</v>
      </c>
      <c r="P388" t="s">
        <v>74</v>
      </c>
      <c r="Q388" t="s">
        <v>74</v>
      </c>
      <c r="R388" t="s">
        <v>74</v>
      </c>
      <c r="S388" t="s">
        <v>74</v>
      </c>
      <c r="T388" t="s">
        <v>8076</v>
      </c>
      <c r="U388" t="s">
        <v>8077</v>
      </c>
      <c r="V388" t="s">
        <v>8078</v>
      </c>
      <c r="W388" t="s">
        <v>8079</v>
      </c>
      <c r="X388" t="s">
        <v>8080</v>
      </c>
      <c r="Y388" t="s">
        <v>8081</v>
      </c>
      <c r="Z388" t="s">
        <v>8082</v>
      </c>
      <c r="AA388" t="s">
        <v>8083</v>
      </c>
      <c r="AB388" t="s">
        <v>8084</v>
      </c>
      <c r="AC388" t="s">
        <v>8085</v>
      </c>
      <c r="AD388" t="s">
        <v>8086</v>
      </c>
      <c r="AE388" t="s">
        <v>8087</v>
      </c>
      <c r="AF388" t="s">
        <v>74</v>
      </c>
      <c r="AG388">
        <v>65</v>
      </c>
      <c r="AH388">
        <v>5</v>
      </c>
      <c r="AI388">
        <v>6</v>
      </c>
      <c r="AJ388">
        <v>3</v>
      </c>
      <c r="AK388">
        <v>27</v>
      </c>
      <c r="AL388" t="s">
        <v>1522</v>
      </c>
      <c r="AM388" t="s">
        <v>1407</v>
      </c>
      <c r="AN388" t="s">
        <v>1523</v>
      </c>
      <c r="AO388" t="s">
        <v>8088</v>
      </c>
      <c r="AP388" t="s">
        <v>74</v>
      </c>
      <c r="AQ388" t="s">
        <v>74</v>
      </c>
      <c r="AR388" t="s">
        <v>8089</v>
      </c>
      <c r="AS388" t="s">
        <v>8090</v>
      </c>
      <c r="AT388" t="s">
        <v>6558</v>
      </c>
      <c r="AU388">
        <v>2020</v>
      </c>
      <c r="AV388">
        <v>93</v>
      </c>
      <c r="AW388" t="s">
        <v>74</v>
      </c>
      <c r="AX388" t="s">
        <v>74</v>
      </c>
      <c r="AY388" t="s">
        <v>74</v>
      </c>
      <c r="AZ388" t="s">
        <v>74</v>
      </c>
      <c r="BA388" t="s">
        <v>74</v>
      </c>
      <c r="BB388" t="s">
        <v>74</v>
      </c>
      <c r="BC388" t="s">
        <v>74</v>
      </c>
      <c r="BD388">
        <v>102732</v>
      </c>
      <c r="BE388" t="s">
        <v>8091</v>
      </c>
      <c r="BF388" t="str">
        <f>HYPERLINK("http://dx.doi.org/10.1016/j.jtherbio.2020.102732","http://dx.doi.org/10.1016/j.jtherbio.2020.102732")</f>
        <v>http://dx.doi.org/10.1016/j.jtherbio.2020.102732</v>
      </c>
      <c r="BG388" t="s">
        <v>74</v>
      </c>
      <c r="BH388" t="s">
        <v>74</v>
      </c>
      <c r="BI388">
        <v>8</v>
      </c>
      <c r="BJ388" t="s">
        <v>8092</v>
      </c>
      <c r="BK388" t="s">
        <v>100</v>
      </c>
      <c r="BL388" t="s">
        <v>8093</v>
      </c>
      <c r="BM388" t="s">
        <v>8094</v>
      </c>
      <c r="BN388">
        <v>33077143</v>
      </c>
      <c r="BO388" t="s">
        <v>1432</v>
      </c>
      <c r="BP388" t="s">
        <v>74</v>
      </c>
      <c r="BQ388" t="s">
        <v>74</v>
      </c>
      <c r="BR388" t="s">
        <v>104</v>
      </c>
      <c r="BS388" t="s">
        <v>8095</v>
      </c>
      <c r="BT388" t="str">
        <f>HYPERLINK("https%3A%2F%2Fwww.webofscience.com%2Fwos%2Fwoscc%2Ffull-record%2FWOS:000579864500039","View Full Record in Web of Science")</f>
        <v>View Full Record in Web of Science</v>
      </c>
    </row>
    <row r="389" spans="1:72" x14ac:dyDescent="0.15">
      <c r="A389" t="s">
        <v>72</v>
      </c>
      <c r="B389" t="s">
        <v>8096</v>
      </c>
      <c r="C389" t="s">
        <v>74</v>
      </c>
      <c r="D389" t="s">
        <v>74</v>
      </c>
      <c r="E389" t="s">
        <v>74</v>
      </c>
      <c r="F389" t="s">
        <v>8097</v>
      </c>
      <c r="G389" t="s">
        <v>74</v>
      </c>
      <c r="H389" t="s">
        <v>74</v>
      </c>
      <c r="I389" t="s">
        <v>8098</v>
      </c>
      <c r="J389" t="s">
        <v>8099</v>
      </c>
      <c r="K389" t="s">
        <v>74</v>
      </c>
      <c r="L389" t="s">
        <v>74</v>
      </c>
      <c r="M389" t="s">
        <v>78</v>
      </c>
      <c r="N389" t="s">
        <v>138</v>
      </c>
      <c r="O389" t="s">
        <v>74</v>
      </c>
      <c r="P389" t="s">
        <v>74</v>
      </c>
      <c r="Q389" t="s">
        <v>74</v>
      </c>
      <c r="R389" t="s">
        <v>74</v>
      </c>
      <c r="S389" t="s">
        <v>74</v>
      </c>
      <c r="T389" t="s">
        <v>8100</v>
      </c>
      <c r="U389" t="s">
        <v>8101</v>
      </c>
      <c r="V389" t="s">
        <v>8102</v>
      </c>
      <c r="W389" t="s">
        <v>8103</v>
      </c>
      <c r="X389" t="s">
        <v>8104</v>
      </c>
      <c r="Y389" t="s">
        <v>8105</v>
      </c>
      <c r="Z389" t="s">
        <v>8106</v>
      </c>
      <c r="AA389" t="s">
        <v>8107</v>
      </c>
      <c r="AB389" t="s">
        <v>8108</v>
      </c>
      <c r="AC389" t="s">
        <v>8109</v>
      </c>
      <c r="AD389" t="s">
        <v>8110</v>
      </c>
      <c r="AE389" t="s">
        <v>8111</v>
      </c>
      <c r="AF389" t="s">
        <v>74</v>
      </c>
      <c r="AG389">
        <v>145</v>
      </c>
      <c r="AH389">
        <v>20</v>
      </c>
      <c r="AI389">
        <v>21</v>
      </c>
      <c r="AJ389">
        <v>8</v>
      </c>
      <c r="AK389">
        <v>51</v>
      </c>
      <c r="AL389" t="s">
        <v>1572</v>
      </c>
      <c r="AM389" t="s">
        <v>1407</v>
      </c>
      <c r="AN389" t="s">
        <v>1573</v>
      </c>
      <c r="AO389" t="s">
        <v>8112</v>
      </c>
      <c r="AP389" t="s">
        <v>8113</v>
      </c>
      <c r="AQ389" t="s">
        <v>74</v>
      </c>
      <c r="AR389" t="s">
        <v>8114</v>
      </c>
      <c r="AS389" t="s">
        <v>8115</v>
      </c>
      <c r="AT389" t="s">
        <v>6558</v>
      </c>
      <c r="AU389">
        <v>2020</v>
      </c>
      <c r="AV389">
        <v>161</v>
      </c>
      <c r="AW389" t="s">
        <v>74</v>
      </c>
      <c r="AX389" t="s">
        <v>74</v>
      </c>
      <c r="AY389" t="s">
        <v>74</v>
      </c>
      <c r="AZ389" t="s">
        <v>74</v>
      </c>
      <c r="BA389" t="s">
        <v>74</v>
      </c>
      <c r="BB389" t="s">
        <v>74</v>
      </c>
      <c r="BC389" t="s">
        <v>74</v>
      </c>
      <c r="BD389">
        <v>105086</v>
      </c>
      <c r="BE389" t="s">
        <v>8116</v>
      </c>
      <c r="BF389" t="str">
        <f>HYPERLINK("http://dx.doi.org/10.1016/j.marenvres.2020.105086","http://dx.doi.org/10.1016/j.marenvres.2020.105086")</f>
        <v>http://dx.doi.org/10.1016/j.marenvres.2020.105086</v>
      </c>
      <c r="BG389" t="s">
        <v>74</v>
      </c>
      <c r="BH389" t="s">
        <v>74</v>
      </c>
      <c r="BI389">
        <v>15</v>
      </c>
      <c r="BJ389" t="s">
        <v>8117</v>
      </c>
      <c r="BK389" t="s">
        <v>100</v>
      </c>
      <c r="BL389" t="s">
        <v>8118</v>
      </c>
      <c r="BM389" t="s">
        <v>8119</v>
      </c>
      <c r="BN389">
        <v>32889447</v>
      </c>
      <c r="BO389" t="s">
        <v>1188</v>
      </c>
      <c r="BP389" t="s">
        <v>74</v>
      </c>
      <c r="BQ389" t="s">
        <v>74</v>
      </c>
      <c r="BR389" t="s">
        <v>104</v>
      </c>
      <c r="BS389" t="s">
        <v>8120</v>
      </c>
      <c r="BT389" t="str">
        <f>HYPERLINK("https%3A%2F%2Fwww.webofscience.com%2Fwos%2Fwoscc%2Ffull-record%2FWOS:000579495700037","View Full Record in Web of Science")</f>
        <v>View Full Record in Web of Science</v>
      </c>
    </row>
    <row r="390" spans="1:72" x14ac:dyDescent="0.15">
      <c r="A390" t="s">
        <v>72</v>
      </c>
      <c r="B390" t="s">
        <v>8121</v>
      </c>
      <c r="C390" t="s">
        <v>74</v>
      </c>
      <c r="D390" t="s">
        <v>74</v>
      </c>
      <c r="E390" t="s">
        <v>74</v>
      </c>
      <c r="F390" t="s">
        <v>8122</v>
      </c>
      <c r="G390" t="s">
        <v>74</v>
      </c>
      <c r="H390" t="s">
        <v>74</v>
      </c>
      <c r="I390" t="s">
        <v>8123</v>
      </c>
      <c r="J390" t="s">
        <v>8099</v>
      </c>
      <c r="K390" t="s">
        <v>74</v>
      </c>
      <c r="L390" t="s">
        <v>74</v>
      </c>
      <c r="M390" t="s">
        <v>78</v>
      </c>
      <c r="N390" t="s">
        <v>79</v>
      </c>
      <c r="O390" t="s">
        <v>74</v>
      </c>
      <c r="P390" t="s">
        <v>74</v>
      </c>
      <c r="Q390" t="s">
        <v>74</v>
      </c>
      <c r="R390" t="s">
        <v>74</v>
      </c>
      <c r="S390" t="s">
        <v>74</v>
      </c>
      <c r="T390" t="s">
        <v>8124</v>
      </c>
      <c r="U390" t="s">
        <v>8125</v>
      </c>
      <c r="V390" t="s">
        <v>8126</v>
      </c>
      <c r="W390" t="s">
        <v>8127</v>
      </c>
      <c r="X390" t="s">
        <v>8128</v>
      </c>
      <c r="Y390" t="s">
        <v>8129</v>
      </c>
      <c r="Z390" t="s">
        <v>8130</v>
      </c>
      <c r="AA390" t="s">
        <v>8131</v>
      </c>
      <c r="AB390" t="s">
        <v>8132</v>
      </c>
      <c r="AC390" t="s">
        <v>8133</v>
      </c>
      <c r="AD390" t="s">
        <v>8134</v>
      </c>
      <c r="AE390" t="s">
        <v>8135</v>
      </c>
      <c r="AF390" t="s">
        <v>74</v>
      </c>
      <c r="AG390">
        <v>67</v>
      </c>
      <c r="AH390">
        <v>5</v>
      </c>
      <c r="AI390">
        <v>5</v>
      </c>
      <c r="AJ390">
        <v>2</v>
      </c>
      <c r="AK390">
        <v>21</v>
      </c>
      <c r="AL390" t="s">
        <v>1572</v>
      </c>
      <c r="AM390" t="s">
        <v>1407</v>
      </c>
      <c r="AN390" t="s">
        <v>1573</v>
      </c>
      <c r="AO390" t="s">
        <v>8112</v>
      </c>
      <c r="AP390" t="s">
        <v>8113</v>
      </c>
      <c r="AQ390" t="s">
        <v>74</v>
      </c>
      <c r="AR390" t="s">
        <v>8114</v>
      </c>
      <c r="AS390" t="s">
        <v>8115</v>
      </c>
      <c r="AT390" t="s">
        <v>6558</v>
      </c>
      <c r="AU390">
        <v>2020</v>
      </c>
      <c r="AV390">
        <v>161</v>
      </c>
      <c r="AW390" t="s">
        <v>74</v>
      </c>
      <c r="AX390" t="s">
        <v>74</v>
      </c>
      <c r="AY390" t="s">
        <v>74</v>
      </c>
      <c r="AZ390" t="s">
        <v>74</v>
      </c>
      <c r="BA390" t="s">
        <v>74</v>
      </c>
      <c r="BB390" t="s">
        <v>74</v>
      </c>
      <c r="BC390" t="s">
        <v>74</v>
      </c>
      <c r="BD390">
        <v>105049</v>
      </c>
      <c r="BE390" t="s">
        <v>8136</v>
      </c>
      <c r="BF390" t="str">
        <f>HYPERLINK("http://dx.doi.org/10.1016/j.marenvres.2020.105049","http://dx.doi.org/10.1016/j.marenvres.2020.105049")</f>
        <v>http://dx.doi.org/10.1016/j.marenvres.2020.105049</v>
      </c>
      <c r="BG390" t="s">
        <v>74</v>
      </c>
      <c r="BH390" t="s">
        <v>74</v>
      </c>
      <c r="BI390">
        <v>7</v>
      </c>
      <c r="BJ390" t="s">
        <v>8117</v>
      </c>
      <c r="BK390" t="s">
        <v>100</v>
      </c>
      <c r="BL390" t="s">
        <v>8118</v>
      </c>
      <c r="BM390" t="s">
        <v>8119</v>
      </c>
      <c r="BN390">
        <v>33070930</v>
      </c>
      <c r="BO390" t="s">
        <v>701</v>
      </c>
      <c r="BP390" t="s">
        <v>74</v>
      </c>
      <c r="BQ390" t="s">
        <v>74</v>
      </c>
      <c r="BR390" t="s">
        <v>104</v>
      </c>
      <c r="BS390" t="s">
        <v>8137</v>
      </c>
      <c r="BT390" t="str">
        <f>HYPERLINK("https%3A%2F%2Fwww.webofscience.com%2Fwos%2Fwoscc%2Ffull-record%2FWOS:000579495700032","View Full Record in Web of Science")</f>
        <v>View Full Record in Web of Science</v>
      </c>
    </row>
    <row r="391" spans="1:72" x14ac:dyDescent="0.15">
      <c r="A391" t="s">
        <v>72</v>
      </c>
      <c r="B391" t="s">
        <v>8138</v>
      </c>
      <c r="C391" t="s">
        <v>74</v>
      </c>
      <c r="D391" t="s">
        <v>74</v>
      </c>
      <c r="E391" t="s">
        <v>74</v>
      </c>
      <c r="F391" t="s">
        <v>8139</v>
      </c>
      <c r="G391" t="s">
        <v>74</v>
      </c>
      <c r="H391" t="s">
        <v>74</v>
      </c>
      <c r="I391" t="s">
        <v>8140</v>
      </c>
      <c r="J391" t="s">
        <v>8099</v>
      </c>
      <c r="K391" t="s">
        <v>74</v>
      </c>
      <c r="L391" t="s">
        <v>74</v>
      </c>
      <c r="M391" t="s">
        <v>78</v>
      </c>
      <c r="N391" t="s">
        <v>79</v>
      </c>
      <c r="O391" t="s">
        <v>74</v>
      </c>
      <c r="P391" t="s">
        <v>74</v>
      </c>
      <c r="Q391" t="s">
        <v>74</v>
      </c>
      <c r="R391" t="s">
        <v>74</v>
      </c>
      <c r="S391" t="s">
        <v>74</v>
      </c>
      <c r="T391" t="s">
        <v>8141</v>
      </c>
      <c r="U391" t="s">
        <v>8142</v>
      </c>
      <c r="V391" t="s">
        <v>8143</v>
      </c>
      <c r="W391" t="s">
        <v>8144</v>
      </c>
      <c r="X391" t="s">
        <v>811</v>
      </c>
      <c r="Y391" t="s">
        <v>8145</v>
      </c>
      <c r="Z391" t="s">
        <v>8146</v>
      </c>
      <c r="AA391" t="s">
        <v>8147</v>
      </c>
      <c r="AB391" t="s">
        <v>8148</v>
      </c>
      <c r="AC391" t="s">
        <v>8149</v>
      </c>
      <c r="AD391" t="s">
        <v>8150</v>
      </c>
      <c r="AE391" t="s">
        <v>8151</v>
      </c>
      <c r="AF391" t="s">
        <v>74</v>
      </c>
      <c r="AG391">
        <v>88</v>
      </c>
      <c r="AH391">
        <v>5</v>
      </c>
      <c r="AI391">
        <v>5</v>
      </c>
      <c r="AJ391">
        <v>2</v>
      </c>
      <c r="AK391">
        <v>19</v>
      </c>
      <c r="AL391" t="s">
        <v>1572</v>
      </c>
      <c r="AM391" t="s">
        <v>1407</v>
      </c>
      <c r="AN391" t="s">
        <v>1573</v>
      </c>
      <c r="AO391" t="s">
        <v>8112</v>
      </c>
      <c r="AP391" t="s">
        <v>8113</v>
      </c>
      <c r="AQ391" t="s">
        <v>74</v>
      </c>
      <c r="AR391" t="s">
        <v>8114</v>
      </c>
      <c r="AS391" t="s">
        <v>8115</v>
      </c>
      <c r="AT391" t="s">
        <v>6558</v>
      </c>
      <c r="AU391">
        <v>2020</v>
      </c>
      <c r="AV391">
        <v>161</v>
      </c>
      <c r="AW391" t="s">
        <v>74</v>
      </c>
      <c r="AX391" t="s">
        <v>74</v>
      </c>
      <c r="AY391" t="s">
        <v>74</v>
      </c>
      <c r="AZ391" t="s">
        <v>74</v>
      </c>
      <c r="BA391" t="s">
        <v>74</v>
      </c>
      <c r="BB391" t="s">
        <v>74</v>
      </c>
      <c r="BC391" t="s">
        <v>74</v>
      </c>
      <c r="BD391">
        <v>105127</v>
      </c>
      <c r="BE391" t="s">
        <v>8152</v>
      </c>
      <c r="BF391" t="str">
        <f>HYPERLINK("http://dx.doi.org/10.1016/j.marenvres.2020.105127","http://dx.doi.org/10.1016/j.marenvres.2020.105127")</f>
        <v>http://dx.doi.org/10.1016/j.marenvres.2020.105127</v>
      </c>
      <c r="BG391" t="s">
        <v>74</v>
      </c>
      <c r="BH391" t="s">
        <v>74</v>
      </c>
      <c r="BI391">
        <v>10</v>
      </c>
      <c r="BJ391" t="s">
        <v>8117</v>
      </c>
      <c r="BK391" t="s">
        <v>100</v>
      </c>
      <c r="BL391" t="s">
        <v>8118</v>
      </c>
      <c r="BM391" t="s">
        <v>8119</v>
      </c>
      <c r="BN391">
        <v>32889445</v>
      </c>
      <c r="BO391" t="s">
        <v>74</v>
      </c>
      <c r="BP391" t="s">
        <v>74</v>
      </c>
      <c r="BQ391" t="s">
        <v>74</v>
      </c>
      <c r="BR391" t="s">
        <v>104</v>
      </c>
      <c r="BS391" t="s">
        <v>8153</v>
      </c>
      <c r="BT391" t="str">
        <f>HYPERLINK("https%3A%2F%2Fwww.webofscience.com%2Fwos%2Fwoscc%2Ffull-record%2FWOS:000579495700051","View Full Record in Web of Science")</f>
        <v>View Full Record in Web of Science</v>
      </c>
    </row>
    <row r="392" spans="1:72" x14ac:dyDescent="0.15">
      <c r="A392" t="s">
        <v>72</v>
      </c>
      <c r="B392" t="s">
        <v>8154</v>
      </c>
      <c r="C392" t="s">
        <v>74</v>
      </c>
      <c r="D392" t="s">
        <v>74</v>
      </c>
      <c r="E392" t="s">
        <v>74</v>
      </c>
      <c r="F392" t="s">
        <v>8155</v>
      </c>
      <c r="G392" t="s">
        <v>74</v>
      </c>
      <c r="H392" t="s">
        <v>74</v>
      </c>
      <c r="I392" t="s">
        <v>8156</v>
      </c>
      <c r="J392" t="s">
        <v>8157</v>
      </c>
      <c r="K392" t="s">
        <v>74</v>
      </c>
      <c r="L392" t="s">
        <v>74</v>
      </c>
      <c r="M392" t="s">
        <v>78</v>
      </c>
      <c r="N392" t="s">
        <v>79</v>
      </c>
      <c r="O392" t="s">
        <v>74</v>
      </c>
      <c r="P392" t="s">
        <v>74</v>
      </c>
      <c r="Q392" t="s">
        <v>74</v>
      </c>
      <c r="R392" t="s">
        <v>74</v>
      </c>
      <c r="S392" t="s">
        <v>74</v>
      </c>
      <c r="T392" t="s">
        <v>74</v>
      </c>
      <c r="U392" t="s">
        <v>8158</v>
      </c>
      <c r="V392" t="s">
        <v>8159</v>
      </c>
      <c r="W392" t="s">
        <v>8160</v>
      </c>
      <c r="X392" t="s">
        <v>8161</v>
      </c>
      <c r="Y392" t="s">
        <v>8162</v>
      </c>
      <c r="Z392" t="s">
        <v>8163</v>
      </c>
      <c r="AA392" t="s">
        <v>8164</v>
      </c>
      <c r="AB392" t="s">
        <v>8165</v>
      </c>
      <c r="AC392" t="s">
        <v>8166</v>
      </c>
      <c r="AD392" t="s">
        <v>8167</v>
      </c>
      <c r="AE392" t="s">
        <v>8168</v>
      </c>
      <c r="AF392" t="s">
        <v>74</v>
      </c>
      <c r="AG392">
        <v>9</v>
      </c>
      <c r="AH392">
        <v>1</v>
      </c>
      <c r="AI392">
        <v>1</v>
      </c>
      <c r="AJ392">
        <v>0</v>
      </c>
      <c r="AK392">
        <v>0</v>
      </c>
      <c r="AL392" t="s">
        <v>1251</v>
      </c>
      <c r="AM392" t="s">
        <v>609</v>
      </c>
      <c r="AN392" t="s">
        <v>1252</v>
      </c>
      <c r="AO392" t="s">
        <v>8169</v>
      </c>
      <c r="AP392" t="s">
        <v>74</v>
      </c>
      <c r="AQ392" t="s">
        <v>74</v>
      </c>
      <c r="AR392" t="s">
        <v>8170</v>
      </c>
      <c r="AS392" t="s">
        <v>8171</v>
      </c>
      <c r="AT392" t="s">
        <v>6558</v>
      </c>
      <c r="AU392">
        <v>2020</v>
      </c>
      <c r="AV392">
        <v>9</v>
      </c>
      <c r="AW392">
        <v>41</v>
      </c>
      <c r="AX392" t="s">
        <v>74</v>
      </c>
      <c r="AY392" t="s">
        <v>74</v>
      </c>
      <c r="AZ392" t="s">
        <v>74</v>
      </c>
      <c r="BA392" t="s">
        <v>74</v>
      </c>
      <c r="BB392" t="s">
        <v>74</v>
      </c>
      <c r="BC392" t="s">
        <v>74</v>
      </c>
      <c r="BD392" t="s">
        <v>8172</v>
      </c>
      <c r="BE392" t="s">
        <v>8173</v>
      </c>
      <c r="BF392" t="str">
        <f>HYPERLINK("http://dx.doi.org/10.1128/MRA.00985-20","http://dx.doi.org/10.1128/MRA.00985-20")</f>
        <v>http://dx.doi.org/10.1128/MRA.00985-20</v>
      </c>
      <c r="BG392" t="s">
        <v>74</v>
      </c>
      <c r="BH392" t="s">
        <v>74</v>
      </c>
      <c r="BI392">
        <v>2</v>
      </c>
      <c r="BJ392" t="s">
        <v>229</v>
      </c>
      <c r="BK392" t="s">
        <v>1214</v>
      </c>
      <c r="BL392" t="s">
        <v>229</v>
      </c>
      <c r="BM392" t="s">
        <v>8174</v>
      </c>
      <c r="BN392">
        <v>33033136</v>
      </c>
      <c r="BO392" t="s">
        <v>332</v>
      </c>
      <c r="BP392" t="s">
        <v>74</v>
      </c>
      <c r="BQ392" t="s">
        <v>74</v>
      </c>
      <c r="BR392" t="s">
        <v>104</v>
      </c>
      <c r="BS392" t="s">
        <v>8175</v>
      </c>
      <c r="BT392" t="str">
        <f>HYPERLINK("https%3A%2F%2Fwww.webofscience.com%2Fwos%2Fwoscc%2Ffull-record%2FWOS:000579499700016","View Full Record in Web of Science")</f>
        <v>View Full Record in Web of Science</v>
      </c>
    </row>
    <row r="393" spans="1:72" x14ac:dyDescent="0.15">
      <c r="A393" t="s">
        <v>72</v>
      </c>
      <c r="B393" t="s">
        <v>8176</v>
      </c>
      <c r="C393" t="s">
        <v>74</v>
      </c>
      <c r="D393" t="s">
        <v>74</v>
      </c>
      <c r="E393" t="s">
        <v>74</v>
      </c>
      <c r="F393" t="s">
        <v>8177</v>
      </c>
      <c r="G393" t="s">
        <v>74</v>
      </c>
      <c r="H393" t="s">
        <v>74</v>
      </c>
      <c r="I393" t="s">
        <v>8178</v>
      </c>
      <c r="J393" t="s">
        <v>8157</v>
      </c>
      <c r="K393" t="s">
        <v>74</v>
      </c>
      <c r="L393" t="s">
        <v>74</v>
      </c>
      <c r="M393" t="s">
        <v>78</v>
      </c>
      <c r="N393" t="s">
        <v>79</v>
      </c>
      <c r="O393" t="s">
        <v>74</v>
      </c>
      <c r="P393" t="s">
        <v>74</v>
      </c>
      <c r="Q393" t="s">
        <v>74</v>
      </c>
      <c r="R393" t="s">
        <v>74</v>
      </c>
      <c r="S393" t="s">
        <v>74</v>
      </c>
      <c r="T393" t="s">
        <v>74</v>
      </c>
      <c r="U393" t="s">
        <v>8179</v>
      </c>
      <c r="V393" t="s">
        <v>8180</v>
      </c>
      <c r="W393" t="s">
        <v>8181</v>
      </c>
      <c r="X393" t="s">
        <v>8161</v>
      </c>
      <c r="Y393" t="s">
        <v>8162</v>
      </c>
      <c r="Z393" t="s">
        <v>8163</v>
      </c>
      <c r="AA393" t="s">
        <v>8164</v>
      </c>
      <c r="AB393" t="s">
        <v>8165</v>
      </c>
      <c r="AC393" t="s">
        <v>8182</v>
      </c>
      <c r="AD393" t="s">
        <v>8167</v>
      </c>
      <c r="AE393" t="s">
        <v>8183</v>
      </c>
      <c r="AF393" t="s">
        <v>74</v>
      </c>
      <c r="AG393">
        <v>13</v>
      </c>
      <c r="AH393">
        <v>0</v>
      </c>
      <c r="AI393">
        <v>0</v>
      </c>
      <c r="AJ393">
        <v>0</v>
      </c>
      <c r="AK393">
        <v>13</v>
      </c>
      <c r="AL393" t="s">
        <v>1251</v>
      </c>
      <c r="AM393" t="s">
        <v>609</v>
      </c>
      <c r="AN393" t="s">
        <v>1252</v>
      </c>
      <c r="AO393" t="s">
        <v>8169</v>
      </c>
      <c r="AP393" t="s">
        <v>74</v>
      </c>
      <c r="AQ393" t="s">
        <v>74</v>
      </c>
      <c r="AR393" t="s">
        <v>8170</v>
      </c>
      <c r="AS393" t="s">
        <v>8171</v>
      </c>
      <c r="AT393" t="s">
        <v>6558</v>
      </c>
      <c r="AU393">
        <v>2020</v>
      </c>
      <c r="AV393">
        <v>9</v>
      </c>
      <c r="AW393">
        <v>41</v>
      </c>
      <c r="AX393" t="s">
        <v>74</v>
      </c>
      <c r="AY393" t="s">
        <v>74</v>
      </c>
      <c r="AZ393" t="s">
        <v>74</v>
      </c>
      <c r="BA393" t="s">
        <v>74</v>
      </c>
      <c r="BB393" t="s">
        <v>74</v>
      </c>
      <c r="BC393" t="s">
        <v>74</v>
      </c>
      <c r="BD393" t="s">
        <v>8184</v>
      </c>
      <c r="BE393" t="s">
        <v>8185</v>
      </c>
      <c r="BF393" t="str">
        <f>HYPERLINK("http://dx.doi.org/10.1128/MRA.00986-20","http://dx.doi.org/10.1128/MRA.00986-20")</f>
        <v>http://dx.doi.org/10.1128/MRA.00986-20</v>
      </c>
      <c r="BG393" t="s">
        <v>74</v>
      </c>
      <c r="BH393" t="s">
        <v>74</v>
      </c>
      <c r="BI393">
        <v>2</v>
      </c>
      <c r="BJ393" t="s">
        <v>229</v>
      </c>
      <c r="BK393" t="s">
        <v>1214</v>
      </c>
      <c r="BL393" t="s">
        <v>229</v>
      </c>
      <c r="BM393" t="s">
        <v>8174</v>
      </c>
      <c r="BN393">
        <v>33033137</v>
      </c>
      <c r="BO393" t="s">
        <v>332</v>
      </c>
      <c r="BP393" t="s">
        <v>74</v>
      </c>
      <c r="BQ393" t="s">
        <v>74</v>
      </c>
      <c r="BR393" t="s">
        <v>104</v>
      </c>
      <c r="BS393" t="s">
        <v>8186</v>
      </c>
      <c r="BT393" t="str">
        <f>HYPERLINK("https%3A%2F%2Fwww.webofscience.com%2Fwos%2Fwoscc%2Ffull-record%2FWOS:000579499700017","View Full Record in Web of Science")</f>
        <v>View Full Record in Web of Science</v>
      </c>
    </row>
    <row r="394" spans="1:72" x14ac:dyDescent="0.15">
      <c r="A394" t="s">
        <v>72</v>
      </c>
      <c r="B394" t="s">
        <v>8187</v>
      </c>
      <c r="C394" t="s">
        <v>74</v>
      </c>
      <c r="D394" t="s">
        <v>74</v>
      </c>
      <c r="E394" t="s">
        <v>74</v>
      </c>
      <c r="F394" t="s">
        <v>8188</v>
      </c>
      <c r="G394" t="s">
        <v>74</v>
      </c>
      <c r="H394" t="s">
        <v>74</v>
      </c>
      <c r="I394" t="s">
        <v>8189</v>
      </c>
      <c r="J394" t="s">
        <v>3046</v>
      </c>
      <c r="K394" t="s">
        <v>74</v>
      </c>
      <c r="L394" t="s">
        <v>74</v>
      </c>
      <c r="M394" t="s">
        <v>78</v>
      </c>
      <c r="N394" t="s">
        <v>79</v>
      </c>
      <c r="O394" t="s">
        <v>74</v>
      </c>
      <c r="P394" t="s">
        <v>74</v>
      </c>
      <c r="Q394" t="s">
        <v>74</v>
      </c>
      <c r="R394" t="s">
        <v>74</v>
      </c>
      <c r="S394" t="s">
        <v>74</v>
      </c>
      <c r="T394" t="s">
        <v>74</v>
      </c>
      <c r="U394" t="s">
        <v>8190</v>
      </c>
      <c r="V394" t="s">
        <v>8191</v>
      </c>
      <c r="W394" t="s">
        <v>8192</v>
      </c>
      <c r="X394" t="s">
        <v>8193</v>
      </c>
      <c r="Y394" t="s">
        <v>8194</v>
      </c>
      <c r="Z394" t="s">
        <v>8195</v>
      </c>
      <c r="AA394" t="s">
        <v>8196</v>
      </c>
      <c r="AB394" t="s">
        <v>8197</v>
      </c>
      <c r="AC394" t="s">
        <v>8198</v>
      </c>
      <c r="AD394" t="s">
        <v>8199</v>
      </c>
      <c r="AE394" t="s">
        <v>8200</v>
      </c>
      <c r="AF394" t="s">
        <v>74</v>
      </c>
      <c r="AG394">
        <v>46</v>
      </c>
      <c r="AH394">
        <v>17</v>
      </c>
      <c r="AI394">
        <v>22</v>
      </c>
      <c r="AJ394">
        <v>8</v>
      </c>
      <c r="AK394">
        <v>52</v>
      </c>
      <c r="AL394" t="s">
        <v>608</v>
      </c>
      <c r="AM394" t="s">
        <v>609</v>
      </c>
      <c r="AN394" t="s">
        <v>610</v>
      </c>
      <c r="AO394" t="s">
        <v>3058</v>
      </c>
      <c r="AP394" t="s">
        <v>74</v>
      </c>
      <c r="AQ394" t="s">
        <v>74</v>
      </c>
      <c r="AR394" t="s">
        <v>3059</v>
      </c>
      <c r="AS394" t="s">
        <v>3060</v>
      </c>
      <c r="AT394" t="s">
        <v>6558</v>
      </c>
      <c r="AU394">
        <v>2020</v>
      </c>
      <c r="AV394">
        <v>6</v>
      </c>
      <c r="AW394">
        <v>41</v>
      </c>
      <c r="AX394" t="s">
        <v>74</v>
      </c>
      <c r="AY394" t="s">
        <v>74</v>
      </c>
      <c r="AZ394" t="s">
        <v>74</v>
      </c>
      <c r="BA394" t="s">
        <v>74</v>
      </c>
      <c r="BB394" t="s">
        <v>74</v>
      </c>
      <c r="BC394" t="s">
        <v>74</v>
      </c>
      <c r="BD394" t="s">
        <v>8201</v>
      </c>
      <c r="BE394" t="s">
        <v>8202</v>
      </c>
      <c r="BF394" t="str">
        <f>HYPERLINK("http://dx.doi.org/10.1126/sciadv.aba4823","http://dx.doi.org/10.1126/sciadv.aba4823")</f>
        <v>http://dx.doi.org/10.1126/sciadv.aba4823</v>
      </c>
      <c r="BG394" t="s">
        <v>74</v>
      </c>
      <c r="BH394" t="s">
        <v>74</v>
      </c>
      <c r="BI394">
        <v>8</v>
      </c>
      <c r="BJ394" t="s">
        <v>329</v>
      </c>
      <c r="BK394" t="s">
        <v>100</v>
      </c>
      <c r="BL394" t="s">
        <v>330</v>
      </c>
      <c r="BM394" t="s">
        <v>8203</v>
      </c>
      <c r="BN394">
        <v>33028516</v>
      </c>
      <c r="BO394" t="s">
        <v>2113</v>
      </c>
      <c r="BP394" t="s">
        <v>74</v>
      </c>
      <c r="BQ394" t="s">
        <v>74</v>
      </c>
      <c r="BR394" t="s">
        <v>104</v>
      </c>
      <c r="BS394" t="s">
        <v>8204</v>
      </c>
      <c r="BT394" t="str">
        <f>HYPERLINK("https%3A%2F%2Fwww.webofscience.com%2Fwos%2Fwoscc%2Ffull-record%2FWOS:000579161500007","View Full Record in Web of Science")</f>
        <v>View Full Record in Web of Science</v>
      </c>
    </row>
    <row r="395" spans="1:72" x14ac:dyDescent="0.15">
      <c r="A395" t="s">
        <v>72</v>
      </c>
      <c r="B395" t="s">
        <v>8205</v>
      </c>
      <c r="C395" t="s">
        <v>74</v>
      </c>
      <c r="D395" t="s">
        <v>74</v>
      </c>
      <c r="E395" t="s">
        <v>74</v>
      </c>
      <c r="F395" t="s">
        <v>8206</v>
      </c>
      <c r="G395" t="s">
        <v>74</v>
      </c>
      <c r="H395" t="s">
        <v>74</v>
      </c>
      <c r="I395" t="s">
        <v>8207</v>
      </c>
      <c r="J395" t="s">
        <v>8208</v>
      </c>
      <c r="K395" t="s">
        <v>74</v>
      </c>
      <c r="L395" t="s">
        <v>74</v>
      </c>
      <c r="M395" t="s">
        <v>78</v>
      </c>
      <c r="N395" t="s">
        <v>79</v>
      </c>
      <c r="O395" t="s">
        <v>74</v>
      </c>
      <c r="P395" t="s">
        <v>74</v>
      </c>
      <c r="Q395" t="s">
        <v>74</v>
      </c>
      <c r="R395" t="s">
        <v>74</v>
      </c>
      <c r="S395" t="s">
        <v>74</v>
      </c>
      <c r="T395" t="s">
        <v>8209</v>
      </c>
      <c r="U395" t="s">
        <v>8210</v>
      </c>
      <c r="V395" t="s">
        <v>8211</v>
      </c>
      <c r="W395" t="s">
        <v>8212</v>
      </c>
      <c r="X395" t="s">
        <v>8213</v>
      </c>
      <c r="Y395" t="s">
        <v>8214</v>
      </c>
      <c r="Z395" t="s">
        <v>8215</v>
      </c>
      <c r="AA395" t="s">
        <v>74</v>
      </c>
      <c r="AB395" t="s">
        <v>8216</v>
      </c>
      <c r="AC395" t="s">
        <v>8217</v>
      </c>
      <c r="AD395" t="s">
        <v>8218</v>
      </c>
      <c r="AE395" t="s">
        <v>8219</v>
      </c>
      <c r="AF395" t="s">
        <v>74</v>
      </c>
      <c r="AG395">
        <v>20</v>
      </c>
      <c r="AH395">
        <v>1</v>
      </c>
      <c r="AI395">
        <v>1</v>
      </c>
      <c r="AJ395">
        <v>1</v>
      </c>
      <c r="AK395">
        <v>9</v>
      </c>
      <c r="AL395" t="s">
        <v>8220</v>
      </c>
      <c r="AM395" t="s">
        <v>8221</v>
      </c>
      <c r="AN395" t="s">
        <v>8222</v>
      </c>
      <c r="AO395" t="s">
        <v>8223</v>
      </c>
      <c r="AP395" t="s">
        <v>8224</v>
      </c>
      <c r="AQ395" t="s">
        <v>74</v>
      </c>
      <c r="AR395" t="s">
        <v>8225</v>
      </c>
      <c r="AS395" t="s">
        <v>8226</v>
      </c>
      <c r="AT395" t="s">
        <v>6558</v>
      </c>
      <c r="AU395">
        <v>2020</v>
      </c>
      <c r="AV395">
        <v>29</v>
      </c>
      <c r="AW395">
        <v>5</v>
      </c>
      <c r="AX395" t="s">
        <v>74</v>
      </c>
      <c r="AY395" t="s">
        <v>74</v>
      </c>
      <c r="AZ395" t="s">
        <v>74</v>
      </c>
      <c r="BA395" t="s">
        <v>74</v>
      </c>
      <c r="BB395">
        <v>853</v>
      </c>
      <c r="BC395">
        <v>859</v>
      </c>
      <c r="BD395" t="s">
        <v>74</v>
      </c>
      <c r="BE395" t="s">
        <v>8227</v>
      </c>
      <c r="BF395" t="str">
        <f>HYPERLINK("http://dx.doi.org/10.1109/JMEMS.2020.3012420","http://dx.doi.org/10.1109/JMEMS.2020.3012420")</f>
        <v>http://dx.doi.org/10.1109/JMEMS.2020.3012420</v>
      </c>
      <c r="BG395" t="s">
        <v>74</v>
      </c>
      <c r="BH395" t="s">
        <v>74</v>
      </c>
      <c r="BI395">
        <v>7</v>
      </c>
      <c r="BJ395" t="s">
        <v>8228</v>
      </c>
      <c r="BK395" t="s">
        <v>100</v>
      </c>
      <c r="BL395" t="s">
        <v>8229</v>
      </c>
      <c r="BM395" t="s">
        <v>8230</v>
      </c>
      <c r="BN395" t="s">
        <v>74</v>
      </c>
      <c r="BO395" t="s">
        <v>1188</v>
      </c>
      <c r="BP395" t="s">
        <v>74</v>
      </c>
      <c r="BQ395" t="s">
        <v>74</v>
      </c>
      <c r="BR395" t="s">
        <v>104</v>
      </c>
      <c r="BS395" t="s">
        <v>8231</v>
      </c>
      <c r="BT395" t="str">
        <f>HYPERLINK("https%3A%2F%2Fwww.webofscience.com%2Fwos%2Fwoscc%2Ffull-record%2FWOS:000576466500034","View Full Record in Web of Science")</f>
        <v>View Full Record in Web of Science</v>
      </c>
    </row>
    <row r="396" spans="1:72" x14ac:dyDescent="0.15">
      <c r="A396" t="s">
        <v>72</v>
      </c>
      <c r="B396" t="s">
        <v>8232</v>
      </c>
      <c r="C396" t="s">
        <v>74</v>
      </c>
      <c r="D396" t="s">
        <v>74</v>
      </c>
      <c r="E396" t="s">
        <v>74</v>
      </c>
      <c r="F396" t="s">
        <v>8233</v>
      </c>
      <c r="G396" t="s">
        <v>74</v>
      </c>
      <c r="H396" t="s">
        <v>74</v>
      </c>
      <c r="I396" t="s">
        <v>8234</v>
      </c>
      <c r="J396" t="s">
        <v>8235</v>
      </c>
      <c r="K396" t="s">
        <v>74</v>
      </c>
      <c r="L396" t="s">
        <v>74</v>
      </c>
      <c r="M396" t="s">
        <v>78</v>
      </c>
      <c r="N396" t="s">
        <v>79</v>
      </c>
      <c r="O396" t="s">
        <v>74</v>
      </c>
      <c r="P396" t="s">
        <v>74</v>
      </c>
      <c r="Q396" t="s">
        <v>74</v>
      </c>
      <c r="R396" t="s">
        <v>74</v>
      </c>
      <c r="S396" t="s">
        <v>74</v>
      </c>
      <c r="T396" t="s">
        <v>74</v>
      </c>
      <c r="U396" t="s">
        <v>8236</v>
      </c>
      <c r="V396" t="s">
        <v>8237</v>
      </c>
      <c r="W396" t="s">
        <v>8238</v>
      </c>
      <c r="X396" t="s">
        <v>8239</v>
      </c>
      <c r="Y396" t="s">
        <v>8240</v>
      </c>
      <c r="Z396" t="s">
        <v>8241</v>
      </c>
      <c r="AA396" t="s">
        <v>8242</v>
      </c>
      <c r="AB396" t="s">
        <v>8243</v>
      </c>
      <c r="AC396" t="s">
        <v>8244</v>
      </c>
      <c r="AD396" t="s">
        <v>8245</v>
      </c>
      <c r="AE396" t="s">
        <v>8246</v>
      </c>
      <c r="AF396" t="s">
        <v>74</v>
      </c>
      <c r="AG396">
        <v>39</v>
      </c>
      <c r="AH396">
        <v>1</v>
      </c>
      <c r="AI396">
        <v>2</v>
      </c>
      <c r="AJ396">
        <v>0</v>
      </c>
      <c r="AK396">
        <v>15</v>
      </c>
      <c r="AL396" t="s">
        <v>8247</v>
      </c>
      <c r="AM396" t="s">
        <v>8248</v>
      </c>
      <c r="AN396" t="s">
        <v>8249</v>
      </c>
      <c r="AO396" t="s">
        <v>8250</v>
      </c>
      <c r="AP396" t="s">
        <v>8251</v>
      </c>
      <c r="AQ396" t="s">
        <v>74</v>
      </c>
      <c r="AR396" t="s">
        <v>8252</v>
      </c>
      <c r="AS396" t="s">
        <v>8253</v>
      </c>
      <c r="AT396" t="s">
        <v>6558</v>
      </c>
      <c r="AU396">
        <v>2020</v>
      </c>
      <c r="AV396">
        <v>77</v>
      </c>
      <c r="AW396">
        <v>10</v>
      </c>
      <c r="AX396" t="s">
        <v>74</v>
      </c>
      <c r="AY396" t="s">
        <v>74</v>
      </c>
      <c r="AZ396" t="s">
        <v>74</v>
      </c>
      <c r="BA396" t="s">
        <v>74</v>
      </c>
      <c r="BB396">
        <v>1659</v>
      </c>
      <c r="BC396">
        <v>1665</v>
      </c>
      <c r="BD396" t="s">
        <v>74</v>
      </c>
      <c r="BE396" t="s">
        <v>8254</v>
      </c>
      <c r="BF396" t="str">
        <f>HYPERLINK("http://dx.doi.org/10.1139/cjfas-2020-0025","http://dx.doi.org/10.1139/cjfas-2020-0025")</f>
        <v>http://dx.doi.org/10.1139/cjfas-2020-0025</v>
      </c>
      <c r="BG396" t="s">
        <v>74</v>
      </c>
      <c r="BH396" t="s">
        <v>74</v>
      </c>
      <c r="BI396">
        <v>7</v>
      </c>
      <c r="BJ396" t="s">
        <v>4322</v>
      </c>
      <c r="BK396" t="s">
        <v>100</v>
      </c>
      <c r="BL396" t="s">
        <v>4322</v>
      </c>
      <c r="BM396" t="s">
        <v>8255</v>
      </c>
      <c r="BN396" t="s">
        <v>74</v>
      </c>
      <c r="BO396" t="s">
        <v>618</v>
      </c>
      <c r="BP396" t="s">
        <v>74</v>
      </c>
      <c r="BQ396" t="s">
        <v>74</v>
      </c>
      <c r="BR396" t="s">
        <v>104</v>
      </c>
      <c r="BS396" t="s">
        <v>8256</v>
      </c>
      <c r="BT396" t="str">
        <f>HYPERLINK("https%3A%2F%2Fwww.webofscience.com%2Fwos%2Fwoscc%2Ffull-record%2FWOS:000575801000005","View Full Record in Web of Science")</f>
        <v>View Full Record in Web of Science</v>
      </c>
    </row>
    <row r="397" spans="1:72" x14ac:dyDescent="0.15">
      <c r="A397" t="s">
        <v>72</v>
      </c>
      <c r="B397" t="s">
        <v>8257</v>
      </c>
      <c r="C397" t="s">
        <v>74</v>
      </c>
      <c r="D397" t="s">
        <v>74</v>
      </c>
      <c r="E397" t="s">
        <v>74</v>
      </c>
      <c r="F397" t="s">
        <v>8258</v>
      </c>
      <c r="G397" t="s">
        <v>74</v>
      </c>
      <c r="H397" t="s">
        <v>74</v>
      </c>
      <c r="I397" t="s">
        <v>8259</v>
      </c>
      <c r="J397" t="s">
        <v>8260</v>
      </c>
      <c r="K397" t="s">
        <v>74</v>
      </c>
      <c r="L397" t="s">
        <v>74</v>
      </c>
      <c r="M397" t="s">
        <v>78</v>
      </c>
      <c r="N397" t="s">
        <v>138</v>
      </c>
      <c r="O397" t="s">
        <v>74</v>
      </c>
      <c r="P397" t="s">
        <v>74</v>
      </c>
      <c r="Q397" t="s">
        <v>74</v>
      </c>
      <c r="R397" t="s">
        <v>74</v>
      </c>
      <c r="S397" t="s">
        <v>74</v>
      </c>
      <c r="T397" t="s">
        <v>8261</v>
      </c>
      <c r="U397" t="s">
        <v>8262</v>
      </c>
      <c r="V397" t="s">
        <v>8263</v>
      </c>
      <c r="W397" t="s">
        <v>8264</v>
      </c>
      <c r="X397" t="s">
        <v>8265</v>
      </c>
      <c r="Y397" t="s">
        <v>8266</v>
      </c>
      <c r="Z397" t="s">
        <v>8267</v>
      </c>
      <c r="AA397" t="s">
        <v>8268</v>
      </c>
      <c r="AB397" t="s">
        <v>8269</v>
      </c>
      <c r="AC397" t="s">
        <v>8270</v>
      </c>
      <c r="AD397" t="s">
        <v>8271</v>
      </c>
      <c r="AE397" t="s">
        <v>8272</v>
      </c>
      <c r="AF397" t="s">
        <v>74</v>
      </c>
      <c r="AG397">
        <v>210</v>
      </c>
      <c r="AH397">
        <v>21</v>
      </c>
      <c r="AI397">
        <v>21</v>
      </c>
      <c r="AJ397">
        <v>5</v>
      </c>
      <c r="AK397">
        <v>18</v>
      </c>
      <c r="AL397" t="s">
        <v>1572</v>
      </c>
      <c r="AM397" t="s">
        <v>1407</v>
      </c>
      <c r="AN397" t="s">
        <v>1573</v>
      </c>
      <c r="AO397" t="s">
        <v>8273</v>
      </c>
      <c r="AP397" t="s">
        <v>8274</v>
      </c>
      <c r="AQ397" t="s">
        <v>74</v>
      </c>
      <c r="AR397" t="s">
        <v>8275</v>
      </c>
      <c r="AS397" t="s">
        <v>8276</v>
      </c>
      <c r="AT397" t="s">
        <v>6558</v>
      </c>
      <c r="AU397">
        <v>2020</v>
      </c>
      <c r="AV397">
        <v>154</v>
      </c>
      <c r="AW397" t="s">
        <v>74</v>
      </c>
      <c r="AX397" t="s">
        <v>74</v>
      </c>
      <c r="AY397" t="s">
        <v>74</v>
      </c>
      <c r="AZ397" t="s">
        <v>74</v>
      </c>
      <c r="BA397" t="s">
        <v>74</v>
      </c>
      <c r="BB397" t="s">
        <v>74</v>
      </c>
      <c r="BC397" t="s">
        <v>74</v>
      </c>
      <c r="BD397">
        <v>101692</v>
      </c>
      <c r="BE397" t="s">
        <v>8277</v>
      </c>
      <c r="BF397" t="str">
        <f>HYPERLINK("http://dx.doi.org/10.1016/j.ocemod.2020.101692","http://dx.doi.org/10.1016/j.ocemod.2020.101692")</f>
        <v>http://dx.doi.org/10.1016/j.ocemod.2020.101692</v>
      </c>
      <c r="BG397" t="s">
        <v>74</v>
      </c>
      <c r="BH397" t="s">
        <v>74</v>
      </c>
      <c r="BI397">
        <v>25</v>
      </c>
      <c r="BJ397" t="s">
        <v>4760</v>
      </c>
      <c r="BK397" t="s">
        <v>100</v>
      </c>
      <c r="BL397" t="s">
        <v>4760</v>
      </c>
      <c r="BM397" t="s">
        <v>8278</v>
      </c>
      <c r="BN397" t="s">
        <v>74</v>
      </c>
      <c r="BO397" t="s">
        <v>701</v>
      </c>
      <c r="BP397" t="s">
        <v>74</v>
      </c>
      <c r="BQ397" t="s">
        <v>74</v>
      </c>
      <c r="BR397" t="s">
        <v>104</v>
      </c>
      <c r="BS397" t="s">
        <v>8279</v>
      </c>
      <c r="BT397" t="str">
        <f>HYPERLINK("https%3A%2F%2Fwww.webofscience.com%2Fwos%2Fwoscc%2Ffull-record%2FWOS:000575785700003","View Full Record in Web of Science")</f>
        <v>View Full Record in Web of Science</v>
      </c>
    </row>
    <row r="398" spans="1:72" x14ac:dyDescent="0.15">
      <c r="A398" t="s">
        <v>72</v>
      </c>
      <c r="B398" t="s">
        <v>8280</v>
      </c>
      <c r="C398" t="s">
        <v>74</v>
      </c>
      <c r="D398" t="s">
        <v>74</v>
      </c>
      <c r="E398" t="s">
        <v>74</v>
      </c>
      <c r="F398" t="s">
        <v>8281</v>
      </c>
      <c r="G398" t="s">
        <v>74</v>
      </c>
      <c r="H398" t="s">
        <v>74</v>
      </c>
      <c r="I398" t="s">
        <v>8282</v>
      </c>
      <c r="J398" t="s">
        <v>2655</v>
      </c>
      <c r="K398" t="s">
        <v>74</v>
      </c>
      <c r="L398" t="s">
        <v>74</v>
      </c>
      <c r="M398" t="s">
        <v>78</v>
      </c>
      <c r="N398" t="s">
        <v>79</v>
      </c>
      <c r="O398" t="s">
        <v>74</v>
      </c>
      <c r="P398" t="s">
        <v>74</v>
      </c>
      <c r="Q398" t="s">
        <v>74</v>
      </c>
      <c r="R398" t="s">
        <v>74</v>
      </c>
      <c r="S398" t="s">
        <v>74</v>
      </c>
      <c r="T398" t="s">
        <v>8283</v>
      </c>
      <c r="U398" t="s">
        <v>8284</v>
      </c>
      <c r="V398" t="s">
        <v>8285</v>
      </c>
      <c r="W398" t="s">
        <v>8286</v>
      </c>
      <c r="X398" t="s">
        <v>8287</v>
      </c>
      <c r="Y398" t="s">
        <v>8288</v>
      </c>
      <c r="Z398" t="s">
        <v>8289</v>
      </c>
      <c r="AA398" t="s">
        <v>8290</v>
      </c>
      <c r="AB398" t="s">
        <v>8291</v>
      </c>
      <c r="AC398" t="s">
        <v>8292</v>
      </c>
      <c r="AD398" t="s">
        <v>8293</v>
      </c>
      <c r="AE398" t="s">
        <v>8294</v>
      </c>
      <c r="AF398" t="s">
        <v>74</v>
      </c>
      <c r="AG398">
        <v>91</v>
      </c>
      <c r="AH398">
        <v>4</v>
      </c>
      <c r="AI398">
        <v>4</v>
      </c>
      <c r="AJ398">
        <v>1</v>
      </c>
      <c r="AK398">
        <v>11</v>
      </c>
      <c r="AL398" t="s">
        <v>1522</v>
      </c>
      <c r="AM398" t="s">
        <v>1407</v>
      </c>
      <c r="AN398" t="s">
        <v>1523</v>
      </c>
      <c r="AO398" t="s">
        <v>2668</v>
      </c>
      <c r="AP398" t="s">
        <v>74</v>
      </c>
      <c r="AQ398" t="s">
        <v>74</v>
      </c>
      <c r="AR398" t="s">
        <v>2669</v>
      </c>
      <c r="AS398" t="s">
        <v>2670</v>
      </c>
      <c r="AT398" t="s">
        <v>1163</v>
      </c>
      <c r="AU398">
        <v>2020</v>
      </c>
      <c r="AV398">
        <v>245</v>
      </c>
      <c r="AW398" t="s">
        <v>74</v>
      </c>
      <c r="AX398" t="s">
        <v>74</v>
      </c>
      <c r="AY398" t="s">
        <v>74</v>
      </c>
      <c r="AZ398" t="s">
        <v>74</v>
      </c>
      <c r="BA398" t="s">
        <v>74</v>
      </c>
      <c r="BB398" t="s">
        <v>74</v>
      </c>
      <c r="BC398" t="s">
        <v>74</v>
      </c>
      <c r="BD398">
        <v>106498</v>
      </c>
      <c r="BE398" t="s">
        <v>8295</v>
      </c>
      <c r="BF398" t="str">
        <f>HYPERLINK("http://dx.doi.org/10.1016/j.quascirev.2020.106498","http://dx.doi.org/10.1016/j.quascirev.2020.106498")</f>
        <v>http://dx.doi.org/10.1016/j.quascirev.2020.106498</v>
      </c>
      <c r="BG398" t="s">
        <v>74</v>
      </c>
      <c r="BH398" t="s">
        <v>74</v>
      </c>
      <c r="BI398">
        <v>17</v>
      </c>
      <c r="BJ398" t="s">
        <v>99</v>
      </c>
      <c r="BK398" t="s">
        <v>100</v>
      </c>
      <c r="BL398" t="s">
        <v>101</v>
      </c>
      <c r="BM398" t="s">
        <v>8296</v>
      </c>
      <c r="BN398" t="s">
        <v>74</v>
      </c>
      <c r="BO398" t="s">
        <v>74</v>
      </c>
      <c r="BP398" t="s">
        <v>74</v>
      </c>
      <c r="BQ398" t="s">
        <v>74</v>
      </c>
      <c r="BR398" t="s">
        <v>104</v>
      </c>
      <c r="BS398" t="s">
        <v>8297</v>
      </c>
      <c r="BT398" t="str">
        <f>HYPERLINK("https%3A%2F%2Fwww.webofscience.com%2Fwos%2Fwoscc%2Ffull-record%2FWOS:000575741200004","View Full Record in Web of Science")</f>
        <v>View Full Record in Web of Science</v>
      </c>
    </row>
    <row r="399" spans="1:72" x14ac:dyDescent="0.15">
      <c r="A399" t="s">
        <v>72</v>
      </c>
      <c r="B399" t="s">
        <v>8298</v>
      </c>
      <c r="C399" t="s">
        <v>74</v>
      </c>
      <c r="D399" t="s">
        <v>74</v>
      </c>
      <c r="E399" t="s">
        <v>74</v>
      </c>
      <c r="F399" t="s">
        <v>8299</v>
      </c>
      <c r="G399" t="s">
        <v>74</v>
      </c>
      <c r="H399" t="s">
        <v>74</v>
      </c>
      <c r="I399" t="s">
        <v>8300</v>
      </c>
      <c r="J399" t="s">
        <v>2712</v>
      </c>
      <c r="K399" t="s">
        <v>74</v>
      </c>
      <c r="L399" t="s">
        <v>74</v>
      </c>
      <c r="M399" t="s">
        <v>78</v>
      </c>
      <c r="N399" t="s">
        <v>79</v>
      </c>
      <c r="O399" t="s">
        <v>74</v>
      </c>
      <c r="P399" t="s">
        <v>74</v>
      </c>
      <c r="Q399" t="s">
        <v>74</v>
      </c>
      <c r="R399" t="s">
        <v>74</v>
      </c>
      <c r="S399" t="s">
        <v>74</v>
      </c>
      <c r="T399" t="s">
        <v>8301</v>
      </c>
      <c r="U399" t="s">
        <v>8302</v>
      </c>
      <c r="V399" t="s">
        <v>8303</v>
      </c>
      <c r="W399" t="s">
        <v>8304</v>
      </c>
      <c r="X399" t="s">
        <v>8305</v>
      </c>
      <c r="Y399" t="s">
        <v>8306</v>
      </c>
      <c r="Z399" t="s">
        <v>8307</v>
      </c>
      <c r="AA399" t="s">
        <v>8308</v>
      </c>
      <c r="AB399" t="s">
        <v>8309</v>
      </c>
      <c r="AC399" t="s">
        <v>8310</v>
      </c>
      <c r="AD399" t="s">
        <v>8311</v>
      </c>
      <c r="AE399" t="s">
        <v>8312</v>
      </c>
      <c r="AF399" t="s">
        <v>74</v>
      </c>
      <c r="AG399">
        <v>32</v>
      </c>
      <c r="AH399">
        <v>18</v>
      </c>
      <c r="AI399">
        <v>20</v>
      </c>
      <c r="AJ399">
        <v>0</v>
      </c>
      <c r="AK399">
        <v>9</v>
      </c>
      <c r="AL399" t="s">
        <v>2724</v>
      </c>
      <c r="AM399" t="s">
        <v>2725</v>
      </c>
      <c r="AN399" t="s">
        <v>2726</v>
      </c>
      <c r="AO399" t="s">
        <v>2727</v>
      </c>
      <c r="AP399" t="s">
        <v>74</v>
      </c>
      <c r="AQ399" t="s">
        <v>74</v>
      </c>
      <c r="AR399" t="s">
        <v>2728</v>
      </c>
      <c r="AS399" t="s">
        <v>2729</v>
      </c>
      <c r="AT399" t="s">
        <v>6558</v>
      </c>
      <c r="AU399">
        <v>2020</v>
      </c>
      <c r="AV399">
        <v>15</v>
      </c>
      <c r="AW399">
        <v>10</v>
      </c>
      <c r="AX399" t="s">
        <v>74</v>
      </c>
      <c r="AY399" t="s">
        <v>74</v>
      </c>
      <c r="AZ399" t="s">
        <v>74</v>
      </c>
      <c r="BA399" t="s">
        <v>74</v>
      </c>
      <c r="BB399" t="s">
        <v>74</v>
      </c>
      <c r="BC399" t="s">
        <v>74</v>
      </c>
      <c r="BD399">
        <v>104038</v>
      </c>
      <c r="BE399" t="s">
        <v>8313</v>
      </c>
      <c r="BF399" t="str">
        <f>HYPERLINK("http://dx.doi.org/10.1088/1748-9326/aba8c1","http://dx.doi.org/10.1088/1748-9326/aba8c1")</f>
        <v>http://dx.doi.org/10.1088/1748-9326/aba8c1</v>
      </c>
      <c r="BG399" t="s">
        <v>74</v>
      </c>
      <c r="BH399" t="s">
        <v>74</v>
      </c>
      <c r="BI399">
        <v>6</v>
      </c>
      <c r="BJ399" t="s">
        <v>1027</v>
      </c>
      <c r="BK399" t="s">
        <v>100</v>
      </c>
      <c r="BL399" t="s">
        <v>1028</v>
      </c>
      <c r="BM399" t="s">
        <v>8314</v>
      </c>
      <c r="BN399" t="s">
        <v>74</v>
      </c>
      <c r="BO399" t="s">
        <v>202</v>
      </c>
      <c r="BP399" t="s">
        <v>74</v>
      </c>
      <c r="BQ399" t="s">
        <v>74</v>
      </c>
      <c r="BR399" t="s">
        <v>104</v>
      </c>
      <c r="BS399" t="s">
        <v>8315</v>
      </c>
      <c r="BT399" t="str">
        <f>HYPERLINK("https%3A%2F%2Fwww.webofscience.com%2Fwos%2Fwoscc%2Ffull-record%2FWOS:000575553700001","View Full Record in Web of Science")</f>
        <v>View Full Record in Web of Science</v>
      </c>
    </row>
    <row r="400" spans="1:72" x14ac:dyDescent="0.15">
      <c r="A400" t="s">
        <v>72</v>
      </c>
      <c r="B400" t="s">
        <v>8316</v>
      </c>
      <c r="C400" t="s">
        <v>74</v>
      </c>
      <c r="D400" t="s">
        <v>74</v>
      </c>
      <c r="E400" t="s">
        <v>74</v>
      </c>
      <c r="F400" t="s">
        <v>8317</v>
      </c>
      <c r="G400" t="s">
        <v>74</v>
      </c>
      <c r="H400" t="s">
        <v>74</v>
      </c>
      <c r="I400" t="s">
        <v>8318</v>
      </c>
      <c r="J400" t="s">
        <v>8319</v>
      </c>
      <c r="K400" t="s">
        <v>74</v>
      </c>
      <c r="L400" t="s">
        <v>74</v>
      </c>
      <c r="M400" t="s">
        <v>78</v>
      </c>
      <c r="N400" t="s">
        <v>79</v>
      </c>
      <c r="O400" t="s">
        <v>74</v>
      </c>
      <c r="P400" t="s">
        <v>74</v>
      </c>
      <c r="Q400" t="s">
        <v>74</v>
      </c>
      <c r="R400" t="s">
        <v>74</v>
      </c>
      <c r="S400" t="s">
        <v>74</v>
      </c>
      <c r="T400" t="s">
        <v>8320</v>
      </c>
      <c r="U400" t="s">
        <v>8321</v>
      </c>
      <c r="V400" t="s">
        <v>8322</v>
      </c>
      <c r="W400" t="s">
        <v>8323</v>
      </c>
      <c r="X400" t="s">
        <v>8324</v>
      </c>
      <c r="Y400" t="s">
        <v>8325</v>
      </c>
      <c r="Z400" t="s">
        <v>8326</v>
      </c>
      <c r="AA400" t="s">
        <v>8327</v>
      </c>
      <c r="AB400" t="s">
        <v>8328</v>
      </c>
      <c r="AC400" t="s">
        <v>8329</v>
      </c>
      <c r="AD400" t="s">
        <v>8330</v>
      </c>
      <c r="AE400" t="s">
        <v>8331</v>
      </c>
      <c r="AF400" t="s">
        <v>74</v>
      </c>
      <c r="AG400">
        <v>44</v>
      </c>
      <c r="AH400">
        <v>0</v>
      </c>
      <c r="AI400">
        <v>0</v>
      </c>
      <c r="AJ400">
        <v>0</v>
      </c>
      <c r="AK400">
        <v>5</v>
      </c>
      <c r="AL400" t="s">
        <v>8332</v>
      </c>
      <c r="AM400" t="s">
        <v>8333</v>
      </c>
      <c r="AN400" t="s">
        <v>8334</v>
      </c>
      <c r="AO400" t="s">
        <v>8335</v>
      </c>
      <c r="AP400" t="s">
        <v>8336</v>
      </c>
      <c r="AQ400" t="s">
        <v>74</v>
      </c>
      <c r="AR400" t="s">
        <v>8337</v>
      </c>
      <c r="AS400" t="s">
        <v>8338</v>
      </c>
      <c r="AT400" t="s">
        <v>6558</v>
      </c>
      <c r="AU400">
        <v>2020</v>
      </c>
      <c r="AV400">
        <v>20</v>
      </c>
      <c r="AW400">
        <v>10</v>
      </c>
      <c r="AX400" t="s">
        <v>74</v>
      </c>
      <c r="AY400" t="s">
        <v>74</v>
      </c>
      <c r="AZ400" t="s">
        <v>74</v>
      </c>
      <c r="BA400" t="s">
        <v>74</v>
      </c>
      <c r="BB400">
        <v>739</v>
      </c>
      <c r="BC400">
        <v>747</v>
      </c>
      <c r="BD400" t="s">
        <v>74</v>
      </c>
      <c r="BE400" t="s">
        <v>8339</v>
      </c>
      <c r="BF400" t="str">
        <f>HYPERLINK("http://dx.doi.org/10.4194/1303-2712-v20_10_03","http://dx.doi.org/10.4194/1303-2712-v20_10_03")</f>
        <v>http://dx.doi.org/10.4194/1303-2712-v20_10_03</v>
      </c>
      <c r="BG400" t="s">
        <v>74</v>
      </c>
      <c r="BH400" t="s">
        <v>74</v>
      </c>
      <c r="BI400">
        <v>9</v>
      </c>
      <c r="BJ400" t="s">
        <v>4322</v>
      </c>
      <c r="BK400" t="s">
        <v>100</v>
      </c>
      <c r="BL400" t="s">
        <v>4322</v>
      </c>
      <c r="BM400" t="s">
        <v>8340</v>
      </c>
      <c r="BN400" t="s">
        <v>74</v>
      </c>
      <c r="BO400" t="s">
        <v>202</v>
      </c>
      <c r="BP400" t="s">
        <v>74</v>
      </c>
      <c r="BQ400" t="s">
        <v>74</v>
      </c>
      <c r="BR400" t="s">
        <v>104</v>
      </c>
      <c r="BS400" t="s">
        <v>8341</v>
      </c>
      <c r="BT400" t="str">
        <f>HYPERLINK("https%3A%2F%2Fwww.webofscience.com%2Fwos%2Fwoscc%2Ffull-record%2FWOS:000575615800003","View Full Record in Web of Science")</f>
        <v>View Full Record in Web of Science</v>
      </c>
    </row>
    <row r="401" spans="1:72" x14ac:dyDescent="0.15">
      <c r="A401" t="s">
        <v>72</v>
      </c>
      <c r="B401" t="s">
        <v>8342</v>
      </c>
      <c r="C401" t="s">
        <v>74</v>
      </c>
      <c r="D401" t="s">
        <v>74</v>
      </c>
      <c r="E401" t="s">
        <v>74</v>
      </c>
      <c r="F401" t="s">
        <v>8343</v>
      </c>
      <c r="G401" t="s">
        <v>74</v>
      </c>
      <c r="H401" t="s">
        <v>74</v>
      </c>
      <c r="I401" t="s">
        <v>8344</v>
      </c>
      <c r="J401" t="s">
        <v>8345</v>
      </c>
      <c r="K401" t="s">
        <v>74</v>
      </c>
      <c r="L401" t="s">
        <v>74</v>
      </c>
      <c r="M401" t="s">
        <v>78</v>
      </c>
      <c r="N401" t="s">
        <v>79</v>
      </c>
      <c r="O401" t="s">
        <v>74</v>
      </c>
      <c r="P401" t="s">
        <v>74</v>
      </c>
      <c r="Q401" t="s">
        <v>74</v>
      </c>
      <c r="R401" t="s">
        <v>74</v>
      </c>
      <c r="S401" t="s">
        <v>74</v>
      </c>
      <c r="T401" t="s">
        <v>8346</v>
      </c>
      <c r="U401" t="s">
        <v>8347</v>
      </c>
      <c r="V401" t="s">
        <v>8348</v>
      </c>
      <c r="W401" t="s">
        <v>8349</v>
      </c>
      <c r="X401" t="s">
        <v>8350</v>
      </c>
      <c r="Y401" t="s">
        <v>8351</v>
      </c>
      <c r="Z401" t="s">
        <v>8352</v>
      </c>
      <c r="AA401" t="s">
        <v>8353</v>
      </c>
      <c r="AB401" t="s">
        <v>8354</v>
      </c>
      <c r="AC401" t="s">
        <v>8355</v>
      </c>
      <c r="AD401" t="s">
        <v>5444</v>
      </c>
      <c r="AE401" t="s">
        <v>8356</v>
      </c>
      <c r="AF401" t="s">
        <v>74</v>
      </c>
      <c r="AG401">
        <v>12</v>
      </c>
      <c r="AH401">
        <v>0</v>
      </c>
      <c r="AI401">
        <v>0</v>
      </c>
      <c r="AJ401">
        <v>0</v>
      </c>
      <c r="AK401">
        <v>2</v>
      </c>
      <c r="AL401" t="s">
        <v>7394</v>
      </c>
      <c r="AM401" t="s">
        <v>7395</v>
      </c>
      <c r="AN401" t="s">
        <v>7396</v>
      </c>
      <c r="AO401" t="s">
        <v>8357</v>
      </c>
      <c r="AP401" t="s">
        <v>8358</v>
      </c>
      <c r="AQ401" t="s">
        <v>74</v>
      </c>
      <c r="AR401" t="s">
        <v>8359</v>
      </c>
      <c r="AS401" t="s">
        <v>8360</v>
      </c>
      <c r="AT401" t="s">
        <v>6558</v>
      </c>
      <c r="AU401">
        <v>2020</v>
      </c>
      <c r="AV401">
        <v>14</v>
      </c>
      <c r="AW401">
        <v>10</v>
      </c>
      <c r="AX401" t="s">
        <v>74</v>
      </c>
      <c r="AY401" t="s">
        <v>74</v>
      </c>
      <c r="AZ401" t="s">
        <v>74</v>
      </c>
      <c r="BA401" t="s">
        <v>74</v>
      </c>
      <c r="BB401">
        <v>1550</v>
      </c>
      <c r="BC401">
        <v>1558</v>
      </c>
      <c r="BD401" t="s">
        <v>74</v>
      </c>
      <c r="BE401" t="s">
        <v>8361</v>
      </c>
      <c r="BF401" t="str">
        <f>HYPERLINK("http://dx.doi.org/10.1049/iet-rsn.2019.0406","http://dx.doi.org/10.1049/iet-rsn.2019.0406")</f>
        <v>http://dx.doi.org/10.1049/iet-rsn.2019.0406</v>
      </c>
      <c r="BG401" t="s">
        <v>74</v>
      </c>
      <c r="BH401" t="s">
        <v>74</v>
      </c>
      <c r="BI401">
        <v>9</v>
      </c>
      <c r="BJ401" t="s">
        <v>8362</v>
      </c>
      <c r="BK401" t="s">
        <v>100</v>
      </c>
      <c r="BL401" t="s">
        <v>8363</v>
      </c>
      <c r="BM401" t="s">
        <v>8364</v>
      </c>
      <c r="BN401" t="s">
        <v>74</v>
      </c>
      <c r="BO401" t="s">
        <v>8365</v>
      </c>
      <c r="BP401" t="s">
        <v>74</v>
      </c>
      <c r="BQ401" t="s">
        <v>74</v>
      </c>
      <c r="BR401" t="s">
        <v>104</v>
      </c>
      <c r="BS401" t="s">
        <v>8366</v>
      </c>
      <c r="BT401" t="str">
        <f>HYPERLINK("https%3A%2F%2Fwww.webofscience.com%2Fwos%2Fwoscc%2Ffull-record%2FWOS:000574816100010","View Full Record in Web of Science")</f>
        <v>View Full Record in Web of Science</v>
      </c>
    </row>
    <row r="402" spans="1:72" x14ac:dyDescent="0.15">
      <c r="A402" t="s">
        <v>72</v>
      </c>
      <c r="B402" t="s">
        <v>8367</v>
      </c>
      <c r="C402" t="s">
        <v>74</v>
      </c>
      <c r="D402" t="s">
        <v>74</v>
      </c>
      <c r="E402" t="s">
        <v>74</v>
      </c>
      <c r="F402" t="s">
        <v>8368</v>
      </c>
      <c r="G402" t="s">
        <v>74</v>
      </c>
      <c r="H402" t="s">
        <v>74</v>
      </c>
      <c r="I402" t="s">
        <v>8369</v>
      </c>
      <c r="J402" t="s">
        <v>8370</v>
      </c>
      <c r="K402" t="s">
        <v>74</v>
      </c>
      <c r="L402" t="s">
        <v>74</v>
      </c>
      <c r="M402" t="s">
        <v>78</v>
      </c>
      <c r="N402" t="s">
        <v>79</v>
      </c>
      <c r="O402" t="s">
        <v>74</v>
      </c>
      <c r="P402" t="s">
        <v>74</v>
      </c>
      <c r="Q402" t="s">
        <v>74</v>
      </c>
      <c r="R402" t="s">
        <v>74</v>
      </c>
      <c r="S402" t="s">
        <v>74</v>
      </c>
      <c r="T402" t="s">
        <v>8371</v>
      </c>
      <c r="U402" t="s">
        <v>8372</v>
      </c>
      <c r="V402" t="s">
        <v>8373</v>
      </c>
      <c r="W402" t="s">
        <v>8374</v>
      </c>
      <c r="X402" t="s">
        <v>8375</v>
      </c>
      <c r="Y402" t="s">
        <v>8376</v>
      </c>
      <c r="Z402" t="s">
        <v>8377</v>
      </c>
      <c r="AA402" t="s">
        <v>8378</v>
      </c>
      <c r="AB402" t="s">
        <v>8379</v>
      </c>
      <c r="AC402" t="s">
        <v>8380</v>
      </c>
      <c r="AD402" t="s">
        <v>8381</v>
      </c>
      <c r="AE402" t="s">
        <v>8382</v>
      </c>
      <c r="AF402" t="s">
        <v>74</v>
      </c>
      <c r="AG402">
        <v>47</v>
      </c>
      <c r="AH402">
        <v>5</v>
      </c>
      <c r="AI402">
        <v>5</v>
      </c>
      <c r="AJ402">
        <v>2</v>
      </c>
      <c r="AK402">
        <v>7</v>
      </c>
      <c r="AL402" t="s">
        <v>8383</v>
      </c>
      <c r="AM402" t="s">
        <v>8384</v>
      </c>
      <c r="AN402" t="s">
        <v>8385</v>
      </c>
      <c r="AO402" t="s">
        <v>8386</v>
      </c>
      <c r="AP402" t="s">
        <v>8387</v>
      </c>
      <c r="AQ402" t="s">
        <v>74</v>
      </c>
      <c r="AR402" t="s">
        <v>8388</v>
      </c>
      <c r="AS402" t="s">
        <v>8389</v>
      </c>
      <c r="AT402" t="s">
        <v>1163</v>
      </c>
      <c r="AU402">
        <v>2020</v>
      </c>
      <c r="AV402">
        <v>212</v>
      </c>
      <c r="AW402">
        <v>1</v>
      </c>
      <c r="AX402" t="s">
        <v>74</v>
      </c>
      <c r="AY402" t="s">
        <v>74</v>
      </c>
      <c r="AZ402" t="s">
        <v>74</v>
      </c>
      <c r="BA402" t="s">
        <v>74</v>
      </c>
      <c r="BB402" t="s">
        <v>74</v>
      </c>
      <c r="BC402" t="s">
        <v>74</v>
      </c>
      <c r="BD402">
        <v>107595</v>
      </c>
      <c r="BE402" t="s">
        <v>8390</v>
      </c>
      <c r="BF402" t="str">
        <f>HYPERLINK("http://dx.doi.org/10.1016/j.jsb.2020.107595","http://dx.doi.org/10.1016/j.jsb.2020.107595")</f>
        <v>http://dx.doi.org/10.1016/j.jsb.2020.107595</v>
      </c>
      <c r="BG402" t="s">
        <v>74</v>
      </c>
      <c r="BH402" t="s">
        <v>74</v>
      </c>
      <c r="BI402">
        <v>10</v>
      </c>
      <c r="BJ402" t="s">
        <v>8391</v>
      </c>
      <c r="BK402" t="s">
        <v>100</v>
      </c>
      <c r="BL402" t="s">
        <v>8391</v>
      </c>
      <c r="BM402" t="s">
        <v>8392</v>
      </c>
      <c r="BN402">
        <v>32736071</v>
      </c>
      <c r="BO402" t="s">
        <v>74</v>
      </c>
      <c r="BP402" t="s">
        <v>74</v>
      </c>
      <c r="BQ402" t="s">
        <v>74</v>
      </c>
      <c r="BR402" t="s">
        <v>104</v>
      </c>
      <c r="BS402" t="s">
        <v>8393</v>
      </c>
      <c r="BT402" t="str">
        <f>HYPERLINK("https%3A%2F%2Fwww.webofscience.com%2Fwos%2Fwoscc%2Ffull-record%2FWOS:000574936700004","View Full Record in Web of Science")</f>
        <v>View Full Record in Web of Science</v>
      </c>
    </row>
    <row r="403" spans="1:72" x14ac:dyDescent="0.15">
      <c r="A403" t="s">
        <v>72</v>
      </c>
      <c r="B403" t="s">
        <v>8394</v>
      </c>
      <c r="C403" t="s">
        <v>74</v>
      </c>
      <c r="D403" t="s">
        <v>74</v>
      </c>
      <c r="E403" t="s">
        <v>74</v>
      </c>
      <c r="F403" t="s">
        <v>8395</v>
      </c>
      <c r="G403" t="s">
        <v>74</v>
      </c>
      <c r="H403" t="s">
        <v>74</v>
      </c>
      <c r="I403" t="s">
        <v>8396</v>
      </c>
      <c r="J403" t="s">
        <v>8397</v>
      </c>
      <c r="K403" t="s">
        <v>74</v>
      </c>
      <c r="L403" t="s">
        <v>74</v>
      </c>
      <c r="M403" t="s">
        <v>78</v>
      </c>
      <c r="N403" t="s">
        <v>79</v>
      </c>
      <c r="O403" t="s">
        <v>74</v>
      </c>
      <c r="P403" t="s">
        <v>74</v>
      </c>
      <c r="Q403" t="s">
        <v>74</v>
      </c>
      <c r="R403" t="s">
        <v>74</v>
      </c>
      <c r="S403" t="s">
        <v>74</v>
      </c>
      <c r="T403" t="s">
        <v>8398</v>
      </c>
      <c r="U403" t="s">
        <v>8399</v>
      </c>
      <c r="V403" t="s">
        <v>8400</v>
      </c>
      <c r="W403" t="s">
        <v>8401</v>
      </c>
      <c r="X403" t="s">
        <v>8402</v>
      </c>
      <c r="Y403" t="s">
        <v>8403</v>
      </c>
      <c r="Z403" t="s">
        <v>8404</v>
      </c>
      <c r="AA403" t="s">
        <v>74</v>
      </c>
      <c r="AB403" t="s">
        <v>8405</v>
      </c>
      <c r="AC403" t="s">
        <v>8406</v>
      </c>
      <c r="AD403" t="s">
        <v>8407</v>
      </c>
      <c r="AE403" t="s">
        <v>8408</v>
      </c>
      <c r="AF403" t="s">
        <v>74</v>
      </c>
      <c r="AG403">
        <v>26</v>
      </c>
      <c r="AH403">
        <v>2</v>
      </c>
      <c r="AI403">
        <v>2</v>
      </c>
      <c r="AJ403">
        <v>0</v>
      </c>
      <c r="AK403">
        <v>5</v>
      </c>
      <c r="AL403" t="s">
        <v>3145</v>
      </c>
      <c r="AM403" t="s">
        <v>483</v>
      </c>
      <c r="AN403" t="s">
        <v>3146</v>
      </c>
      <c r="AO403" t="s">
        <v>8409</v>
      </c>
      <c r="AP403" t="s">
        <v>8410</v>
      </c>
      <c r="AQ403" t="s">
        <v>74</v>
      </c>
      <c r="AR403" t="s">
        <v>8411</v>
      </c>
      <c r="AS403" t="s">
        <v>8412</v>
      </c>
      <c r="AT403" t="s">
        <v>6558</v>
      </c>
      <c r="AU403">
        <v>2020</v>
      </c>
      <c r="AV403">
        <v>32</v>
      </c>
      <c r="AW403">
        <v>5</v>
      </c>
      <c r="AX403" t="s">
        <v>74</v>
      </c>
      <c r="AY403" t="s">
        <v>74</v>
      </c>
      <c r="AZ403" t="s">
        <v>74</v>
      </c>
      <c r="BA403" t="s">
        <v>74</v>
      </c>
      <c r="BB403">
        <v>315</v>
      </c>
      <c r="BC403">
        <v>328</v>
      </c>
      <c r="BD403" t="s">
        <v>8413</v>
      </c>
      <c r="BE403" t="s">
        <v>8414</v>
      </c>
      <c r="BF403" t="str">
        <f>HYPERLINK("http://dx.doi.org/10.1017/S0954102020000218","http://dx.doi.org/10.1017/S0954102020000218")</f>
        <v>http://dx.doi.org/10.1017/S0954102020000218</v>
      </c>
      <c r="BG403" t="s">
        <v>74</v>
      </c>
      <c r="BH403" t="s">
        <v>74</v>
      </c>
      <c r="BI403">
        <v>14</v>
      </c>
      <c r="BJ403" t="s">
        <v>8415</v>
      </c>
      <c r="BK403" t="s">
        <v>100</v>
      </c>
      <c r="BL403" t="s">
        <v>8416</v>
      </c>
      <c r="BM403" t="s">
        <v>8417</v>
      </c>
      <c r="BN403" t="s">
        <v>74</v>
      </c>
      <c r="BO403" t="s">
        <v>1894</v>
      </c>
      <c r="BP403" t="s">
        <v>74</v>
      </c>
      <c r="BQ403" t="s">
        <v>74</v>
      </c>
      <c r="BR403" t="s">
        <v>104</v>
      </c>
      <c r="BS403" t="s">
        <v>8418</v>
      </c>
      <c r="BT403" t="str">
        <f>HYPERLINK("https%3A%2F%2Fwww.webofscience.com%2Fwos%2Fwoscc%2Ffull-record%2FWOS:000574566200001","View Full Record in Web of Science")</f>
        <v>View Full Record in Web of Science</v>
      </c>
    </row>
    <row r="404" spans="1:72" x14ac:dyDescent="0.15">
      <c r="A404" t="s">
        <v>72</v>
      </c>
      <c r="B404" t="s">
        <v>8419</v>
      </c>
      <c r="C404" t="s">
        <v>74</v>
      </c>
      <c r="D404" t="s">
        <v>74</v>
      </c>
      <c r="E404" t="s">
        <v>74</v>
      </c>
      <c r="F404" t="s">
        <v>8420</v>
      </c>
      <c r="G404" t="s">
        <v>74</v>
      </c>
      <c r="H404" t="s">
        <v>74</v>
      </c>
      <c r="I404" t="s">
        <v>8421</v>
      </c>
      <c r="J404" t="s">
        <v>8397</v>
      </c>
      <c r="K404" t="s">
        <v>74</v>
      </c>
      <c r="L404" t="s">
        <v>74</v>
      </c>
      <c r="M404" t="s">
        <v>78</v>
      </c>
      <c r="N404" t="s">
        <v>79</v>
      </c>
      <c r="O404" t="s">
        <v>74</v>
      </c>
      <c r="P404" t="s">
        <v>74</v>
      </c>
      <c r="Q404" t="s">
        <v>74</v>
      </c>
      <c r="R404" t="s">
        <v>74</v>
      </c>
      <c r="S404" t="s">
        <v>74</v>
      </c>
      <c r="T404" t="s">
        <v>8422</v>
      </c>
      <c r="U404" t="s">
        <v>8423</v>
      </c>
      <c r="V404" t="s">
        <v>8424</v>
      </c>
      <c r="W404" t="s">
        <v>8425</v>
      </c>
      <c r="X404" t="s">
        <v>8426</v>
      </c>
      <c r="Y404" t="s">
        <v>8427</v>
      </c>
      <c r="Z404" t="s">
        <v>8428</v>
      </c>
      <c r="AA404" t="s">
        <v>8429</v>
      </c>
      <c r="AB404" t="s">
        <v>8430</v>
      </c>
      <c r="AC404" t="s">
        <v>8431</v>
      </c>
      <c r="AD404" t="s">
        <v>8432</v>
      </c>
      <c r="AE404" t="s">
        <v>8433</v>
      </c>
      <c r="AF404" t="s">
        <v>74</v>
      </c>
      <c r="AG404">
        <v>39</v>
      </c>
      <c r="AH404">
        <v>12</v>
      </c>
      <c r="AI404">
        <v>15</v>
      </c>
      <c r="AJ404">
        <v>1</v>
      </c>
      <c r="AK404">
        <v>16</v>
      </c>
      <c r="AL404" t="s">
        <v>3145</v>
      </c>
      <c r="AM404" t="s">
        <v>483</v>
      </c>
      <c r="AN404" t="s">
        <v>3146</v>
      </c>
      <c r="AO404" t="s">
        <v>8409</v>
      </c>
      <c r="AP404" t="s">
        <v>8410</v>
      </c>
      <c r="AQ404" t="s">
        <v>74</v>
      </c>
      <c r="AR404" t="s">
        <v>8411</v>
      </c>
      <c r="AS404" t="s">
        <v>8412</v>
      </c>
      <c r="AT404" t="s">
        <v>6558</v>
      </c>
      <c r="AU404">
        <v>2020</v>
      </c>
      <c r="AV404">
        <v>32</v>
      </c>
      <c r="AW404">
        <v>5</v>
      </c>
      <c r="AX404" t="s">
        <v>74</v>
      </c>
      <c r="AY404" t="s">
        <v>74</v>
      </c>
      <c r="AZ404" t="s">
        <v>74</v>
      </c>
      <c r="BA404" t="s">
        <v>74</v>
      </c>
      <c r="BB404">
        <v>329</v>
      </c>
      <c r="BC404">
        <v>340</v>
      </c>
      <c r="BD404" t="s">
        <v>8434</v>
      </c>
      <c r="BE404" t="s">
        <v>8435</v>
      </c>
      <c r="BF404" t="str">
        <f>HYPERLINK("http://dx.doi.org/10.1017/S0954102020000231","http://dx.doi.org/10.1017/S0954102020000231")</f>
        <v>http://dx.doi.org/10.1017/S0954102020000231</v>
      </c>
      <c r="BG404" t="s">
        <v>74</v>
      </c>
      <c r="BH404" t="s">
        <v>74</v>
      </c>
      <c r="BI404">
        <v>12</v>
      </c>
      <c r="BJ404" t="s">
        <v>8415</v>
      </c>
      <c r="BK404" t="s">
        <v>100</v>
      </c>
      <c r="BL404" t="s">
        <v>8416</v>
      </c>
      <c r="BM404" t="s">
        <v>8417</v>
      </c>
      <c r="BN404" t="s">
        <v>74</v>
      </c>
      <c r="BO404" t="s">
        <v>564</v>
      </c>
      <c r="BP404" t="s">
        <v>74</v>
      </c>
      <c r="BQ404" t="s">
        <v>74</v>
      </c>
      <c r="BR404" t="s">
        <v>104</v>
      </c>
      <c r="BS404" t="s">
        <v>8436</v>
      </c>
      <c r="BT404" t="str">
        <f>HYPERLINK("https%3A%2F%2Fwww.webofscience.com%2Fwos%2Fwoscc%2Ffull-record%2FWOS:000574566200002","View Full Record in Web of Science")</f>
        <v>View Full Record in Web of Science</v>
      </c>
    </row>
    <row r="405" spans="1:72" x14ac:dyDescent="0.15">
      <c r="A405" t="s">
        <v>72</v>
      </c>
      <c r="B405" t="s">
        <v>8437</v>
      </c>
      <c r="C405" t="s">
        <v>74</v>
      </c>
      <c r="D405" t="s">
        <v>74</v>
      </c>
      <c r="E405" t="s">
        <v>74</v>
      </c>
      <c r="F405" t="s">
        <v>8438</v>
      </c>
      <c r="G405" t="s">
        <v>74</v>
      </c>
      <c r="H405" t="s">
        <v>74</v>
      </c>
      <c r="I405" t="s">
        <v>8439</v>
      </c>
      <c r="J405" t="s">
        <v>8397</v>
      </c>
      <c r="K405" t="s">
        <v>74</v>
      </c>
      <c r="L405" t="s">
        <v>74</v>
      </c>
      <c r="M405" t="s">
        <v>78</v>
      </c>
      <c r="N405" t="s">
        <v>79</v>
      </c>
      <c r="O405" t="s">
        <v>74</v>
      </c>
      <c r="P405" t="s">
        <v>74</v>
      </c>
      <c r="Q405" t="s">
        <v>74</v>
      </c>
      <c r="R405" t="s">
        <v>74</v>
      </c>
      <c r="S405" t="s">
        <v>74</v>
      </c>
      <c r="T405" t="s">
        <v>8440</v>
      </c>
      <c r="U405" t="s">
        <v>8441</v>
      </c>
      <c r="V405" t="s">
        <v>8442</v>
      </c>
      <c r="W405" t="s">
        <v>8443</v>
      </c>
      <c r="X405" t="s">
        <v>8444</v>
      </c>
      <c r="Y405" t="s">
        <v>8445</v>
      </c>
      <c r="Z405" t="s">
        <v>1200</v>
      </c>
      <c r="AA405" t="s">
        <v>8446</v>
      </c>
      <c r="AB405" t="s">
        <v>8447</v>
      </c>
      <c r="AC405" t="s">
        <v>8448</v>
      </c>
      <c r="AD405" t="s">
        <v>8449</v>
      </c>
      <c r="AE405" t="s">
        <v>8450</v>
      </c>
      <c r="AF405" t="s">
        <v>74</v>
      </c>
      <c r="AG405">
        <v>41</v>
      </c>
      <c r="AH405">
        <v>33</v>
      </c>
      <c r="AI405">
        <v>34</v>
      </c>
      <c r="AJ405">
        <v>2</v>
      </c>
      <c r="AK405">
        <v>23</v>
      </c>
      <c r="AL405" t="s">
        <v>3145</v>
      </c>
      <c r="AM405" t="s">
        <v>483</v>
      </c>
      <c r="AN405" t="s">
        <v>3146</v>
      </c>
      <c r="AO405" t="s">
        <v>8409</v>
      </c>
      <c r="AP405" t="s">
        <v>8410</v>
      </c>
      <c r="AQ405" t="s">
        <v>74</v>
      </c>
      <c r="AR405" t="s">
        <v>8411</v>
      </c>
      <c r="AS405" t="s">
        <v>8412</v>
      </c>
      <c r="AT405" t="s">
        <v>6558</v>
      </c>
      <c r="AU405">
        <v>2020</v>
      </c>
      <c r="AV405">
        <v>32</v>
      </c>
      <c r="AW405">
        <v>5</v>
      </c>
      <c r="AX405" t="s">
        <v>74</v>
      </c>
      <c r="AY405" t="s">
        <v>74</v>
      </c>
      <c r="AZ405" t="s">
        <v>74</v>
      </c>
      <c r="BA405" t="s">
        <v>74</v>
      </c>
      <c r="BB405">
        <v>341</v>
      </c>
      <c r="BC405">
        <v>353</v>
      </c>
      <c r="BD405" t="s">
        <v>8451</v>
      </c>
      <c r="BE405" t="s">
        <v>8452</v>
      </c>
      <c r="BF405" t="str">
        <f>HYPERLINK("http://dx.doi.org/10.1017/S0954102020000206","http://dx.doi.org/10.1017/S0954102020000206")</f>
        <v>http://dx.doi.org/10.1017/S0954102020000206</v>
      </c>
      <c r="BG405" t="s">
        <v>74</v>
      </c>
      <c r="BH405" t="s">
        <v>74</v>
      </c>
      <c r="BI405">
        <v>13</v>
      </c>
      <c r="BJ405" t="s">
        <v>8415</v>
      </c>
      <c r="BK405" t="s">
        <v>100</v>
      </c>
      <c r="BL405" t="s">
        <v>8416</v>
      </c>
      <c r="BM405" t="s">
        <v>8417</v>
      </c>
      <c r="BN405" t="s">
        <v>74</v>
      </c>
      <c r="BO405" t="s">
        <v>376</v>
      </c>
      <c r="BP405" t="s">
        <v>74</v>
      </c>
      <c r="BQ405" t="s">
        <v>74</v>
      </c>
      <c r="BR405" t="s">
        <v>104</v>
      </c>
      <c r="BS405" t="s">
        <v>8453</v>
      </c>
      <c r="BT405" t="str">
        <f>HYPERLINK("https%3A%2F%2Fwww.webofscience.com%2Fwos%2Fwoscc%2Ffull-record%2FWOS:000574566200003","View Full Record in Web of Science")</f>
        <v>View Full Record in Web of Science</v>
      </c>
    </row>
    <row r="406" spans="1:72" x14ac:dyDescent="0.15">
      <c r="A406" t="s">
        <v>72</v>
      </c>
      <c r="B406" t="s">
        <v>8454</v>
      </c>
      <c r="C406" t="s">
        <v>74</v>
      </c>
      <c r="D406" t="s">
        <v>74</v>
      </c>
      <c r="E406" t="s">
        <v>74</v>
      </c>
      <c r="F406" t="s">
        <v>8455</v>
      </c>
      <c r="G406" t="s">
        <v>74</v>
      </c>
      <c r="H406" t="s">
        <v>74</v>
      </c>
      <c r="I406" t="s">
        <v>8456</v>
      </c>
      <c r="J406" t="s">
        <v>8397</v>
      </c>
      <c r="K406" t="s">
        <v>74</v>
      </c>
      <c r="L406" t="s">
        <v>74</v>
      </c>
      <c r="M406" t="s">
        <v>78</v>
      </c>
      <c r="N406" t="s">
        <v>79</v>
      </c>
      <c r="O406" t="s">
        <v>74</v>
      </c>
      <c r="P406" t="s">
        <v>74</v>
      </c>
      <c r="Q406" t="s">
        <v>74</v>
      </c>
      <c r="R406" t="s">
        <v>74</v>
      </c>
      <c r="S406" t="s">
        <v>74</v>
      </c>
      <c r="T406" t="s">
        <v>8457</v>
      </c>
      <c r="U406" t="s">
        <v>8458</v>
      </c>
      <c r="V406" t="s">
        <v>8459</v>
      </c>
      <c r="W406" t="s">
        <v>8460</v>
      </c>
      <c r="X406" t="s">
        <v>8461</v>
      </c>
      <c r="Y406" t="s">
        <v>8462</v>
      </c>
      <c r="Z406" t="s">
        <v>8463</v>
      </c>
      <c r="AA406" t="s">
        <v>8464</v>
      </c>
      <c r="AB406" t="s">
        <v>8465</v>
      </c>
      <c r="AC406" t="s">
        <v>8466</v>
      </c>
      <c r="AD406" t="s">
        <v>8467</v>
      </c>
      <c r="AE406" t="s">
        <v>8468</v>
      </c>
      <c r="AF406" t="s">
        <v>74</v>
      </c>
      <c r="AG406">
        <v>40</v>
      </c>
      <c r="AH406">
        <v>8</v>
      </c>
      <c r="AI406">
        <v>9</v>
      </c>
      <c r="AJ406">
        <v>1</v>
      </c>
      <c r="AK406">
        <v>8</v>
      </c>
      <c r="AL406" t="s">
        <v>3145</v>
      </c>
      <c r="AM406" t="s">
        <v>483</v>
      </c>
      <c r="AN406" t="s">
        <v>3146</v>
      </c>
      <c r="AO406" t="s">
        <v>8409</v>
      </c>
      <c r="AP406" t="s">
        <v>8410</v>
      </c>
      <c r="AQ406" t="s">
        <v>74</v>
      </c>
      <c r="AR406" t="s">
        <v>8411</v>
      </c>
      <c r="AS406" t="s">
        <v>8412</v>
      </c>
      <c r="AT406" t="s">
        <v>6558</v>
      </c>
      <c r="AU406">
        <v>2020</v>
      </c>
      <c r="AV406">
        <v>32</v>
      </c>
      <c r="AW406">
        <v>5</v>
      </c>
      <c r="AX406" t="s">
        <v>74</v>
      </c>
      <c r="AY406" t="s">
        <v>74</v>
      </c>
      <c r="AZ406" t="s">
        <v>74</v>
      </c>
      <c r="BA406" t="s">
        <v>74</v>
      </c>
      <c r="BB406">
        <v>354</v>
      </c>
      <c r="BC406">
        <v>366</v>
      </c>
      <c r="BD406" t="s">
        <v>8469</v>
      </c>
      <c r="BE406" t="s">
        <v>8470</v>
      </c>
      <c r="BF406" t="str">
        <f>HYPERLINK("http://dx.doi.org/10.1017/S095410202000022X","http://dx.doi.org/10.1017/S095410202000022X")</f>
        <v>http://dx.doi.org/10.1017/S095410202000022X</v>
      </c>
      <c r="BG406" t="s">
        <v>74</v>
      </c>
      <c r="BH406" t="s">
        <v>74</v>
      </c>
      <c r="BI406">
        <v>13</v>
      </c>
      <c r="BJ406" t="s">
        <v>8415</v>
      </c>
      <c r="BK406" t="s">
        <v>100</v>
      </c>
      <c r="BL406" t="s">
        <v>8416</v>
      </c>
      <c r="BM406" t="s">
        <v>8417</v>
      </c>
      <c r="BN406" t="s">
        <v>74</v>
      </c>
      <c r="BO406" t="s">
        <v>74</v>
      </c>
      <c r="BP406" t="s">
        <v>74</v>
      </c>
      <c r="BQ406" t="s">
        <v>74</v>
      </c>
      <c r="BR406" t="s">
        <v>104</v>
      </c>
      <c r="BS406" t="s">
        <v>8471</v>
      </c>
      <c r="BT406" t="str">
        <f>HYPERLINK("https%3A%2F%2Fwww.webofscience.com%2Fwos%2Fwoscc%2Ffull-record%2FWOS:000574566200004","View Full Record in Web of Science")</f>
        <v>View Full Record in Web of Science</v>
      </c>
    </row>
    <row r="407" spans="1:72" x14ac:dyDescent="0.15">
      <c r="A407" t="s">
        <v>72</v>
      </c>
      <c r="B407" t="s">
        <v>8472</v>
      </c>
      <c r="C407" t="s">
        <v>74</v>
      </c>
      <c r="D407" t="s">
        <v>74</v>
      </c>
      <c r="E407" t="s">
        <v>74</v>
      </c>
      <c r="F407" t="s">
        <v>8473</v>
      </c>
      <c r="G407" t="s">
        <v>74</v>
      </c>
      <c r="H407" t="s">
        <v>74</v>
      </c>
      <c r="I407" t="s">
        <v>8474</v>
      </c>
      <c r="J407" t="s">
        <v>8397</v>
      </c>
      <c r="K407" t="s">
        <v>74</v>
      </c>
      <c r="L407" t="s">
        <v>74</v>
      </c>
      <c r="M407" t="s">
        <v>78</v>
      </c>
      <c r="N407" t="s">
        <v>79</v>
      </c>
      <c r="O407" t="s">
        <v>74</v>
      </c>
      <c r="P407" t="s">
        <v>74</v>
      </c>
      <c r="Q407" t="s">
        <v>74</v>
      </c>
      <c r="R407" t="s">
        <v>74</v>
      </c>
      <c r="S407" t="s">
        <v>74</v>
      </c>
      <c r="T407" t="s">
        <v>8475</v>
      </c>
      <c r="U407" t="s">
        <v>8476</v>
      </c>
      <c r="V407" t="s">
        <v>8477</v>
      </c>
      <c r="W407" t="s">
        <v>8478</v>
      </c>
      <c r="X407" t="s">
        <v>8479</v>
      </c>
      <c r="Y407" t="s">
        <v>8480</v>
      </c>
      <c r="Z407" t="s">
        <v>8481</v>
      </c>
      <c r="AA407" t="s">
        <v>8482</v>
      </c>
      <c r="AB407" t="s">
        <v>8483</v>
      </c>
      <c r="AC407" t="s">
        <v>8484</v>
      </c>
      <c r="AD407" t="s">
        <v>8485</v>
      </c>
      <c r="AE407" t="s">
        <v>8486</v>
      </c>
      <c r="AF407" t="s">
        <v>74</v>
      </c>
      <c r="AG407">
        <v>31</v>
      </c>
      <c r="AH407">
        <v>16</v>
      </c>
      <c r="AI407">
        <v>17</v>
      </c>
      <c r="AJ407">
        <v>1</v>
      </c>
      <c r="AK407">
        <v>17</v>
      </c>
      <c r="AL407" t="s">
        <v>3145</v>
      </c>
      <c r="AM407" t="s">
        <v>483</v>
      </c>
      <c r="AN407" t="s">
        <v>3146</v>
      </c>
      <c r="AO407" t="s">
        <v>8409</v>
      </c>
      <c r="AP407" t="s">
        <v>8410</v>
      </c>
      <c r="AQ407" t="s">
        <v>74</v>
      </c>
      <c r="AR407" t="s">
        <v>8411</v>
      </c>
      <c r="AS407" t="s">
        <v>8412</v>
      </c>
      <c r="AT407" t="s">
        <v>6558</v>
      </c>
      <c r="AU407">
        <v>2020</v>
      </c>
      <c r="AV407">
        <v>32</v>
      </c>
      <c r="AW407">
        <v>5</v>
      </c>
      <c r="AX407" t="s">
        <v>74</v>
      </c>
      <c r="AY407" t="s">
        <v>74</v>
      </c>
      <c r="AZ407" t="s">
        <v>74</v>
      </c>
      <c r="BA407" t="s">
        <v>74</v>
      </c>
      <c r="BB407">
        <v>367</v>
      </c>
      <c r="BC407">
        <v>381</v>
      </c>
      <c r="BD407" t="s">
        <v>8487</v>
      </c>
      <c r="BE407" t="s">
        <v>8488</v>
      </c>
      <c r="BF407" t="str">
        <f>HYPERLINK("http://dx.doi.org/10.1017/S0954102020000243","http://dx.doi.org/10.1017/S0954102020000243")</f>
        <v>http://dx.doi.org/10.1017/S0954102020000243</v>
      </c>
      <c r="BG407" t="s">
        <v>74</v>
      </c>
      <c r="BH407" t="s">
        <v>74</v>
      </c>
      <c r="BI407">
        <v>15</v>
      </c>
      <c r="BJ407" t="s">
        <v>8415</v>
      </c>
      <c r="BK407" t="s">
        <v>100</v>
      </c>
      <c r="BL407" t="s">
        <v>8416</v>
      </c>
      <c r="BM407" t="s">
        <v>8417</v>
      </c>
      <c r="BN407" t="s">
        <v>74</v>
      </c>
      <c r="BO407" t="s">
        <v>74</v>
      </c>
      <c r="BP407" t="s">
        <v>74</v>
      </c>
      <c r="BQ407" t="s">
        <v>74</v>
      </c>
      <c r="BR407" t="s">
        <v>104</v>
      </c>
      <c r="BS407" t="s">
        <v>8489</v>
      </c>
      <c r="BT407" t="str">
        <f>HYPERLINK("https%3A%2F%2Fwww.webofscience.com%2Fwos%2Fwoscc%2Ffull-record%2FWOS:000574566200005","View Full Record in Web of Science")</f>
        <v>View Full Record in Web of Science</v>
      </c>
    </row>
    <row r="408" spans="1:72" x14ac:dyDescent="0.15">
      <c r="A408" t="s">
        <v>72</v>
      </c>
      <c r="B408" t="s">
        <v>8490</v>
      </c>
      <c r="C408" t="s">
        <v>74</v>
      </c>
      <c r="D408" t="s">
        <v>74</v>
      </c>
      <c r="E408" t="s">
        <v>74</v>
      </c>
      <c r="F408" t="s">
        <v>8491</v>
      </c>
      <c r="G408" t="s">
        <v>74</v>
      </c>
      <c r="H408" t="s">
        <v>74</v>
      </c>
      <c r="I408" t="s">
        <v>8492</v>
      </c>
      <c r="J408" t="s">
        <v>8397</v>
      </c>
      <c r="K408" t="s">
        <v>74</v>
      </c>
      <c r="L408" t="s">
        <v>74</v>
      </c>
      <c r="M408" t="s">
        <v>78</v>
      </c>
      <c r="N408" t="s">
        <v>79</v>
      </c>
      <c r="O408" t="s">
        <v>74</v>
      </c>
      <c r="P408" t="s">
        <v>74</v>
      </c>
      <c r="Q408" t="s">
        <v>74</v>
      </c>
      <c r="R408" t="s">
        <v>74</v>
      </c>
      <c r="S408" t="s">
        <v>74</v>
      </c>
      <c r="T408" t="s">
        <v>8493</v>
      </c>
      <c r="U408" t="s">
        <v>8494</v>
      </c>
      <c r="V408" t="s">
        <v>8495</v>
      </c>
      <c r="W408" t="s">
        <v>8496</v>
      </c>
      <c r="X408" t="s">
        <v>8497</v>
      </c>
      <c r="Y408" t="s">
        <v>8498</v>
      </c>
      <c r="Z408" t="s">
        <v>8499</v>
      </c>
      <c r="AA408" t="s">
        <v>8500</v>
      </c>
      <c r="AB408" t="s">
        <v>8501</v>
      </c>
      <c r="AC408" t="s">
        <v>8502</v>
      </c>
      <c r="AD408" t="s">
        <v>8502</v>
      </c>
      <c r="AE408" t="s">
        <v>8503</v>
      </c>
      <c r="AF408" t="s">
        <v>74</v>
      </c>
      <c r="AG408">
        <v>51</v>
      </c>
      <c r="AH408">
        <v>1</v>
      </c>
      <c r="AI408">
        <v>1</v>
      </c>
      <c r="AJ408">
        <v>0</v>
      </c>
      <c r="AK408">
        <v>4</v>
      </c>
      <c r="AL408" t="s">
        <v>3145</v>
      </c>
      <c r="AM408" t="s">
        <v>483</v>
      </c>
      <c r="AN408" t="s">
        <v>3146</v>
      </c>
      <c r="AO408" t="s">
        <v>8409</v>
      </c>
      <c r="AP408" t="s">
        <v>8410</v>
      </c>
      <c r="AQ408" t="s">
        <v>74</v>
      </c>
      <c r="AR408" t="s">
        <v>8411</v>
      </c>
      <c r="AS408" t="s">
        <v>8412</v>
      </c>
      <c r="AT408" t="s">
        <v>6558</v>
      </c>
      <c r="AU408">
        <v>2020</v>
      </c>
      <c r="AV408">
        <v>32</v>
      </c>
      <c r="AW408">
        <v>5</v>
      </c>
      <c r="AX408" t="s">
        <v>74</v>
      </c>
      <c r="AY408" t="s">
        <v>74</v>
      </c>
      <c r="AZ408" t="s">
        <v>74</v>
      </c>
      <c r="BA408" t="s">
        <v>74</v>
      </c>
      <c r="BB408">
        <v>382</v>
      </c>
      <c r="BC408">
        <v>395</v>
      </c>
      <c r="BD408" t="s">
        <v>8504</v>
      </c>
      <c r="BE408" t="s">
        <v>8505</v>
      </c>
      <c r="BF408" t="str">
        <f>HYPERLINK("http://dx.doi.org/10.1017/S095410202000036X","http://dx.doi.org/10.1017/S095410202000036X")</f>
        <v>http://dx.doi.org/10.1017/S095410202000036X</v>
      </c>
      <c r="BG408" t="s">
        <v>74</v>
      </c>
      <c r="BH408" t="s">
        <v>74</v>
      </c>
      <c r="BI408">
        <v>14</v>
      </c>
      <c r="BJ408" t="s">
        <v>8415</v>
      </c>
      <c r="BK408" t="s">
        <v>100</v>
      </c>
      <c r="BL408" t="s">
        <v>8416</v>
      </c>
      <c r="BM408" t="s">
        <v>8417</v>
      </c>
      <c r="BN408" t="s">
        <v>74</v>
      </c>
      <c r="BO408" t="s">
        <v>74</v>
      </c>
      <c r="BP408" t="s">
        <v>74</v>
      </c>
      <c r="BQ408" t="s">
        <v>74</v>
      </c>
      <c r="BR408" t="s">
        <v>104</v>
      </c>
      <c r="BS408" t="s">
        <v>8506</v>
      </c>
      <c r="BT408" t="str">
        <f>HYPERLINK("https%3A%2F%2Fwww.webofscience.com%2Fwos%2Fwoscc%2Ffull-record%2FWOS:000574566200006","View Full Record in Web of Science")</f>
        <v>View Full Record in Web of Science</v>
      </c>
    </row>
    <row r="409" spans="1:72" x14ac:dyDescent="0.15">
      <c r="A409" t="s">
        <v>72</v>
      </c>
      <c r="B409" t="s">
        <v>8507</v>
      </c>
      <c r="C409" t="s">
        <v>74</v>
      </c>
      <c r="D409" t="s">
        <v>74</v>
      </c>
      <c r="E409" t="s">
        <v>74</v>
      </c>
      <c r="F409" t="s">
        <v>8508</v>
      </c>
      <c r="G409" t="s">
        <v>74</v>
      </c>
      <c r="H409" t="s">
        <v>74</v>
      </c>
      <c r="I409" t="s">
        <v>8509</v>
      </c>
      <c r="J409" t="s">
        <v>8397</v>
      </c>
      <c r="K409" t="s">
        <v>74</v>
      </c>
      <c r="L409" t="s">
        <v>74</v>
      </c>
      <c r="M409" t="s">
        <v>78</v>
      </c>
      <c r="N409" t="s">
        <v>79</v>
      </c>
      <c r="O409" t="s">
        <v>74</v>
      </c>
      <c r="P409" t="s">
        <v>74</v>
      </c>
      <c r="Q409" t="s">
        <v>74</v>
      </c>
      <c r="R409" t="s">
        <v>74</v>
      </c>
      <c r="S409" t="s">
        <v>74</v>
      </c>
      <c r="T409" t="s">
        <v>74</v>
      </c>
      <c r="U409" t="s">
        <v>8510</v>
      </c>
      <c r="V409" t="s">
        <v>74</v>
      </c>
      <c r="W409" t="s">
        <v>8511</v>
      </c>
      <c r="X409" t="s">
        <v>8512</v>
      </c>
      <c r="Y409" t="s">
        <v>8513</v>
      </c>
      <c r="Z409" t="s">
        <v>8514</v>
      </c>
      <c r="AA409" t="s">
        <v>74</v>
      </c>
      <c r="AB409" t="s">
        <v>8515</v>
      </c>
      <c r="AC409" t="s">
        <v>8516</v>
      </c>
      <c r="AD409" t="s">
        <v>8517</v>
      </c>
      <c r="AE409" t="s">
        <v>8518</v>
      </c>
      <c r="AF409" t="s">
        <v>74</v>
      </c>
      <c r="AG409">
        <v>7</v>
      </c>
      <c r="AH409">
        <v>1</v>
      </c>
      <c r="AI409">
        <v>1</v>
      </c>
      <c r="AJ409">
        <v>0</v>
      </c>
      <c r="AK409">
        <v>2</v>
      </c>
      <c r="AL409" t="s">
        <v>3145</v>
      </c>
      <c r="AM409" t="s">
        <v>483</v>
      </c>
      <c r="AN409" t="s">
        <v>3146</v>
      </c>
      <c r="AO409" t="s">
        <v>8409</v>
      </c>
      <c r="AP409" t="s">
        <v>8410</v>
      </c>
      <c r="AQ409" t="s">
        <v>74</v>
      </c>
      <c r="AR409" t="s">
        <v>8411</v>
      </c>
      <c r="AS409" t="s">
        <v>8412</v>
      </c>
      <c r="AT409" t="s">
        <v>6558</v>
      </c>
      <c r="AU409">
        <v>2020</v>
      </c>
      <c r="AV409">
        <v>32</v>
      </c>
      <c r="AW409">
        <v>5</v>
      </c>
      <c r="AX409" t="s">
        <v>74</v>
      </c>
      <c r="AY409" t="s">
        <v>74</v>
      </c>
      <c r="AZ409" t="s">
        <v>74</v>
      </c>
      <c r="BA409" t="s">
        <v>74</v>
      </c>
      <c r="BB409">
        <v>396</v>
      </c>
      <c r="BC409">
        <v>397</v>
      </c>
      <c r="BD409" t="s">
        <v>8519</v>
      </c>
      <c r="BE409" t="s">
        <v>8520</v>
      </c>
      <c r="BF409" t="str">
        <f>HYPERLINK("http://dx.doi.org/10.1017/S0954102020000346","http://dx.doi.org/10.1017/S0954102020000346")</f>
        <v>http://dx.doi.org/10.1017/S0954102020000346</v>
      </c>
      <c r="BG409" t="s">
        <v>74</v>
      </c>
      <c r="BH409" t="s">
        <v>74</v>
      </c>
      <c r="BI409">
        <v>2</v>
      </c>
      <c r="BJ409" t="s">
        <v>8415</v>
      </c>
      <c r="BK409" t="s">
        <v>100</v>
      </c>
      <c r="BL409" t="s">
        <v>8416</v>
      </c>
      <c r="BM409" t="s">
        <v>8417</v>
      </c>
      <c r="BN409" t="s">
        <v>74</v>
      </c>
      <c r="BO409" t="s">
        <v>564</v>
      </c>
      <c r="BP409" t="s">
        <v>74</v>
      </c>
      <c r="BQ409" t="s">
        <v>74</v>
      </c>
      <c r="BR409" t="s">
        <v>104</v>
      </c>
      <c r="BS409" t="s">
        <v>8521</v>
      </c>
      <c r="BT409" t="str">
        <f>HYPERLINK("https%3A%2F%2Fwww.webofscience.com%2Fwos%2Fwoscc%2Ffull-record%2FWOS:000574566200007","View Full Record in Web of Science")</f>
        <v>View Full Record in Web of Science</v>
      </c>
    </row>
    <row r="410" spans="1:72" x14ac:dyDescent="0.15">
      <c r="A410" t="s">
        <v>72</v>
      </c>
      <c r="B410" t="s">
        <v>8522</v>
      </c>
      <c r="C410" t="s">
        <v>74</v>
      </c>
      <c r="D410" t="s">
        <v>74</v>
      </c>
      <c r="E410" t="s">
        <v>74</v>
      </c>
      <c r="F410" t="s">
        <v>8523</v>
      </c>
      <c r="G410" t="s">
        <v>74</v>
      </c>
      <c r="H410" t="s">
        <v>74</v>
      </c>
      <c r="I410" t="s">
        <v>8524</v>
      </c>
      <c r="J410" t="s">
        <v>8397</v>
      </c>
      <c r="K410" t="s">
        <v>74</v>
      </c>
      <c r="L410" t="s">
        <v>74</v>
      </c>
      <c r="M410" t="s">
        <v>78</v>
      </c>
      <c r="N410" t="s">
        <v>79</v>
      </c>
      <c r="O410" t="s">
        <v>74</v>
      </c>
      <c r="P410" t="s">
        <v>74</v>
      </c>
      <c r="Q410" t="s">
        <v>74</v>
      </c>
      <c r="R410" t="s">
        <v>74</v>
      </c>
      <c r="S410" t="s">
        <v>74</v>
      </c>
      <c r="T410" t="s">
        <v>8525</v>
      </c>
      <c r="U410" t="s">
        <v>8526</v>
      </c>
      <c r="V410" t="s">
        <v>8527</v>
      </c>
      <c r="W410" t="s">
        <v>8528</v>
      </c>
      <c r="X410" t="s">
        <v>8529</v>
      </c>
      <c r="Y410" t="s">
        <v>8530</v>
      </c>
      <c r="Z410" t="s">
        <v>8531</v>
      </c>
      <c r="AA410" t="s">
        <v>8532</v>
      </c>
      <c r="AB410" t="s">
        <v>8533</v>
      </c>
      <c r="AC410" t="s">
        <v>8534</v>
      </c>
      <c r="AD410" t="s">
        <v>8535</v>
      </c>
      <c r="AE410" t="s">
        <v>8536</v>
      </c>
      <c r="AF410" t="s">
        <v>74</v>
      </c>
      <c r="AG410">
        <v>30</v>
      </c>
      <c r="AH410">
        <v>10</v>
      </c>
      <c r="AI410">
        <v>10</v>
      </c>
      <c r="AJ410">
        <v>1</v>
      </c>
      <c r="AK410">
        <v>10</v>
      </c>
      <c r="AL410" t="s">
        <v>3145</v>
      </c>
      <c r="AM410" t="s">
        <v>483</v>
      </c>
      <c r="AN410" t="s">
        <v>3146</v>
      </c>
      <c r="AO410" t="s">
        <v>8409</v>
      </c>
      <c r="AP410" t="s">
        <v>8410</v>
      </c>
      <c r="AQ410" t="s">
        <v>74</v>
      </c>
      <c r="AR410" t="s">
        <v>8411</v>
      </c>
      <c r="AS410" t="s">
        <v>8412</v>
      </c>
      <c r="AT410" t="s">
        <v>6558</v>
      </c>
      <c r="AU410">
        <v>2020</v>
      </c>
      <c r="AV410">
        <v>32</v>
      </c>
      <c r="AW410">
        <v>5</v>
      </c>
      <c r="AX410" t="s">
        <v>74</v>
      </c>
      <c r="AY410" t="s">
        <v>74</v>
      </c>
      <c r="AZ410" t="s">
        <v>74</v>
      </c>
      <c r="BA410" t="s">
        <v>74</v>
      </c>
      <c r="BB410">
        <v>398</v>
      </c>
      <c r="BC410">
        <v>407</v>
      </c>
      <c r="BD410" t="s">
        <v>8537</v>
      </c>
      <c r="BE410" t="s">
        <v>8538</v>
      </c>
      <c r="BF410" t="str">
        <f>HYPERLINK("http://dx.doi.org/10.1017/S0954102020000279","http://dx.doi.org/10.1017/S0954102020000279")</f>
        <v>http://dx.doi.org/10.1017/S0954102020000279</v>
      </c>
      <c r="BG410" t="s">
        <v>74</v>
      </c>
      <c r="BH410" t="s">
        <v>74</v>
      </c>
      <c r="BI410">
        <v>10</v>
      </c>
      <c r="BJ410" t="s">
        <v>8415</v>
      </c>
      <c r="BK410" t="s">
        <v>100</v>
      </c>
      <c r="BL410" t="s">
        <v>8416</v>
      </c>
      <c r="BM410" t="s">
        <v>8417</v>
      </c>
      <c r="BN410" t="s">
        <v>74</v>
      </c>
      <c r="BO410" t="s">
        <v>1432</v>
      </c>
      <c r="BP410" t="s">
        <v>74</v>
      </c>
      <c r="BQ410" t="s">
        <v>74</v>
      </c>
      <c r="BR410" t="s">
        <v>104</v>
      </c>
      <c r="BS410" t="s">
        <v>8539</v>
      </c>
      <c r="BT410" t="str">
        <f>HYPERLINK("https%3A%2F%2Fwww.webofscience.com%2Fwos%2Fwoscc%2Ffull-record%2FWOS:000574566200008","View Full Record in Web of Science")</f>
        <v>View Full Record in Web of Science</v>
      </c>
    </row>
    <row r="411" spans="1:72" x14ac:dyDescent="0.15">
      <c r="A411" t="s">
        <v>72</v>
      </c>
      <c r="B411" t="s">
        <v>8540</v>
      </c>
      <c r="C411" t="s">
        <v>74</v>
      </c>
      <c r="D411" t="s">
        <v>74</v>
      </c>
      <c r="E411" t="s">
        <v>74</v>
      </c>
      <c r="F411" t="s">
        <v>8541</v>
      </c>
      <c r="G411" t="s">
        <v>74</v>
      </c>
      <c r="H411" t="s">
        <v>74</v>
      </c>
      <c r="I411" t="s">
        <v>8542</v>
      </c>
      <c r="J411" t="s">
        <v>8397</v>
      </c>
      <c r="K411" t="s">
        <v>74</v>
      </c>
      <c r="L411" t="s">
        <v>74</v>
      </c>
      <c r="M411" t="s">
        <v>78</v>
      </c>
      <c r="N411" t="s">
        <v>79</v>
      </c>
      <c r="O411" t="s">
        <v>74</v>
      </c>
      <c r="P411" t="s">
        <v>74</v>
      </c>
      <c r="Q411" t="s">
        <v>74</v>
      </c>
      <c r="R411" t="s">
        <v>74</v>
      </c>
      <c r="S411" t="s">
        <v>74</v>
      </c>
      <c r="T411" t="s">
        <v>8543</v>
      </c>
      <c r="U411" t="s">
        <v>8544</v>
      </c>
      <c r="V411" t="s">
        <v>8545</v>
      </c>
      <c r="W411" t="s">
        <v>8546</v>
      </c>
      <c r="X411" t="s">
        <v>8547</v>
      </c>
      <c r="Y411" t="s">
        <v>8548</v>
      </c>
      <c r="Z411" t="s">
        <v>8549</v>
      </c>
      <c r="AA411" t="s">
        <v>8550</v>
      </c>
      <c r="AB411" t="s">
        <v>8551</v>
      </c>
      <c r="AC411" t="s">
        <v>8552</v>
      </c>
      <c r="AD411" t="s">
        <v>8553</v>
      </c>
      <c r="AE411" t="s">
        <v>8554</v>
      </c>
      <c r="AF411" t="s">
        <v>74</v>
      </c>
      <c r="AG411">
        <v>49</v>
      </c>
      <c r="AH411">
        <v>1</v>
      </c>
      <c r="AI411">
        <v>1</v>
      </c>
      <c r="AJ411">
        <v>0</v>
      </c>
      <c r="AK411">
        <v>22</v>
      </c>
      <c r="AL411" t="s">
        <v>3145</v>
      </c>
      <c r="AM411" t="s">
        <v>483</v>
      </c>
      <c r="AN411" t="s">
        <v>3146</v>
      </c>
      <c r="AO411" t="s">
        <v>8409</v>
      </c>
      <c r="AP411" t="s">
        <v>8410</v>
      </c>
      <c r="AQ411" t="s">
        <v>74</v>
      </c>
      <c r="AR411" t="s">
        <v>8411</v>
      </c>
      <c r="AS411" t="s">
        <v>8412</v>
      </c>
      <c r="AT411" t="s">
        <v>6558</v>
      </c>
      <c r="AU411">
        <v>2020</v>
      </c>
      <c r="AV411">
        <v>32</v>
      </c>
      <c r="AW411">
        <v>5</v>
      </c>
      <c r="AX411" t="s">
        <v>74</v>
      </c>
      <c r="AY411" t="s">
        <v>74</v>
      </c>
      <c r="AZ411" t="s">
        <v>74</v>
      </c>
      <c r="BA411" t="s">
        <v>74</v>
      </c>
      <c r="BB411">
        <v>408</v>
      </c>
      <c r="BC411">
        <v>424</v>
      </c>
      <c r="BD411" t="s">
        <v>8555</v>
      </c>
      <c r="BE411" t="s">
        <v>8556</v>
      </c>
      <c r="BF411" t="str">
        <f>HYPERLINK("http://dx.doi.org/10.1017/S0954102020000255","http://dx.doi.org/10.1017/S0954102020000255")</f>
        <v>http://dx.doi.org/10.1017/S0954102020000255</v>
      </c>
      <c r="BG411" t="s">
        <v>74</v>
      </c>
      <c r="BH411" t="s">
        <v>74</v>
      </c>
      <c r="BI411">
        <v>17</v>
      </c>
      <c r="BJ411" t="s">
        <v>8415</v>
      </c>
      <c r="BK411" t="s">
        <v>100</v>
      </c>
      <c r="BL411" t="s">
        <v>8416</v>
      </c>
      <c r="BM411" t="s">
        <v>8417</v>
      </c>
      <c r="BN411" t="s">
        <v>74</v>
      </c>
      <c r="BO411" t="s">
        <v>74</v>
      </c>
      <c r="BP411" t="s">
        <v>74</v>
      </c>
      <c r="BQ411" t="s">
        <v>74</v>
      </c>
      <c r="BR411" t="s">
        <v>104</v>
      </c>
      <c r="BS411" t="s">
        <v>8557</v>
      </c>
      <c r="BT411" t="str">
        <f>HYPERLINK("https%3A%2F%2Fwww.webofscience.com%2Fwos%2Fwoscc%2Ffull-record%2FWOS:000574566200009","View Full Record in Web of Science")</f>
        <v>View Full Record in Web of Science</v>
      </c>
    </row>
    <row r="412" spans="1:72" x14ac:dyDescent="0.15">
      <c r="A412" t="s">
        <v>72</v>
      </c>
      <c r="B412" t="s">
        <v>8558</v>
      </c>
      <c r="C412" t="s">
        <v>74</v>
      </c>
      <c r="D412" t="s">
        <v>74</v>
      </c>
      <c r="E412" t="s">
        <v>74</v>
      </c>
      <c r="F412" t="s">
        <v>8559</v>
      </c>
      <c r="G412" t="s">
        <v>74</v>
      </c>
      <c r="H412" t="s">
        <v>74</v>
      </c>
      <c r="I412" t="s">
        <v>8560</v>
      </c>
      <c r="J412" t="s">
        <v>8561</v>
      </c>
      <c r="K412" t="s">
        <v>74</v>
      </c>
      <c r="L412" t="s">
        <v>74</v>
      </c>
      <c r="M412" t="s">
        <v>78</v>
      </c>
      <c r="N412" t="s">
        <v>79</v>
      </c>
      <c r="O412" t="s">
        <v>74</v>
      </c>
      <c r="P412" t="s">
        <v>74</v>
      </c>
      <c r="Q412" t="s">
        <v>74</v>
      </c>
      <c r="R412" t="s">
        <v>74</v>
      </c>
      <c r="S412" t="s">
        <v>74</v>
      </c>
      <c r="T412" t="s">
        <v>8562</v>
      </c>
      <c r="U412" t="s">
        <v>8563</v>
      </c>
      <c r="V412" t="s">
        <v>8564</v>
      </c>
      <c r="W412" t="s">
        <v>8565</v>
      </c>
      <c r="X412" t="s">
        <v>8566</v>
      </c>
      <c r="Y412" t="s">
        <v>8567</v>
      </c>
      <c r="Z412" t="s">
        <v>8568</v>
      </c>
      <c r="AA412" t="s">
        <v>8569</v>
      </c>
      <c r="AB412" t="s">
        <v>8570</v>
      </c>
      <c r="AC412" t="s">
        <v>8571</v>
      </c>
      <c r="AD412" t="s">
        <v>8572</v>
      </c>
      <c r="AE412" t="s">
        <v>8573</v>
      </c>
      <c r="AF412" t="s">
        <v>74</v>
      </c>
      <c r="AG412">
        <v>94</v>
      </c>
      <c r="AH412">
        <v>7</v>
      </c>
      <c r="AI412">
        <v>7</v>
      </c>
      <c r="AJ412">
        <v>0</v>
      </c>
      <c r="AK412">
        <v>9</v>
      </c>
      <c r="AL412" t="s">
        <v>581</v>
      </c>
      <c r="AM412" t="s">
        <v>582</v>
      </c>
      <c r="AN412" t="s">
        <v>583</v>
      </c>
      <c r="AO412" t="s">
        <v>8574</v>
      </c>
      <c r="AP412" t="s">
        <v>8575</v>
      </c>
      <c r="AQ412" t="s">
        <v>74</v>
      </c>
      <c r="AR412" t="s">
        <v>8576</v>
      </c>
      <c r="AS412" t="s">
        <v>8577</v>
      </c>
      <c r="AT412" t="s">
        <v>252</v>
      </c>
      <c r="AU412">
        <v>2021</v>
      </c>
      <c r="AV412">
        <v>162</v>
      </c>
      <c r="AW412">
        <v>1</v>
      </c>
      <c r="AX412" t="s">
        <v>74</v>
      </c>
      <c r="AY412" t="s">
        <v>74</v>
      </c>
      <c r="AZ412" t="s">
        <v>74</v>
      </c>
      <c r="BA412" t="s">
        <v>74</v>
      </c>
      <c r="BB412">
        <v>289</v>
      </c>
      <c r="BC412">
        <v>301</v>
      </c>
      <c r="BD412" t="s">
        <v>74</v>
      </c>
      <c r="BE412" t="s">
        <v>8578</v>
      </c>
      <c r="BF412" t="str">
        <f>HYPERLINK("http://dx.doi.org/10.1007/s10336-020-01822-4","http://dx.doi.org/10.1007/s10336-020-01822-4")</f>
        <v>http://dx.doi.org/10.1007/s10336-020-01822-4</v>
      </c>
      <c r="BG412" t="s">
        <v>74</v>
      </c>
      <c r="BH412" t="s">
        <v>3429</v>
      </c>
      <c r="BI412">
        <v>13</v>
      </c>
      <c r="BJ412" t="s">
        <v>8579</v>
      </c>
      <c r="BK412" t="s">
        <v>100</v>
      </c>
      <c r="BL412" t="s">
        <v>1553</v>
      </c>
      <c r="BM412" t="s">
        <v>8580</v>
      </c>
      <c r="BN412" t="s">
        <v>74</v>
      </c>
      <c r="BO412" t="s">
        <v>74</v>
      </c>
      <c r="BP412" t="s">
        <v>74</v>
      </c>
      <c r="BQ412" t="s">
        <v>74</v>
      </c>
      <c r="BR412" t="s">
        <v>104</v>
      </c>
      <c r="BS412" t="s">
        <v>8581</v>
      </c>
      <c r="BT412" t="str">
        <f>HYPERLINK("https%3A%2F%2Fwww.webofscience.com%2Fwos%2Fwoscc%2Ffull-record%2FWOS:000574310500001","View Full Record in Web of Science")</f>
        <v>View Full Record in Web of Science</v>
      </c>
    </row>
    <row r="413" spans="1:72" x14ac:dyDescent="0.15">
      <c r="A413" t="s">
        <v>72</v>
      </c>
      <c r="B413" t="s">
        <v>8582</v>
      </c>
      <c r="C413" t="s">
        <v>74</v>
      </c>
      <c r="D413" t="s">
        <v>74</v>
      </c>
      <c r="E413" t="s">
        <v>74</v>
      </c>
      <c r="F413" t="s">
        <v>8583</v>
      </c>
      <c r="G413" t="s">
        <v>74</v>
      </c>
      <c r="H413" t="s">
        <v>74</v>
      </c>
      <c r="I413" t="s">
        <v>8584</v>
      </c>
      <c r="J413" t="s">
        <v>2712</v>
      </c>
      <c r="K413" t="s">
        <v>74</v>
      </c>
      <c r="L413" t="s">
        <v>74</v>
      </c>
      <c r="M413" t="s">
        <v>78</v>
      </c>
      <c r="N413" t="s">
        <v>79</v>
      </c>
      <c r="O413" t="s">
        <v>74</v>
      </c>
      <c r="P413" t="s">
        <v>74</v>
      </c>
      <c r="Q413" t="s">
        <v>74</v>
      </c>
      <c r="R413" t="s">
        <v>74</v>
      </c>
      <c r="S413" t="s">
        <v>74</v>
      </c>
      <c r="T413" t="s">
        <v>8585</v>
      </c>
      <c r="U413" t="s">
        <v>8586</v>
      </c>
      <c r="V413" t="s">
        <v>8587</v>
      </c>
      <c r="W413" t="s">
        <v>8588</v>
      </c>
      <c r="X413" t="s">
        <v>8589</v>
      </c>
      <c r="Y413" t="s">
        <v>8590</v>
      </c>
      <c r="Z413" t="s">
        <v>8591</v>
      </c>
      <c r="AA413" t="s">
        <v>8592</v>
      </c>
      <c r="AB413" t="s">
        <v>8593</v>
      </c>
      <c r="AC413" t="s">
        <v>8594</v>
      </c>
      <c r="AD413" t="s">
        <v>8595</v>
      </c>
      <c r="AE413" t="s">
        <v>8596</v>
      </c>
      <c r="AF413" t="s">
        <v>74</v>
      </c>
      <c r="AG413">
        <v>65</v>
      </c>
      <c r="AH413">
        <v>8</v>
      </c>
      <c r="AI413">
        <v>10</v>
      </c>
      <c r="AJ413">
        <v>3</v>
      </c>
      <c r="AK413">
        <v>6</v>
      </c>
      <c r="AL413" t="s">
        <v>2724</v>
      </c>
      <c r="AM413" t="s">
        <v>2725</v>
      </c>
      <c r="AN413" t="s">
        <v>2726</v>
      </c>
      <c r="AO413" t="s">
        <v>2727</v>
      </c>
      <c r="AP413" t="s">
        <v>74</v>
      </c>
      <c r="AQ413" t="s">
        <v>74</v>
      </c>
      <c r="AR413" t="s">
        <v>2728</v>
      </c>
      <c r="AS413" t="s">
        <v>2729</v>
      </c>
      <c r="AT413" t="s">
        <v>6558</v>
      </c>
      <c r="AU413">
        <v>2020</v>
      </c>
      <c r="AV413">
        <v>15</v>
      </c>
      <c r="AW413">
        <v>10</v>
      </c>
      <c r="AX413" t="s">
        <v>74</v>
      </c>
      <c r="AY413" t="s">
        <v>74</v>
      </c>
      <c r="AZ413" t="s">
        <v>74</v>
      </c>
      <c r="BA413" t="s">
        <v>74</v>
      </c>
      <c r="BB413" t="s">
        <v>74</v>
      </c>
      <c r="BC413" t="s">
        <v>74</v>
      </c>
      <c r="BD413">
        <v>104010</v>
      </c>
      <c r="BE413" t="s">
        <v>8597</v>
      </c>
      <c r="BF413" t="str">
        <f>HYPERLINK("http://dx.doi.org/10.1088/1748-9326/ab9926","http://dx.doi.org/10.1088/1748-9326/ab9926")</f>
        <v>http://dx.doi.org/10.1088/1748-9326/ab9926</v>
      </c>
      <c r="BG413" t="s">
        <v>74</v>
      </c>
      <c r="BH413" t="s">
        <v>74</v>
      </c>
      <c r="BI413">
        <v>10</v>
      </c>
      <c r="BJ413" t="s">
        <v>1027</v>
      </c>
      <c r="BK413" t="s">
        <v>100</v>
      </c>
      <c r="BL413" t="s">
        <v>1028</v>
      </c>
      <c r="BM413" t="s">
        <v>8598</v>
      </c>
      <c r="BN413" t="s">
        <v>74</v>
      </c>
      <c r="BO413" t="s">
        <v>202</v>
      </c>
      <c r="BP413" t="s">
        <v>74</v>
      </c>
      <c r="BQ413" t="s">
        <v>74</v>
      </c>
      <c r="BR413" t="s">
        <v>104</v>
      </c>
      <c r="BS413" t="s">
        <v>8599</v>
      </c>
      <c r="BT413" t="str">
        <f>HYPERLINK("https%3A%2F%2Fwww.webofscience.com%2Fwos%2Fwoscc%2Ffull-record%2FWOS:000574291900001","View Full Record in Web of Science")</f>
        <v>View Full Record in Web of Science</v>
      </c>
    </row>
    <row r="414" spans="1:72" x14ac:dyDescent="0.15">
      <c r="A414" t="s">
        <v>72</v>
      </c>
      <c r="B414" t="s">
        <v>8600</v>
      </c>
      <c r="C414" t="s">
        <v>74</v>
      </c>
      <c r="D414" t="s">
        <v>74</v>
      </c>
      <c r="E414" t="s">
        <v>74</v>
      </c>
      <c r="F414" t="s">
        <v>8601</v>
      </c>
      <c r="G414" t="s">
        <v>74</v>
      </c>
      <c r="H414" t="s">
        <v>74</v>
      </c>
      <c r="I414" t="s">
        <v>8602</v>
      </c>
      <c r="J414" t="s">
        <v>8603</v>
      </c>
      <c r="K414" t="s">
        <v>74</v>
      </c>
      <c r="L414" t="s">
        <v>74</v>
      </c>
      <c r="M414" t="s">
        <v>78</v>
      </c>
      <c r="N414" t="s">
        <v>79</v>
      </c>
      <c r="O414" t="s">
        <v>74</v>
      </c>
      <c r="P414" t="s">
        <v>74</v>
      </c>
      <c r="Q414" t="s">
        <v>74</v>
      </c>
      <c r="R414" t="s">
        <v>74</v>
      </c>
      <c r="S414" t="s">
        <v>74</v>
      </c>
      <c r="T414" t="s">
        <v>8604</v>
      </c>
      <c r="U414" t="s">
        <v>8605</v>
      </c>
      <c r="V414" t="s">
        <v>8606</v>
      </c>
      <c r="W414" t="s">
        <v>8607</v>
      </c>
      <c r="X414" t="s">
        <v>8608</v>
      </c>
      <c r="Y414" t="s">
        <v>8609</v>
      </c>
      <c r="Z414" t="s">
        <v>8610</v>
      </c>
      <c r="AA414" t="s">
        <v>8611</v>
      </c>
      <c r="AB414" t="s">
        <v>8612</v>
      </c>
      <c r="AC414" t="s">
        <v>8613</v>
      </c>
      <c r="AD414" t="s">
        <v>8613</v>
      </c>
      <c r="AE414" t="s">
        <v>8614</v>
      </c>
      <c r="AF414" t="s">
        <v>74</v>
      </c>
      <c r="AG414">
        <v>21</v>
      </c>
      <c r="AH414">
        <v>4</v>
      </c>
      <c r="AI414">
        <v>4</v>
      </c>
      <c r="AJ414">
        <v>1</v>
      </c>
      <c r="AK414">
        <v>16</v>
      </c>
      <c r="AL414" t="s">
        <v>8220</v>
      </c>
      <c r="AM414" t="s">
        <v>8221</v>
      </c>
      <c r="AN414" t="s">
        <v>8222</v>
      </c>
      <c r="AO414" t="s">
        <v>8615</v>
      </c>
      <c r="AP414" t="s">
        <v>8616</v>
      </c>
      <c r="AQ414" t="s">
        <v>74</v>
      </c>
      <c r="AR414" t="s">
        <v>8617</v>
      </c>
      <c r="AS414" t="s">
        <v>8618</v>
      </c>
      <c r="AT414" t="s">
        <v>6558</v>
      </c>
      <c r="AU414">
        <v>2020</v>
      </c>
      <c r="AV414">
        <v>17</v>
      </c>
      <c r="AW414">
        <v>10</v>
      </c>
      <c r="AX414" t="s">
        <v>74</v>
      </c>
      <c r="AY414" t="s">
        <v>74</v>
      </c>
      <c r="AZ414" t="s">
        <v>74</v>
      </c>
      <c r="BA414" t="s">
        <v>74</v>
      </c>
      <c r="BB414">
        <v>1667</v>
      </c>
      <c r="BC414">
        <v>1671</v>
      </c>
      <c r="BD414" t="s">
        <v>74</v>
      </c>
      <c r="BE414" t="s">
        <v>8619</v>
      </c>
      <c r="BF414" t="str">
        <f>HYPERLINK("http://dx.doi.org/10.1109/LGRS.2019.2953481","http://dx.doi.org/10.1109/LGRS.2019.2953481")</f>
        <v>http://dx.doi.org/10.1109/LGRS.2019.2953481</v>
      </c>
      <c r="BG414" t="s">
        <v>74</v>
      </c>
      <c r="BH414" t="s">
        <v>74</v>
      </c>
      <c r="BI414">
        <v>5</v>
      </c>
      <c r="BJ414" t="s">
        <v>8620</v>
      </c>
      <c r="BK414" t="s">
        <v>100</v>
      </c>
      <c r="BL414" t="s">
        <v>8621</v>
      </c>
      <c r="BM414" t="s">
        <v>8622</v>
      </c>
      <c r="BN414" t="s">
        <v>74</v>
      </c>
      <c r="BO414" t="s">
        <v>701</v>
      </c>
      <c r="BP414" t="s">
        <v>74</v>
      </c>
      <c r="BQ414" t="s">
        <v>74</v>
      </c>
      <c r="BR414" t="s">
        <v>104</v>
      </c>
      <c r="BS414" t="s">
        <v>8623</v>
      </c>
      <c r="BT414" t="str">
        <f>HYPERLINK("https%3A%2F%2Fwww.webofscience.com%2Fwos%2Fwoscc%2Ffull-record%2FWOS:000573808500002","View Full Record in Web of Science")</f>
        <v>View Full Record in Web of Science</v>
      </c>
    </row>
    <row r="415" spans="1:72" x14ac:dyDescent="0.15">
      <c r="A415" t="s">
        <v>72</v>
      </c>
      <c r="B415" t="s">
        <v>8624</v>
      </c>
      <c r="C415" t="s">
        <v>74</v>
      </c>
      <c r="D415" t="s">
        <v>74</v>
      </c>
      <c r="E415" t="s">
        <v>74</v>
      </c>
      <c r="F415" t="s">
        <v>8625</v>
      </c>
      <c r="G415" t="s">
        <v>74</v>
      </c>
      <c r="H415" t="s">
        <v>74</v>
      </c>
      <c r="I415" t="s">
        <v>8626</v>
      </c>
      <c r="J415" t="s">
        <v>8627</v>
      </c>
      <c r="K415" t="s">
        <v>74</v>
      </c>
      <c r="L415" t="s">
        <v>74</v>
      </c>
      <c r="M415" t="s">
        <v>78</v>
      </c>
      <c r="N415" t="s">
        <v>79</v>
      </c>
      <c r="O415" t="s">
        <v>74</v>
      </c>
      <c r="P415" t="s">
        <v>74</v>
      </c>
      <c r="Q415" t="s">
        <v>74</v>
      </c>
      <c r="R415" t="s">
        <v>74</v>
      </c>
      <c r="S415" t="s">
        <v>74</v>
      </c>
      <c r="T415" t="s">
        <v>8628</v>
      </c>
      <c r="U415" t="s">
        <v>8629</v>
      </c>
      <c r="V415" t="s">
        <v>8630</v>
      </c>
      <c r="W415" t="s">
        <v>8631</v>
      </c>
      <c r="X415" t="s">
        <v>8632</v>
      </c>
      <c r="Y415" t="s">
        <v>8633</v>
      </c>
      <c r="Z415" t="s">
        <v>8634</v>
      </c>
      <c r="AA415" t="s">
        <v>8635</v>
      </c>
      <c r="AB415" t="s">
        <v>8636</v>
      </c>
      <c r="AC415" t="s">
        <v>8637</v>
      </c>
      <c r="AD415" t="s">
        <v>8638</v>
      </c>
      <c r="AE415" t="s">
        <v>8639</v>
      </c>
      <c r="AF415" t="s">
        <v>74</v>
      </c>
      <c r="AG415">
        <v>15</v>
      </c>
      <c r="AH415">
        <v>7</v>
      </c>
      <c r="AI415">
        <v>7</v>
      </c>
      <c r="AJ415">
        <v>0</v>
      </c>
      <c r="AK415">
        <v>10</v>
      </c>
      <c r="AL415" t="s">
        <v>8220</v>
      </c>
      <c r="AM415" t="s">
        <v>8221</v>
      </c>
      <c r="AN415" t="s">
        <v>8222</v>
      </c>
      <c r="AO415" t="s">
        <v>8640</v>
      </c>
      <c r="AP415" t="s">
        <v>8641</v>
      </c>
      <c r="AQ415" t="s">
        <v>74</v>
      </c>
      <c r="AR415" t="s">
        <v>8642</v>
      </c>
      <c r="AS415" t="s">
        <v>8643</v>
      </c>
      <c r="AT415" t="s">
        <v>6558</v>
      </c>
      <c r="AU415">
        <v>2020</v>
      </c>
      <c r="AV415">
        <v>58</v>
      </c>
      <c r="AW415">
        <v>10</v>
      </c>
      <c r="AX415" t="s">
        <v>74</v>
      </c>
      <c r="AY415" t="s">
        <v>74</v>
      </c>
      <c r="AZ415" t="s">
        <v>74</v>
      </c>
      <c r="BA415" t="s">
        <v>74</v>
      </c>
      <c r="BB415">
        <v>6767</v>
      </c>
      <c r="BC415">
        <v>6775</v>
      </c>
      <c r="BD415" t="s">
        <v>74</v>
      </c>
      <c r="BE415" t="s">
        <v>8644</v>
      </c>
      <c r="BF415" t="str">
        <f>HYPERLINK("http://dx.doi.org/10.1109/TGRS.2020.2970200","http://dx.doi.org/10.1109/TGRS.2020.2970200")</f>
        <v>http://dx.doi.org/10.1109/TGRS.2020.2970200</v>
      </c>
      <c r="BG415" t="s">
        <v>74</v>
      </c>
      <c r="BH415" t="s">
        <v>74</v>
      </c>
      <c r="BI415">
        <v>9</v>
      </c>
      <c r="BJ415" t="s">
        <v>8620</v>
      </c>
      <c r="BK415" t="s">
        <v>100</v>
      </c>
      <c r="BL415" t="s">
        <v>8621</v>
      </c>
      <c r="BM415" t="s">
        <v>8645</v>
      </c>
      <c r="BN415" t="s">
        <v>74</v>
      </c>
      <c r="BO415" t="s">
        <v>1825</v>
      </c>
      <c r="BP415" t="s">
        <v>74</v>
      </c>
      <c r="BQ415" t="s">
        <v>74</v>
      </c>
      <c r="BR415" t="s">
        <v>104</v>
      </c>
      <c r="BS415" t="s">
        <v>8646</v>
      </c>
      <c r="BT415" t="str">
        <f>HYPERLINK("https%3A%2F%2Fwww.webofscience.com%2Fwos%2Fwoscc%2Ffull-record%2FWOS:000573923100002","View Full Record in Web of Science")</f>
        <v>View Full Record in Web of Science</v>
      </c>
    </row>
    <row r="416" spans="1:72" x14ac:dyDescent="0.15">
      <c r="A416" t="s">
        <v>72</v>
      </c>
      <c r="B416" t="s">
        <v>8647</v>
      </c>
      <c r="C416" t="s">
        <v>74</v>
      </c>
      <c r="D416" t="s">
        <v>74</v>
      </c>
      <c r="E416" t="s">
        <v>74</v>
      </c>
      <c r="F416" t="s">
        <v>8648</v>
      </c>
      <c r="G416" t="s">
        <v>74</v>
      </c>
      <c r="H416" t="s">
        <v>74</v>
      </c>
      <c r="I416" t="s">
        <v>8649</v>
      </c>
      <c r="J416" t="s">
        <v>6569</v>
      </c>
      <c r="K416" t="s">
        <v>74</v>
      </c>
      <c r="L416" t="s">
        <v>74</v>
      </c>
      <c r="M416" t="s">
        <v>78</v>
      </c>
      <c r="N416" t="s">
        <v>79</v>
      </c>
      <c r="O416" t="s">
        <v>74</v>
      </c>
      <c r="P416" t="s">
        <v>74</v>
      </c>
      <c r="Q416" t="s">
        <v>74</v>
      </c>
      <c r="R416" t="s">
        <v>74</v>
      </c>
      <c r="S416" t="s">
        <v>74</v>
      </c>
      <c r="T416" t="s">
        <v>8650</v>
      </c>
      <c r="U416" t="s">
        <v>8651</v>
      </c>
      <c r="V416" t="s">
        <v>8652</v>
      </c>
      <c r="W416" t="s">
        <v>8653</v>
      </c>
      <c r="X416" t="s">
        <v>8654</v>
      </c>
      <c r="Y416" t="s">
        <v>8655</v>
      </c>
      <c r="Z416" t="s">
        <v>8656</v>
      </c>
      <c r="AA416" t="s">
        <v>8657</v>
      </c>
      <c r="AB416" t="s">
        <v>8658</v>
      </c>
      <c r="AC416" t="s">
        <v>8659</v>
      </c>
      <c r="AD416" t="s">
        <v>8660</v>
      </c>
      <c r="AE416" t="s">
        <v>8661</v>
      </c>
      <c r="AF416" t="s">
        <v>74</v>
      </c>
      <c r="AG416">
        <v>58</v>
      </c>
      <c r="AH416">
        <v>14</v>
      </c>
      <c r="AI416">
        <v>14</v>
      </c>
      <c r="AJ416">
        <v>1</v>
      </c>
      <c r="AK416">
        <v>10</v>
      </c>
      <c r="AL416" t="s">
        <v>3145</v>
      </c>
      <c r="AM416" t="s">
        <v>4452</v>
      </c>
      <c r="AN416" t="s">
        <v>6582</v>
      </c>
      <c r="AO416" t="s">
        <v>6583</v>
      </c>
      <c r="AP416" t="s">
        <v>6584</v>
      </c>
      <c r="AQ416" t="s">
        <v>74</v>
      </c>
      <c r="AR416" t="s">
        <v>6585</v>
      </c>
      <c r="AS416" t="s">
        <v>6586</v>
      </c>
      <c r="AT416" t="s">
        <v>6558</v>
      </c>
      <c r="AU416">
        <v>2020</v>
      </c>
      <c r="AV416">
        <v>66</v>
      </c>
      <c r="AW416">
        <v>259</v>
      </c>
      <c r="AX416" t="s">
        <v>74</v>
      </c>
      <c r="AY416" t="s">
        <v>74</v>
      </c>
      <c r="AZ416" t="s">
        <v>74</v>
      </c>
      <c r="BA416" t="s">
        <v>74</v>
      </c>
      <c r="BB416">
        <v>755</v>
      </c>
      <c r="BC416">
        <v>765</v>
      </c>
      <c r="BD416" t="s">
        <v>8662</v>
      </c>
      <c r="BE416" t="s">
        <v>8663</v>
      </c>
      <c r="BF416" t="str">
        <f>HYPERLINK("http://dx.doi.org/10.1017/jog.2020.44","http://dx.doi.org/10.1017/jog.2020.44")</f>
        <v>http://dx.doi.org/10.1017/jog.2020.44</v>
      </c>
      <c r="BG416" t="s">
        <v>74</v>
      </c>
      <c r="BH416" t="s">
        <v>74</v>
      </c>
      <c r="BI416">
        <v>11</v>
      </c>
      <c r="BJ416" t="s">
        <v>99</v>
      </c>
      <c r="BK416" t="s">
        <v>100</v>
      </c>
      <c r="BL416" t="s">
        <v>101</v>
      </c>
      <c r="BM416" t="s">
        <v>6589</v>
      </c>
      <c r="BN416" t="s">
        <v>74</v>
      </c>
      <c r="BO416" t="s">
        <v>7707</v>
      </c>
      <c r="BP416" t="s">
        <v>74</v>
      </c>
      <c r="BQ416" t="s">
        <v>74</v>
      </c>
      <c r="BR416" t="s">
        <v>104</v>
      </c>
      <c r="BS416" t="s">
        <v>8664</v>
      </c>
      <c r="BT416" t="str">
        <f>HYPERLINK("https%3A%2F%2Fwww.webofscience.com%2Fwos%2Fwoscc%2Ffull-record%2FWOS:000573265700005","View Full Record in Web of Science")</f>
        <v>View Full Record in Web of Science</v>
      </c>
    </row>
    <row r="417" spans="1:72" x14ac:dyDescent="0.15">
      <c r="A417" t="s">
        <v>72</v>
      </c>
      <c r="B417" t="s">
        <v>8665</v>
      </c>
      <c r="C417" t="s">
        <v>74</v>
      </c>
      <c r="D417" t="s">
        <v>74</v>
      </c>
      <c r="E417" t="s">
        <v>74</v>
      </c>
      <c r="F417" t="s">
        <v>8666</v>
      </c>
      <c r="G417" t="s">
        <v>74</v>
      </c>
      <c r="H417" t="s">
        <v>74</v>
      </c>
      <c r="I417" t="s">
        <v>8667</v>
      </c>
      <c r="J417" t="s">
        <v>6569</v>
      </c>
      <c r="K417" t="s">
        <v>74</v>
      </c>
      <c r="L417" t="s">
        <v>74</v>
      </c>
      <c r="M417" t="s">
        <v>78</v>
      </c>
      <c r="N417" t="s">
        <v>79</v>
      </c>
      <c r="O417" t="s">
        <v>74</v>
      </c>
      <c r="P417" t="s">
        <v>74</v>
      </c>
      <c r="Q417" t="s">
        <v>74</v>
      </c>
      <c r="R417" t="s">
        <v>74</v>
      </c>
      <c r="S417" t="s">
        <v>74</v>
      </c>
      <c r="T417" t="s">
        <v>8668</v>
      </c>
      <c r="U417" t="s">
        <v>8669</v>
      </c>
      <c r="V417" t="s">
        <v>8670</v>
      </c>
      <c r="W417" t="s">
        <v>8671</v>
      </c>
      <c r="X417" t="s">
        <v>8672</v>
      </c>
      <c r="Y417" t="s">
        <v>8673</v>
      </c>
      <c r="Z417" t="s">
        <v>8674</v>
      </c>
      <c r="AA417" t="s">
        <v>8675</v>
      </c>
      <c r="AB417" t="s">
        <v>8676</v>
      </c>
      <c r="AC417" t="s">
        <v>8677</v>
      </c>
      <c r="AD417" t="s">
        <v>8678</v>
      </c>
      <c r="AE417" t="s">
        <v>8679</v>
      </c>
      <c r="AF417" t="s">
        <v>74</v>
      </c>
      <c r="AG417">
        <v>39</v>
      </c>
      <c r="AH417">
        <v>5</v>
      </c>
      <c r="AI417">
        <v>6</v>
      </c>
      <c r="AJ417">
        <v>0</v>
      </c>
      <c r="AK417">
        <v>5</v>
      </c>
      <c r="AL417" t="s">
        <v>3145</v>
      </c>
      <c r="AM417" t="s">
        <v>4452</v>
      </c>
      <c r="AN417" t="s">
        <v>6582</v>
      </c>
      <c r="AO417" t="s">
        <v>6583</v>
      </c>
      <c r="AP417" t="s">
        <v>6584</v>
      </c>
      <c r="AQ417" t="s">
        <v>74</v>
      </c>
      <c r="AR417" t="s">
        <v>6585</v>
      </c>
      <c r="AS417" t="s">
        <v>6586</v>
      </c>
      <c r="AT417" t="s">
        <v>6558</v>
      </c>
      <c r="AU417">
        <v>2020</v>
      </c>
      <c r="AV417">
        <v>66</v>
      </c>
      <c r="AW417">
        <v>259</v>
      </c>
      <c r="AX417" t="s">
        <v>74</v>
      </c>
      <c r="AY417" t="s">
        <v>74</v>
      </c>
      <c r="AZ417" t="s">
        <v>74</v>
      </c>
      <c r="BA417" t="s">
        <v>74</v>
      </c>
      <c r="BB417">
        <v>790</v>
      </c>
      <c r="BC417">
        <v>806</v>
      </c>
      <c r="BD417" t="s">
        <v>8680</v>
      </c>
      <c r="BE417" t="s">
        <v>8681</v>
      </c>
      <c r="BF417" t="str">
        <f>HYPERLINK("http://dx.doi.org/10.1017/jog.2020.48","http://dx.doi.org/10.1017/jog.2020.48")</f>
        <v>http://dx.doi.org/10.1017/jog.2020.48</v>
      </c>
      <c r="BG417" t="s">
        <v>74</v>
      </c>
      <c r="BH417" t="s">
        <v>74</v>
      </c>
      <c r="BI417">
        <v>17</v>
      </c>
      <c r="BJ417" t="s">
        <v>99</v>
      </c>
      <c r="BK417" t="s">
        <v>100</v>
      </c>
      <c r="BL417" t="s">
        <v>101</v>
      </c>
      <c r="BM417" t="s">
        <v>6589</v>
      </c>
      <c r="BN417" t="s">
        <v>74</v>
      </c>
      <c r="BO417" t="s">
        <v>677</v>
      </c>
      <c r="BP417" t="s">
        <v>74</v>
      </c>
      <c r="BQ417" t="s">
        <v>74</v>
      </c>
      <c r="BR417" t="s">
        <v>104</v>
      </c>
      <c r="BS417" t="s">
        <v>8682</v>
      </c>
      <c r="BT417" t="str">
        <f>HYPERLINK("https%3A%2F%2Fwww.webofscience.com%2Fwos%2Fwoscc%2Ffull-record%2FWOS:000573265700008","View Full Record in Web of Science")</f>
        <v>View Full Record in Web of Science</v>
      </c>
    </row>
    <row r="418" spans="1:72" x14ac:dyDescent="0.15">
      <c r="A418" t="s">
        <v>72</v>
      </c>
      <c r="B418" t="s">
        <v>8683</v>
      </c>
      <c r="C418" t="s">
        <v>74</v>
      </c>
      <c r="D418" t="s">
        <v>74</v>
      </c>
      <c r="E418" t="s">
        <v>74</v>
      </c>
      <c r="F418" t="s">
        <v>8684</v>
      </c>
      <c r="G418" t="s">
        <v>74</v>
      </c>
      <c r="H418" t="s">
        <v>74</v>
      </c>
      <c r="I418" t="s">
        <v>8685</v>
      </c>
      <c r="J418" t="s">
        <v>6569</v>
      </c>
      <c r="K418" t="s">
        <v>74</v>
      </c>
      <c r="L418" t="s">
        <v>74</v>
      </c>
      <c r="M418" t="s">
        <v>78</v>
      </c>
      <c r="N418" t="s">
        <v>79</v>
      </c>
      <c r="O418" t="s">
        <v>74</v>
      </c>
      <c r="P418" t="s">
        <v>74</v>
      </c>
      <c r="Q418" t="s">
        <v>74</v>
      </c>
      <c r="R418" t="s">
        <v>74</v>
      </c>
      <c r="S418" t="s">
        <v>74</v>
      </c>
      <c r="T418" t="s">
        <v>8686</v>
      </c>
      <c r="U418" t="s">
        <v>8687</v>
      </c>
      <c r="V418" t="s">
        <v>8688</v>
      </c>
      <c r="W418" t="s">
        <v>8689</v>
      </c>
      <c r="X418" t="s">
        <v>8690</v>
      </c>
      <c r="Y418" t="s">
        <v>8691</v>
      </c>
      <c r="Z418" t="s">
        <v>8692</v>
      </c>
      <c r="AA418" t="s">
        <v>8693</v>
      </c>
      <c r="AB418" t="s">
        <v>74</v>
      </c>
      <c r="AC418" t="s">
        <v>8694</v>
      </c>
      <c r="AD418" t="s">
        <v>8695</v>
      </c>
      <c r="AE418" t="s">
        <v>8696</v>
      </c>
      <c r="AF418" t="s">
        <v>74</v>
      </c>
      <c r="AG418">
        <v>32</v>
      </c>
      <c r="AH418">
        <v>10</v>
      </c>
      <c r="AI418">
        <v>12</v>
      </c>
      <c r="AJ418">
        <v>7</v>
      </c>
      <c r="AK418">
        <v>25</v>
      </c>
      <c r="AL418" t="s">
        <v>3145</v>
      </c>
      <c r="AM418" t="s">
        <v>4452</v>
      </c>
      <c r="AN418" t="s">
        <v>6582</v>
      </c>
      <c r="AO418" t="s">
        <v>6583</v>
      </c>
      <c r="AP418" t="s">
        <v>6584</v>
      </c>
      <c r="AQ418" t="s">
        <v>74</v>
      </c>
      <c r="AR418" t="s">
        <v>6585</v>
      </c>
      <c r="AS418" t="s">
        <v>6586</v>
      </c>
      <c r="AT418" t="s">
        <v>6558</v>
      </c>
      <c r="AU418">
        <v>2020</v>
      </c>
      <c r="AV418">
        <v>66</v>
      </c>
      <c r="AW418">
        <v>259</v>
      </c>
      <c r="AX418" t="s">
        <v>74</v>
      </c>
      <c r="AY418" t="s">
        <v>74</v>
      </c>
      <c r="AZ418" t="s">
        <v>74</v>
      </c>
      <c r="BA418" t="s">
        <v>74</v>
      </c>
      <c r="BB418">
        <v>807</v>
      </c>
      <c r="BC418">
        <v>821</v>
      </c>
      <c r="BD418" t="s">
        <v>8697</v>
      </c>
      <c r="BE418" t="s">
        <v>8698</v>
      </c>
      <c r="BF418" t="str">
        <f>HYPERLINK("http://dx.doi.org/10.1017/jog.2020.49","http://dx.doi.org/10.1017/jog.2020.49")</f>
        <v>http://dx.doi.org/10.1017/jog.2020.49</v>
      </c>
      <c r="BG418" t="s">
        <v>74</v>
      </c>
      <c r="BH418" t="s">
        <v>74</v>
      </c>
      <c r="BI418">
        <v>15</v>
      </c>
      <c r="BJ418" t="s">
        <v>99</v>
      </c>
      <c r="BK418" t="s">
        <v>100</v>
      </c>
      <c r="BL418" t="s">
        <v>101</v>
      </c>
      <c r="BM418" t="s">
        <v>6589</v>
      </c>
      <c r="BN418" t="s">
        <v>74</v>
      </c>
      <c r="BO418" t="s">
        <v>202</v>
      </c>
      <c r="BP418" t="s">
        <v>74</v>
      </c>
      <c r="BQ418" t="s">
        <v>74</v>
      </c>
      <c r="BR418" t="s">
        <v>104</v>
      </c>
      <c r="BS418" t="s">
        <v>8699</v>
      </c>
      <c r="BT418" t="str">
        <f>HYPERLINK("https%3A%2F%2Fwww.webofscience.com%2Fwos%2Fwoscc%2Ffull-record%2FWOS:000573265700009","View Full Record in Web of Science")</f>
        <v>View Full Record in Web of Science</v>
      </c>
    </row>
    <row r="419" spans="1:72" x14ac:dyDescent="0.15">
      <c r="A419" t="s">
        <v>72</v>
      </c>
      <c r="B419" t="s">
        <v>8700</v>
      </c>
      <c r="C419" t="s">
        <v>74</v>
      </c>
      <c r="D419" t="s">
        <v>74</v>
      </c>
      <c r="E419" t="s">
        <v>74</v>
      </c>
      <c r="F419" t="s">
        <v>8701</v>
      </c>
      <c r="G419" t="s">
        <v>74</v>
      </c>
      <c r="H419" t="s">
        <v>74</v>
      </c>
      <c r="I419" t="s">
        <v>8702</v>
      </c>
      <c r="J419" t="s">
        <v>4803</v>
      </c>
      <c r="K419" t="s">
        <v>74</v>
      </c>
      <c r="L419" t="s">
        <v>74</v>
      </c>
      <c r="M419" t="s">
        <v>78</v>
      </c>
      <c r="N419" t="s">
        <v>79</v>
      </c>
      <c r="O419" t="s">
        <v>74</v>
      </c>
      <c r="P419" t="s">
        <v>74</v>
      </c>
      <c r="Q419" t="s">
        <v>74</v>
      </c>
      <c r="R419" t="s">
        <v>74</v>
      </c>
      <c r="S419" t="s">
        <v>74</v>
      </c>
      <c r="T419" t="s">
        <v>8703</v>
      </c>
      <c r="U419" t="s">
        <v>8704</v>
      </c>
      <c r="V419" t="s">
        <v>8705</v>
      </c>
      <c r="W419" t="s">
        <v>8706</v>
      </c>
      <c r="X419" t="s">
        <v>8707</v>
      </c>
      <c r="Y419" t="s">
        <v>8708</v>
      </c>
      <c r="Z419" t="s">
        <v>8709</v>
      </c>
      <c r="AA419" t="s">
        <v>74</v>
      </c>
      <c r="AB419" t="s">
        <v>74</v>
      </c>
      <c r="AC419" t="s">
        <v>74</v>
      </c>
      <c r="AD419" t="s">
        <v>74</v>
      </c>
      <c r="AE419" t="s">
        <v>74</v>
      </c>
      <c r="AF419" t="s">
        <v>74</v>
      </c>
      <c r="AG419">
        <v>74</v>
      </c>
      <c r="AH419">
        <v>21</v>
      </c>
      <c r="AI419">
        <v>21</v>
      </c>
      <c r="AJ419">
        <v>8</v>
      </c>
      <c r="AK419">
        <v>90</v>
      </c>
      <c r="AL419" t="s">
        <v>219</v>
      </c>
      <c r="AM419" t="s">
        <v>220</v>
      </c>
      <c r="AN419" t="s">
        <v>221</v>
      </c>
      <c r="AO419" t="s">
        <v>4816</v>
      </c>
      <c r="AP419" t="s">
        <v>4817</v>
      </c>
      <c r="AQ419" t="s">
        <v>74</v>
      </c>
      <c r="AR419" t="s">
        <v>4818</v>
      </c>
      <c r="AS419" t="s">
        <v>4819</v>
      </c>
      <c r="AT419" t="s">
        <v>6558</v>
      </c>
      <c r="AU419">
        <v>2020</v>
      </c>
      <c r="AV419">
        <v>29</v>
      </c>
      <c r="AW419">
        <v>10</v>
      </c>
      <c r="AX419" t="s">
        <v>74</v>
      </c>
      <c r="AY419" t="s">
        <v>74</v>
      </c>
      <c r="AZ419" t="s">
        <v>74</v>
      </c>
      <c r="BA419" t="s">
        <v>74</v>
      </c>
      <c r="BB419">
        <v>1716</v>
      </c>
      <c r="BC419">
        <v>1728</v>
      </c>
      <c r="BD419" t="s">
        <v>74</v>
      </c>
      <c r="BE419" t="s">
        <v>8710</v>
      </c>
      <c r="BF419" t="str">
        <f>HYPERLINK("http://dx.doi.org/10.1111/geb.13144","http://dx.doi.org/10.1111/geb.13144")</f>
        <v>http://dx.doi.org/10.1111/geb.13144</v>
      </c>
      <c r="BG419" t="s">
        <v>74</v>
      </c>
      <c r="BH419" t="s">
        <v>74</v>
      </c>
      <c r="BI419">
        <v>13</v>
      </c>
      <c r="BJ419" t="s">
        <v>4821</v>
      </c>
      <c r="BK419" t="s">
        <v>100</v>
      </c>
      <c r="BL419" t="s">
        <v>4822</v>
      </c>
      <c r="BM419" t="s">
        <v>8711</v>
      </c>
      <c r="BN419" t="s">
        <v>74</v>
      </c>
      <c r="BO419" t="s">
        <v>1259</v>
      </c>
      <c r="BP419" t="s">
        <v>74</v>
      </c>
      <c r="BQ419" t="s">
        <v>74</v>
      </c>
      <c r="BR419" t="s">
        <v>104</v>
      </c>
      <c r="BS419" t="s">
        <v>8712</v>
      </c>
      <c r="BT419" t="str">
        <f>HYPERLINK("https%3A%2F%2Fwww.webofscience.com%2Fwos%2Fwoscc%2Ffull-record%2FWOS:000573170400008","View Full Record in Web of Science")</f>
        <v>View Full Record in Web of Science</v>
      </c>
    </row>
    <row r="420" spans="1:72" x14ac:dyDescent="0.15">
      <c r="A420" t="s">
        <v>72</v>
      </c>
      <c r="B420" t="s">
        <v>8713</v>
      </c>
      <c r="C420" t="s">
        <v>74</v>
      </c>
      <c r="D420" t="s">
        <v>74</v>
      </c>
      <c r="E420" t="s">
        <v>74</v>
      </c>
      <c r="F420" t="s">
        <v>8714</v>
      </c>
      <c r="G420" t="s">
        <v>74</v>
      </c>
      <c r="H420" t="s">
        <v>74</v>
      </c>
      <c r="I420" t="s">
        <v>8715</v>
      </c>
      <c r="J420" t="s">
        <v>8716</v>
      </c>
      <c r="K420" t="s">
        <v>74</v>
      </c>
      <c r="L420" t="s">
        <v>74</v>
      </c>
      <c r="M420" t="s">
        <v>78</v>
      </c>
      <c r="N420" t="s">
        <v>79</v>
      </c>
      <c r="O420" t="s">
        <v>74</v>
      </c>
      <c r="P420" t="s">
        <v>74</v>
      </c>
      <c r="Q420" t="s">
        <v>74</v>
      </c>
      <c r="R420" t="s">
        <v>74</v>
      </c>
      <c r="S420" t="s">
        <v>74</v>
      </c>
      <c r="T420" t="s">
        <v>8717</v>
      </c>
      <c r="U420" t="s">
        <v>8718</v>
      </c>
      <c r="V420" t="s">
        <v>8719</v>
      </c>
      <c r="W420" t="s">
        <v>8720</v>
      </c>
      <c r="X420" t="s">
        <v>8721</v>
      </c>
      <c r="Y420" t="s">
        <v>8722</v>
      </c>
      <c r="Z420" t="s">
        <v>8723</v>
      </c>
      <c r="AA420" t="s">
        <v>8724</v>
      </c>
      <c r="AB420" t="s">
        <v>8725</v>
      </c>
      <c r="AC420" t="s">
        <v>8726</v>
      </c>
      <c r="AD420" t="s">
        <v>8727</v>
      </c>
      <c r="AE420" t="s">
        <v>8728</v>
      </c>
      <c r="AF420" t="s">
        <v>74</v>
      </c>
      <c r="AG420">
        <v>102</v>
      </c>
      <c r="AH420">
        <v>16</v>
      </c>
      <c r="AI420">
        <v>17</v>
      </c>
      <c r="AJ420">
        <v>0</v>
      </c>
      <c r="AK420">
        <v>6</v>
      </c>
      <c r="AL420" t="s">
        <v>275</v>
      </c>
      <c r="AM420" t="s">
        <v>276</v>
      </c>
      <c r="AN420" t="s">
        <v>277</v>
      </c>
      <c r="AO420" t="s">
        <v>8729</v>
      </c>
      <c r="AP420" t="s">
        <v>8730</v>
      </c>
      <c r="AQ420" t="s">
        <v>74</v>
      </c>
      <c r="AR420" t="s">
        <v>8731</v>
      </c>
      <c r="AS420" t="s">
        <v>8732</v>
      </c>
      <c r="AT420" t="s">
        <v>1163</v>
      </c>
      <c r="AU420">
        <v>2020</v>
      </c>
      <c r="AV420">
        <v>403</v>
      </c>
      <c r="AW420" t="s">
        <v>74</v>
      </c>
      <c r="AX420" t="s">
        <v>74</v>
      </c>
      <c r="AY420" t="s">
        <v>74</v>
      </c>
      <c r="AZ420" t="s">
        <v>74</v>
      </c>
      <c r="BA420" t="s">
        <v>74</v>
      </c>
      <c r="BB420" t="s">
        <v>74</v>
      </c>
      <c r="BC420" t="s">
        <v>74</v>
      </c>
      <c r="BD420">
        <v>106993</v>
      </c>
      <c r="BE420" t="s">
        <v>8733</v>
      </c>
      <c r="BF420" t="str">
        <f>HYPERLINK("http://dx.doi.org/10.1016/j.jvolgeores.2020.106993","http://dx.doi.org/10.1016/j.jvolgeores.2020.106993")</f>
        <v>http://dx.doi.org/10.1016/j.jvolgeores.2020.106993</v>
      </c>
      <c r="BG420" t="s">
        <v>74</v>
      </c>
      <c r="BH420" t="s">
        <v>74</v>
      </c>
      <c r="BI420">
        <v>29</v>
      </c>
      <c r="BJ420" t="s">
        <v>534</v>
      </c>
      <c r="BK420" t="s">
        <v>100</v>
      </c>
      <c r="BL420" t="s">
        <v>535</v>
      </c>
      <c r="BM420" t="s">
        <v>8734</v>
      </c>
      <c r="BN420" t="s">
        <v>74</v>
      </c>
      <c r="BO420" t="s">
        <v>1259</v>
      </c>
      <c r="BP420" t="s">
        <v>74</v>
      </c>
      <c r="BQ420" t="s">
        <v>74</v>
      </c>
      <c r="BR420" t="s">
        <v>104</v>
      </c>
      <c r="BS420" t="s">
        <v>8735</v>
      </c>
      <c r="BT420" t="str">
        <f>HYPERLINK("https%3A%2F%2Fwww.webofscience.com%2Fwos%2Fwoscc%2Ffull-record%2FWOS:000572983100006","View Full Record in Web of Science")</f>
        <v>View Full Record in Web of Science</v>
      </c>
    </row>
    <row r="421" spans="1:72" x14ac:dyDescent="0.15">
      <c r="A421" t="s">
        <v>72</v>
      </c>
      <c r="B421" t="s">
        <v>8736</v>
      </c>
      <c r="C421" t="s">
        <v>74</v>
      </c>
      <c r="D421" t="s">
        <v>74</v>
      </c>
      <c r="E421" t="s">
        <v>74</v>
      </c>
      <c r="F421" t="s">
        <v>8737</v>
      </c>
      <c r="G421" t="s">
        <v>74</v>
      </c>
      <c r="H421" t="s">
        <v>74</v>
      </c>
      <c r="I421" t="s">
        <v>8738</v>
      </c>
      <c r="J421" t="s">
        <v>8739</v>
      </c>
      <c r="K421" t="s">
        <v>74</v>
      </c>
      <c r="L421" t="s">
        <v>74</v>
      </c>
      <c r="M421" t="s">
        <v>78</v>
      </c>
      <c r="N421" t="s">
        <v>79</v>
      </c>
      <c r="O421" t="s">
        <v>74</v>
      </c>
      <c r="P421" t="s">
        <v>74</v>
      </c>
      <c r="Q421" t="s">
        <v>74</v>
      </c>
      <c r="R421" t="s">
        <v>74</v>
      </c>
      <c r="S421" t="s">
        <v>74</v>
      </c>
      <c r="T421" t="s">
        <v>8740</v>
      </c>
      <c r="U421" t="s">
        <v>8741</v>
      </c>
      <c r="V421" t="s">
        <v>8742</v>
      </c>
      <c r="W421" t="s">
        <v>8743</v>
      </c>
      <c r="X421" t="s">
        <v>8744</v>
      </c>
      <c r="Y421" t="s">
        <v>8745</v>
      </c>
      <c r="Z421" t="s">
        <v>8746</v>
      </c>
      <c r="AA421" t="s">
        <v>74</v>
      </c>
      <c r="AB421" t="s">
        <v>74</v>
      </c>
      <c r="AC421" t="s">
        <v>8747</v>
      </c>
      <c r="AD421" t="s">
        <v>8748</v>
      </c>
      <c r="AE421" t="s">
        <v>8749</v>
      </c>
      <c r="AF421" t="s">
        <v>74</v>
      </c>
      <c r="AG421">
        <v>33</v>
      </c>
      <c r="AH421">
        <v>0</v>
      </c>
      <c r="AI421">
        <v>0</v>
      </c>
      <c r="AJ421">
        <v>0</v>
      </c>
      <c r="AK421">
        <v>1</v>
      </c>
      <c r="AL421" t="s">
        <v>219</v>
      </c>
      <c r="AM421" t="s">
        <v>220</v>
      </c>
      <c r="AN421" t="s">
        <v>221</v>
      </c>
      <c r="AO421" t="s">
        <v>8750</v>
      </c>
      <c r="AP421" t="s">
        <v>8751</v>
      </c>
      <c r="AQ421" t="s">
        <v>74</v>
      </c>
      <c r="AR421" t="s">
        <v>8752</v>
      </c>
      <c r="AS421" t="s">
        <v>8753</v>
      </c>
      <c r="AT421" t="s">
        <v>6558</v>
      </c>
      <c r="AU421">
        <v>2020</v>
      </c>
      <c r="AV421">
        <v>43</v>
      </c>
      <c r="AW421">
        <v>4</v>
      </c>
      <c r="AX421" t="s">
        <v>74</v>
      </c>
      <c r="AY421" t="s">
        <v>74</v>
      </c>
      <c r="AZ421" t="s">
        <v>74</v>
      </c>
      <c r="BA421" t="s">
        <v>74</v>
      </c>
      <c r="BB421">
        <v>419</v>
      </c>
      <c r="BC421">
        <v>436</v>
      </c>
      <c r="BD421" t="s">
        <v>74</v>
      </c>
      <c r="BE421" t="s">
        <v>8754</v>
      </c>
      <c r="BF421" t="str">
        <f>HYPERLINK("http://dx.doi.org/10.1111/jpg.12773","http://dx.doi.org/10.1111/jpg.12773")</f>
        <v>http://dx.doi.org/10.1111/jpg.12773</v>
      </c>
      <c r="BG421" t="s">
        <v>74</v>
      </c>
      <c r="BH421" t="s">
        <v>74</v>
      </c>
      <c r="BI421">
        <v>18</v>
      </c>
      <c r="BJ421" t="s">
        <v>534</v>
      </c>
      <c r="BK421" t="s">
        <v>100</v>
      </c>
      <c r="BL421" t="s">
        <v>535</v>
      </c>
      <c r="BM421" t="s">
        <v>8755</v>
      </c>
      <c r="BN421" t="s">
        <v>74</v>
      </c>
      <c r="BO421" t="s">
        <v>74</v>
      </c>
      <c r="BP421" t="s">
        <v>74</v>
      </c>
      <c r="BQ421" t="s">
        <v>74</v>
      </c>
      <c r="BR421" t="s">
        <v>104</v>
      </c>
      <c r="BS421" t="s">
        <v>8756</v>
      </c>
      <c r="BT421" t="str">
        <f>HYPERLINK("https%3A%2F%2Fwww.webofscience.com%2Fwos%2Fwoscc%2Ffull-record%2FWOS:000571954200004","View Full Record in Web of Science")</f>
        <v>View Full Record in Web of Science</v>
      </c>
    </row>
    <row r="422" spans="1:72" x14ac:dyDescent="0.15">
      <c r="A422" t="s">
        <v>72</v>
      </c>
      <c r="B422" t="s">
        <v>8757</v>
      </c>
      <c r="C422" t="s">
        <v>74</v>
      </c>
      <c r="D422" t="s">
        <v>74</v>
      </c>
      <c r="E422" t="s">
        <v>74</v>
      </c>
      <c r="F422" t="s">
        <v>8758</v>
      </c>
      <c r="G422" t="s">
        <v>74</v>
      </c>
      <c r="H422" t="s">
        <v>74</v>
      </c>
      <c r="I422" t="s">
        <v>8759</v>
      </c>
      <c r="J422" t="s">
        <v>8760</v>
      </c>
      <c r="K422" t="s">
        <v>74</v>
      </c>
      <c r="L422" t="s">
        <v>74</v>
      </c>
      <c r="M422" t="s">
        <v>78</v>
      </c>
      <c r="N422" t="s">
        <v>79</v>
      </c>
      <c r="O422" t="s">
        <v>74</v>
      </c>
      <c r="P422" t="s">
        <v>74</v>
      </c>
      <c r="Q422" t="s">
        <v>74</v>
      </c>
      <c r="R422" t="s">
        <v>74</v>
      </c>
      <c r="S422" t="s">
        <v>74</v>
      </c>
      <c r="T422" t="s">
        <v>8761</v>
      </c>
      <c r="U422" t="s">
        <v>8762</v>
      </c>
      <c r="V422" t="s">
        <v>8763</v>
      </c>
      <c r="W422" t="s">
        <v>8764</v>
      </c>
      <c r="X422" t="s">
        <v>8765</v>
      </c>
      <c r="Y422" t="s">
        <v>8766</v>
      </c>
      <c r="Z422" t="s">
        <v>1566</v>
      </c>
      <c r="AA422" t="s">
        <v>8767</v>
      </c>
      <c r="AB422" t="s">
        <v>8768</v>
      </c>
      <c r="AC422" t="s">
        <v>8769</v>
      </c>
      <c r="AD422" t="s">
        <v>7221</v>
      </c>
      <c r="AE422" t="s">
        <v>8770</v>
      </c>
      <c r="AF422" t="s">
        <v>74</v>
      </c>
      <c r="AG422">
        <v>84</v>
      </c>
      <c r="AH422">
        <v>15</v>
      </c>
      <c r="AI422">
        <v>17</v>
      </c>
      <c r="AJ422">
        <v>1</v>
      </c>
      <c r="AK422">
        <v>11</v>
      </c>
      <c r="AL422" t="s">
        <v>1572</v>
      </c>
      <c r="AM422" t="s">
        <v>1407</v>
      </c>
      <c r="AN422" t="s">
        <v>1573</v>
      </c>
      <c r="AO422" t="s">
        <v>8771</v>
      </c>
      <c r="AP422" t="s">
        <v>8772</v>
      </c>
      <c r="AQ422" t="s">
        <v>74</v>
      </c>
      <c r="AR422" t="s">
        <v>8773</v>
      </c>
      <c r="AS422" t="s">
        <v>8774</v>
      </c>
      <c r="AT422" t="s">
        <v>6558</v>
      </c>
      <c r="AU422">
        <v>2020</v>
      </c>
      <c r="AV422">
        <v>112</v>
      </c>
      <c r="AW422" t="s">
        <v>74</v>
      </c>
      <c r="AX422" t="s">
        <v>74</v>
      </c>
      <c r="AY422" t="s">
        <v>74</v>
      </c>
      <c r="AZ422" t="s">
        <v>74</v>
      </c>
      <c r="BA422" t="s">
        <v>74</v>
      </c>
      <c r="BB422">
        <v>61</v>
      </c>
      <c r="BC422">
        <v>68</v>
      </c>
      <c r="BD422" t="s">
        <v>74</v>
      </c>
      <c r="BE422" t="s">
        <v>8775</v>
      </c>
      <c r="BF422" t="str">
        <f>HYPERLINK("http://dx.doi.org/10.1016/j.envsci.2020.06.003","http://dx.doi.org/10.1016/j.envsci.2020.06.003")</f>
        <v>http://dx.doi.org/10.1016/j.envsci.2020.06.003</v>
      </c>
      <c r="BG422" t="s">
        <v>74</v>
      </c>
      <c r="BH422" t="s">
        <v>74</v>
      </c>
      <c r="BI422">
        <v>8</v>
      </c>
      <c r="BJ422" t="s">
        <v>283</v>
      </c>
      <c r="BK422" t="s">
        <v>255</v>
      </c>
      <c r="BL422" t="s">
        <v>284</v>
      </c>
      <c r="BM422" t="s">
        <v>8776</v>
      </c>
      <c r="BN422" t="s">
        <v>74</v>
      </c>
      <c r="BO422" t="s">
        <v>701</v>
      </c>
      <c r="BP422" t="s">
        <v>74</v>
      </c>
      <c r="BQ422" t="s">
        <v>74</v>
      </c>
      <c r="BR422" t="s">
        <v>104</v>
      </c>
      <c r="BS422" t="s">
        <v>8777</v>
      </c>
      <c r="BT422" t="str">
        <f>HYPERLINK("https%3A%2F%2Fwww.webofscience.com%2Fwos%2Fwoscc%2Ffull-record%2FWOS:000571444200007","View Full Record in Web of Science")</f>
        <v>View Full Record in Web of Science</v>
      </c>
    </row>
    <row r="423" spans="1:72" x14ac:dyDescent="0.15">
      <c r="A423" t="s">
        <v>72</v>
      </c>
      <c r="B423" t="s">
        <v>8778</v>
      </c>
      <c r="C423" t="s">
        <v>74</v>
      </c>
      <c r="D423" t="s">
        <v>74</v>
      </c>
      <c r="E423" t="s">
        <v>74</v>
      </c>
      <c r="F423" t="s">
        <v>8779</v>
      </c>
      <c r="G423" t="s">
        <v>74</v>
      </c>
      <c r="H423" t="s">
        <v>74</v>
      </c>
      <c r="I423" t="s">
        <v>8780</v>
      </c>
      <c r="J423" t="s">
        <v>8781</v>
      </c>
      <c r="K423" t="s">
        <v>74</v>
      </c>
      <c r="L423" t="s">
        <v>74</v>
      </c>
      <c r="M423" t="s">
        <v>78</v>
      </c>
      <c r="N423" t="s">
        <v>79</v>
      </c>
      <c r="O423" t="s">
        <v>74</v>
      </c>
      <c r="P423" t="s">
        <v>74</v>
      </c>
      <c r="Q423" t="s">
        <v>74</v>
      </c>
      <c r="R423" t="s">
        <v>74</v>
      </c>
      <c r="S423" t="s">
        <v>74</v>
      </c>
      <c r="T423" t="s">
        <v>8782</v>
      </c>
      <c r="U423" t="s">
        <v>8783</v>
      </c>
      <c r="V423" t="s">
        <v>8784</v>
      </c>
      <c r="W423" t="s">
        <v>8785</v>
      </c>
      <c r="X423" t="s">
        <v>8786</v>
      </c>
      <c r="Y423" t="s">
        <v>8787</v>
      </c>
      <c r="Z423" t="s">
        <v>8788</v>
      </c>
      <c r="AA423" t="s">
        <v>8789</v>
      </c>
      <c r="AB423" t="s">
        <v>8790</v>
      </c>
      <c r="AC423" t="s">
        <v>8791</v>
      </c>
      <c r="AD423" t="s">
        <v>8791</v>
      </c>
      <c r="AE423" t="s">
        <v>8792</v>
      </c>
      <c r="AF423" t="s">
        <v>74</v>
      </c>
      <c r="AG423">
        <v>128</v>
      </c>
      <c r="AH423">
        <v>13</v>
      </c>
      <c r="AI423">
        <v>13</v>
      </c>
      <c r="AJ423">
        <v>1</v>
      </c>
      <c r="AK423">
        <v>17</v>
      </c>
      <c r="AL423" t="s">
        <v>275</v>
      </c>
      <c r="AM423" t="s">
        <v>276</v>
      </c>
      <c r="AN423" t="s">
        <v>8045</v>
      </c>
      <c r="AO423" t="s">
        <v>8793</v>
      </c>
      <c r="AP423" t="s">
        <v>8794</v>
      </c>
      <c r="AQ423" t="s">
        <v>74</v>
      </c>
      <c r="AR423" t="s">
        <v>8795</v>
      </c>
      <c r="AS423" t="s">
        <v>8796</v>
      </c>
      <c r="AT423" t="s">
        <v>6558</v>
      </c>
      <c r="AU423">
        <v>2020</v>
      </c>
      <c r="AV423">
        <v>230</v>
      </c>
      <c r="AW423" t="s">
        <v>74</v>
      </c>
      <c r="AX423" t="s">
        <v>74</v>
      </c>
      <c r="AY423" t="s">
        <v>74</v>
      </c>
      <c r="AZ423" t="s">
        <v>74</v>
      </c>
      <c r="BA423" t="s">
        <v>74</v>
      </c>
      <c r="BB423" t="s">
        <v>74</v>
      </c>
      <c r="BC423" t="s">
        <v>74</v>
      </c>
      <c r="BD423">
        <v>105524</v>
      </c>
      <c r="BE423" t="s">
        <v>8797</v>
      </c>
      <c r="BF423" t="str">
        <f>HYPERLINK("http://dx.doi.org/10.1016/j.fishres.2020.105524","http://dx.doi.org/10.1016/j.fishres.2020.105524")</f>
        <v>http://dx.doi.org/10.1016/j.fishres.2020.105524</v>
      </c>
      <c r="BG423" t="s">
        <v>74</v>
      </c>
      <c r="BH423" t="s">
        <v>74</v>
      </c>
      <c r="BI423">
        <v>17</v>
      </c>
      <c r="BJ423" t="s">
        <v>439</v>
      </c>
      <c r="BK423" t="s">
        <v>100</v>
      </c>
      <c r="BL423" t="s">
        <v>439</v>
      </c>
      <c r="BM423" t="s">
        <v>8798</v>
      </c>
      <c r="BN423" t="s">
        <v>74</v>
      </c>
      <c r="BO423" t="s">
        <v>2628</v>
      </c>
      <c r="BP423" t="s">
        <v>74</v>
      </c>
      <c r="BQ423" t="s">
        <v>74</v>
      </c>
      <c r="BR423" t="s">
        <v>104</v>
      </c>
      <c r="BS423" t="s">
        <v>8799</v>
      </c>
      <c r="BT423" t="str">
        <f>HYPERLINK("https%3A%2F%2Fwww.webofscience.com%2Fwos%2Fwoscc%2Ffull-record%2FWOS:000553385900001","View Full Record in Web of Science")</f>
        <v>View Full Record in Web of Science</v>
      </c>
    </row>
    <row r="424" spans="1:72" x14ac:dyDescent="0.15">
      <c r="A424" t="s">
        <v>72</v>
      </c>
      <c r="B424" t="s">
        <v>8800</v>
      </c>
      <c r="C424" t="s">
        <v>74</v>
      </c>
      <c r="D424" t="s">
        <v>74</v>
      </c>
      <c r="E424" t="s">
        <v>74</v>
      </c>
      <c r="F424" t="s">
        <v>8801</v>
      </c>
      <c r="G424" t="s">
        <v>74</v>
      </c>
      <c r="H424" t="s">
        <v>74</v>
      </c>
      <c r="I424" t="s">
        <v>8802</v>
      </c>
      <c r="J424" t="s">
        <v>8781</v>
      </c>
      <c r="K424" t="s">
        <v>74</v>
      </c>
      <c r="L424" t="s">
        <v>74</v>
      </c>
      <c r="M424" t="s">
        <v>78</v>
      </c>
      <c r="N424" t="s">
        <v>79</v>
      </c>
      <c r="O424" t="s">
        <v>74</v>
      </c>
      <c r="P424" t="s">
        <v>74</v>
      </c>
      <c r="Q424" t="s">
        <v>74</v>
      </c>
      <c r="R424" t="s">
        <v>74</v>
      </c>
      <c r="S424" t="s">
        <v>74</v>
      </c>
      <c r="T424" t="s">
        <v>8782</v>
      </c>
      <c r="U424" t="s">
        <v>8803</v>
      </c>
      <c r="V424" t="s">
        <v>8804</v>
      </c>
      <c r="W424" t="s">
        <v>8805</v>
      </c>
      <c r="X424" t="s">
        <v>8806</v>
      </c>
      <c r="Y424" t="s">
        <v>8787</v>
      </c>
      <c r="Z424" t="s">
        <v>8788</v>
      </c>
      <c r="AA424" t="s">
        <v>8807</v>
      </c>
      <c r="AB424" t="s">
        <v>8808</v>
      </c>
      <c r="AC424" t="s">
        <v>8791</v>
      </c>
      <c r="AD424" t="s">
        <v>8791</v>
      </c>
      <c r="AE424" t="s">
        <v>8809</v>
      </c>
      <c r="AF424" t="s">
        <v>74</v>
      </c>
      <c r="AG424">
        <v>191</v>
      </c>
      <c r="AH424">
        <v>34</v>
      </c>
      <c r="AI424">
        <v>37</v>
      </c>
      <c r="AJ424">
        <v>7</v>
      </c>
      <c r="AK424">
        <v>41</v>
      </c>
      <c r="AL424" t="s">
        <v>275</v>
      </c>
      <c r="AM424" t="s">
        <v>276</v>
      </c>
      <c r="AN424" t="s">
        <v>277</v>
      </c>
      <c r="AO424" t="s">
        <v>8793</v>
      </c>
      <c r="AP424" t="s">
        <v>8794</v>
      </c>
      <c r="AQ424" t="s">
        <v>74</v>
      </c>
      <c r="AR424" t="s">
        <v>8795</v>
      </c>
      <c r="AS424" t="s">
        <v>8796</v>
      </c>
      <c r="AT424" t="s">
        <v>6558</v>
      </c>
      <c r="AU424">
        <v>2020</v>
      </c>
      <c r="AV424">
        <v>230</v>
      </c>
      <c r="AW424" t="s">
        <v>74</v>
      </c>
      <c r="AX424" t="s">
        <v>74</v>
      </c>
      <c r="AY424" t="s">
        <v>74</v>
      </c>
      <c r="AZ424" t="s">
        <v>74</v>
      </c>
      <c r="BA424" t="s">
        <v>74</v>
      </c>
      <c r="BB424" t="s">
        <v>74</v>
      </c>
      <c r="BC424" t="s">
        <v>74</v>
      </c>
      <c r="BD424">
        <v>105525</v>
      </c>
      <c r="BE424" t="s">
        <v>8810</v>
      </c>
      <c r="BF424" t="str">
        <f>HYPERLINK("http://dx.doi.org/10.1016/j.fishres.2020.105525","http://dx.doi.org/10.1016/j.fishres.2020.105525")</f>
        <v>http://dx.doi.org/10.1016/j.fishres.2020.105525</v>
      </c>
      <c r="BG424" t="s">
        <v>74</v>
      </c>
      <c r="BH424" t="s">
        <v>74</v>
      </c>
      <c r="BI424">
        <v>21</v>
      </c>
      <c r="BJ424" t="s">
        <v>439</v>
      </c>
      <c r="BK424" t="s">
        <v>100</v>
      </c>
      <c r="BL424" t="s">
        <v>439</v>
      </c>
      <c r="BM424" t="s">
        <v>8798</v>
      </c>
      <c r="BN424" t="s">
        <v>74</v>
      </c>
      <c r="BO424" t="s">
        <v>8811</v>
      </c>
      <c r="BP424" t="s">
        <v>74</v>
      </c>
      <c r="BQ424" t="s">
        <v>74</v>
      </c>
      <c r="BR424" t="s">
        <v>104</v>
      </c>
      <c r="BS424" t="s">
        <v>8812</v>
      </c>
      <c r="BT424" t="str">
        <f>HYPERLINK("https%3A%2F%2Fwww.webofscience.com%2Fwos%2Fwoscc%2Ffull-record%2FWOS:000553385900002","View Full Record in Web of Science")</f>
        <v>View Full Record in Web of Science</v>
      </c>
    </row>
    <row r="425" spans="1:72" x14ac:dyDescent="0.15">
      <c r="A425" t="s">
        <v>72</v>
      </c>
      <c r="B425" t="s">
        <v>8813</v>
      </c>
      <c r="C425" t="s">
        <v>74</v>
      </c>
      <c r="D425" t="s">
        <v>74</v>
      </c>
      <c r="E425" t="s">
        <v>74</v>
      </c>
      <c r="F425" t="s">
        <v>8814</v>
      </c>
      <c r="G425" t="s">
        <v>74</v>
      </c>
      <c r="H425" t="s">
        <v>74</v>
      </c>
      <c r="I425" t="s">
        <v>8815</v>
      </c>
      <c r="J425" t="s">
        <v>8816</v>
      </c>
      <c r="K425" t="s">
        <v>74</v>
      </c>
      <c r="L425" t="s">
        <v>74</v>
      </c>
      <c r="M425" t="s">
        <v>78</v>
      </c>
      <c r="N425" t="s">
        <v>79</v>
      </c>
      <c r="O425" t="s">
        <v>74</v>
      </c>
      <c r="P425" t="s">
        <v>74</v>
      </c>
      <c r="Q425" t="s">
        <v>74</v>
      </c>
      <c r="R425" t="s">
        <v>74</v>
      </c>
      <c r="S425" t="s">
        <v>74</v>
      </c>
      <c r="T425" t="s">
        <v>74</v>
      </c>
      <c r="U425" t="s">
        <v>8817</v>
      </c>
      <c r="V425" t="s">
        <v>8818</v>
      </c>
      <c r="W425" t="s">
        <v>8819</v>
      </c>
      <c r="X425" t="s">
        <v>8820</v>
      </c>
      <c r="Y425" t="s">
        <v>8821</v>
      </c>
      <c r="Z425" t="s">
        <v>8822</v>
      </c>
      <c r="AA425" t="s">
        <v>8823</v>
      </c>
      <c r="AB425" t="s">
        <v>8824</v>
      </c>
      <c r="AC425" t="s">
        <v>8825</v>
      </c>
      <c r="AD425" t="s">
        <v>8826</v>
      </c>
      <c r="AE425" t="s">
        <v>8827</v>
      </c>
      <c r="AF425" t="s">
        <v>74</v>
      </c>
      <c r="AG425">
        <v>46</v>
      </c>
      <c r="AH425">
        <v>31</v>
      </c>
      <c r="AI425">
        <v>35</v>
      </c>
      <c r="AJ425">
        <v>4</v>
      </c>
      <c r="AK425">
        <v>40</v>
      </c>
      <c r="AL425" t="s">
        <v>219</v>
      </c>
      <c r="AM425" t="s">
        <v>220</v>
      </c>
      <c r="AN425" t="s">
        <v>221</v>
      </c>
      <c r="AO425" t="s">
        <v>8828</v>
      </c>
      <c r="AP425" t="s">
        <v>8829</v>
      </c>
      <c r="AQ425" t="s">
        <v>74</v>
      </c>
      <c r="AR425" t="s">
        <v>8830</v>
      </c>
      <c r="AS425" t="s">
        <v>8831</v>
      </c>
      <c r="AT425" t="s">
        <v>1212</v>
      </c>
      <c r="AU425">
        <v>2020</v>
      </c>
      <c r="AV425">
        <v>18</v>
      </c>
      <c r="AW425">
        <v>10</v>
      </c>
      <c r="AX425" t="s">
        <v>74</v>
      </c>
      <c r="AY425" t="s">
        <v>74</v>
      </c>
      <c r="AZ425" t="s">
        <v>74</v>
      </c>
      <c r="BA425" t="s">
        <v>74</v>
      </c>
      <c r="BB425">
        <v>576</v>
      </c>
      <c r="BC425">
        <v>583</v>
      </c>
      <c r="BD425" t="s">
        <v>74</v>
      </c>
      <c r="BE425" t="s">
        <v>8832</v>
      </c>
      <c r="BF425" t="str">
        <f>HYPERLINK("http://dx.doi.org/10.1002/fee.2264","http://dx.doi.org/10.1002/fee.2264")</f>
        <v>http://dx.doi.org/10.1002/fee.2264</v>
      </c>
      <c r="BG425" t="s">
        <v>74</v>
      </c>
      <c r="BH425" t="s">
        <v>3429</v>
      </c>
      <c r="BI425">
        <v>8</v>
      </c>
      <c r="BJ425" t="s">
        <v>5663</v>
      </c>
      <c r="BK425" t="s">
        <v>100</v>
      </c>
      <c r="BL425" t="s">
        <v>284</v>
      </c>
      <c r="BM425" t="s">
        <v>8833</v>
      </c>
      <c r="BN425">
        <v>33408590</v>
      </c>
      <c r="BO425" t="s">
        <v>8834</v>
      </c>
      <c r="BP425" t="s">
        <v>74</v>
      </c>
      <c r="BQ425" t="s">
        <v>74</v>
      </c>
      <c r="BR425" t="s">
        <v>104</v>
      </c>
      <c r="BS425" t="s">
        <v>8835</v>
      </c>
      <c r="BT425" t="str">
        <f>HYPERLINK("https%3A%2F%2Fwww.webofscience.com%2Fwos%2Fwoscc%2Ffull-record%2FWOS:000573958700001","View Full Record in Web of Science")</f>
        <v>View Full Record in Web of Science</v>
      </c>
    </row>
    <row r="426" spans="1:72" x14ac:dyDescent="0.15">
      <c r="A426" t="s">
        <v>72</v>
      </c>
      <c r="B426" t="s">
        <v>8836</v>
      </c>
      <c r="C426" t="s">
        <v>74</v>
      </c>
      <c r="D426" t="s">
        <v>74</v>
      </c>
      <c r="E426" t="s">
        <v>74</v>
      </c>
      <c r="F426" t="s">
        <v>8837</v>
      </c>
      <c r="G426" t="s">
        <v>74</v>
      </c>
      <c r="H426" t="s">
        <v>74</v>
      </c>
      <c r="I426" t="s">
        <v>8838</v>
      </c>
      <c r="J426" t="s">
        <v>8099</v>
      </c>
      <c r="K426" t="s">
        <v>74</v>
      </c>
      <c r="L426" t="s">
        <v>74</v>
      </c>
      <c r="M426" t="s">
        <v>78</v>
      </c>
      <c r="N426" t="s">
        <v>79</v>
      </c>
      <c r="O426" t="s">
        <v>74</v>
      </c>
      <c r="P426" t="s">
        <v>74</v>
      </c>
      <c r="Q426" t="s">
        <v>74</v>
      </c>
      <c r="R426" t="s">
        <v>74</v>
      </c>
      <c r="S426" t="s">
        <v>74</v>
      </c>
      <c r="T426" t="s">
        <v>8839</v>
      </c>
      <c r="U426" t="s">
        <v>8840</v>
      </c>
      <c r="V426" t="s">
        <v>8841</v>
      </c>
      <c r="W426" t="s">
        <v>8842</v>
      </c>
      <c r="X426" t="s">
        <v>8843</v>
      </c>
      <c r="Y426" t="s">
        <v>8844</v>
      </c>
      <c r="Z426" t="s">
        <v>8845</v>
      </c>
      <c r="AA426" t="s">
        <v>8846</v>
      </c>
      <c r="AB426" t="s">
        <v>8847</v>
      </c>
      <c r="AC426" t="s">
        <v>8848</v>
      </c>
      <c r="AD426" t="s">
        <v>8849</v>
      </c>
      <c r="AE426" t="s">
        <v>8850</v>
      </c>
      <c r="AF426" t="s">
        <v>74</v>
      </c>
      <c r="AG426">
        <v>93</v>
      </c>
      <c r="AH426">
        <v>15</v>
      </c>
      <c r="AI426">
        <v>17</v>
      </c>
      <c r="AJ426">
        <v>2</v>
      </c>
      <c r="AK426">
        <v>38</v>
      </c>
      <c r="AL426" t="s">
        <v>1572</v>
      </c>
      <c r="AM426" t="s">
        <v>1407</v>
      </c>
      <c r="AN426" t="s">
        <v>1573</v>
      </c>
      <c r="AO426" t="s">
        <v>8112</v>
      </c>
      <c r="AP426" t="s">
        <v>8113</v>
      </c>
      <c r="AQ426" t="s">
        <v>74</v>
      </c>
      <c r="AR426" t="s">
        <v>8114</v>
      </c>
      <c r="AS426" t="s">
        <v>8115</v>
      </c>
      <c r="AT426" t="s">
        <v>6558</v>
      </c>
      <c r="AU426">
        <v>2020</v>
      </c>
      <c r="AV426">
        <v>161</v>
      </c>
      <c r="AW426" t="s">
        <v>74</v>
      </c>
      <c r="AX426" t="s">
        <v>74</v>
      </c>
      <c r="AY426" t="s">
        <v>74</v>
      </c>
      <c r="AZ426" t="s">
        <v>74</v>
      </c>
      <c r="BA426" t="s">
        <v>74</v>
      </c>
      <c r="BB426" t="s">
        <v>74</v>
      </c>
      <c r="BC426" t="s">
        <v>74</v>
      </c>
      <c r="BD426">
        <v>105107</v>
      </c>
      <c r="BE426" t="s">
        <v>8851</v>
      </c>
      <c r="BF426" t="str">
        <f>HYPERLINK("http://dx.doi.org/10.1016/j.marenvres.2020.105107","http://dx.doi.org/10.1016/j.marenvres.2020.105107")</f>
        <v>http://dx.doi.org/10.1016/j.marenvres.2020.105107</v>
      </c>
      <c r="BG426" t="s">
        <v>74</v>
      </c>
      <c r="BH426" t="s">
        <v>74</v>
      </c>
      <c r="BI426">
        <v>13</v>
      </c>
      <c r="BJ426" t="s">
        <v>8117</v>
      </c>
      <c r="BK426" t="s">
        <v>100</v>
      </c>
      <c r="BL426" t="s">
        <v>8118</v>
      </c>
      <c r="BM426" t="s">
        <v>8119</v>
      </c>
      <c r="BN426">
        <v>32890983</v>
      </c>
      <c r="BO426" t="s">
        <v>74</v>
      </c>
      <c r="BP426" t="s">
        <v>74</v>
      </c>
      <c r="BQ426" t="s">
        <v>74</v>
      </c>
      <c r="BR426" t="s">
        <v>104</v>
      </c>
      <c r="BS426" t="s">
        <v>8852</v>
      </c>
      <c r="BT426" t="str">
        <f>HYPERLINK("https%3A%2F%2Fwww.webofscience.com%2Fwos%2Fwoscc%2Ffull-record%2FWOS:000579495700038","View Full Record in Web of Science")</f>
        <v>View Full Record in Web of Science</v>
      </c>
    </row>
    <row r="427" spans="1:72" x14ac:dyDescent="0.15">
      <c r="A427" t="s">
        <v>72</v>
      </c>
      <c r="B427" t="s">
        <v>8853</v>
      </c>
      <c r="C427" t="s">
        <v>74</v>
      </c>
      <c r="D427" t="s">
        <v>74</v>
      </c>
      <c r="E427" t="s">
        <v>74</v>
      </c>
      <c r="F427" t="s">
        <v>8854</v>
      </c>
      <c r="G427" t="s">
        <v>74</v>
      </c>
      <c r="H427" t="s">
        <v>74</v>
      </c>
      <c r="I427" t="s">
        <v>8855</v>
      </c>
      <c r="J427" t="s">
        <v>8856</v>
      </c>
      <c r="K427" t="s">
        <v>74</v>
      </c>
      <c r="L427" t="s">
        <v>74</v>
      </c>
      <c r="M427" t="s">
        <v>78</v>
      </c>
      <c r="N427" t="s">
        <v>79</v>
      </c>
      <c r="O427" t="s">
        <v>74</v>
      </c>
      <c r="P427" t="s">
        <v>74</v>
      </c>
      <c r="Q427" t="s">
        <v>74</v>
      </c>
      <c r="R427" t="s">
        <v>74</v>
      </c>
      <c r="S427" t="s">
        <v>74</v>
      </c>
      <c r="T427" t="s">
        <v>74</v>
      </c>
      <c r="U427" t="s">
        <v>8857</v>
      </c>
      <c r="V427" t="s">
        <v>8858</v>
      </c>
      <c r="W427" t="s">
        <v>8859</v>
      </c>
      <c r="X427" t="s">
        <v>8860</v>
      </c>
      <c r="Y427" t="s">
        <v>8861</v>
      </c>
      <c r="Z427" t="s">
        <v>8862</v>
      </c>
      <c r="AA427" t="s">
        <v>74</v>
      </c>
      <c r="AB427" t="s">
        <v>8863</v>
      </c>
      <c r="AC427" t="s">
        <v>8864</v>
      </c>
      <c r="AD427" t="s">
        <v>8865</v>
      </c>
      <c r="AE427" t="s">
        <v>8866</v>
      </c>
      <c r="AF427" t="s">
        <v>74</v>
      </c>
      <c r="AG427">
        <v>81</v>
      </c>
      <c r="AH427">
        <v>12</v>
      </c>
      <c r="AI427">
        <v>14</v>
      </c>
      <c r="AJ427">
        <v>2</v>
      </c>
      <c r="AK427">
        <v>17</v>
      </c>
      <c r="AL427" t="s">
        <v>5807</v>
      </c>
      <c r="AM427" t="s">
        <v>4984</v>
      </c>
      <c r="AN427" t="s">
        <v>5808</v>
      </c>
      <c r="AO427" t="s">
        <v>8867</v>
      </c>
      <c r="AP427" t="s">
        <v>74</v>
      </c>
      <c r="AQ427" t="s">
        <v>74</v>
      </c>
      <c r="AR427" t="s">
        <v>8868</v>
      </c>
      <c r="AS427" t="s">
        <v>8869</v>
      </c>
      <c r="AT427" t="s">
        <v>6558</v>
      </c>
      <c r="AU427">
        <v>2020</v>
      </c>
      <c r="AV427">
        <v>16</v>
      </c>
      <c r="AW427">
        <v>10</v>
      </c>
      <c r="AX427" t="s">
        <v>74</v>
      </c>
      <c r="AY427" t="s">
        <v>74</v>
      </c>
      <c r="AZ427" t="s">
        <v>74</v>
      </c>
      <c r="BA427" t="s">
        <v>74</v>
      </c>
      <c r="BB427" t="s">
        <v>74</v>
      </c>
      <c r="BC427" t="s">
        <v>74</v>
      </c>
      <c r="BD427" t="s">
        <v>8870</v>
      </c>
      <c r="BE427" t="s">
        <v>8871</v>
      </c>
      <c r="BF427" t="str">
        <f>HYPERLINK("http://dx.doi.org/10.1371/journal.pgen.1009173","http://dx.doi.org/10.1371/journal.pgen.1009173")</f>
        <v>http://dx.doi.org/10.1371/journal.pgen.1009173</v>
      </c>
      <c r="BG427" t="s">
        <v>74</v>
      </c>
      <c r="BH427" t="s">
        <v>74</v>
      </c>
      <c r="BI427">
        <v>22</v>
      </c>
      <c r="BJ427" t="s">
        <v>1387</v>
      </c>
      <c r="BK427" t="s">
        <v>100</v>
      </c>
      <c r="BL427" t="s">
        <v>1387</v>
      </c>
      <c r="BM427" t="s">
        <v>8872</v>
      </c>
      <c r="BN427">
        <v>33108368</v>
      </c>
      <c r="BO427" t="s">
        <v>2113</v>
      </c>
      <c r="BP427" t="s">
        <v>74</v>
      </c>
      <c r="BQ427" t="s">
        <v>74</v>
      </c>
      <c r="BR427" t="s">
        <v>104</v>
      </c>
      <c r="BS427" t="s">
        <v>8873</v>
      </c>
      <c r="BT427" t="str">
        <f>HYPERLINK("https%3A%2F%2Fwww.webofscience.com%2Fwos%2Fwoscc%2Ffull-record%2FWOS:000588361700001","View Full Record in Web of Science")</f>
        <v>View Full Record in Web of Science</v>
      </c>
    </row>
    <row r="428" spans="1:72" x14ac:dyDescent="0.15">
      <c r="A428" t="s">
        <v>72</v>
      </c>
      <c r="B428" t="s">
        <v>8874</v>
      </c>
      <c r="C428" t="s">
        <v>74</v>
      </c>
      <c r="D428" t="s">
        <v>74</v>
      </c>
      <c r="E428" t="s">
        <v>74</v>
      </c>
      <c r="F428" t="s">
        <v>8875</v>
      </c>
      <c r="G428" t="s">
        <v>74</v>
      </c>
      <c r="H428" t="s">
        <v>74</v>
      </c>
      <c r="I428" t="s">
        <v>8876</v>
      </c>
      <c r="J428" t="s">
        <v>1510</v>
      </c>
      <c r="K428" t="s">
        <v>74</v>
      </c>
      <c r="L428" t="s">
        <v>74</v>
      </c>
      <c r="M428" t="s">
        <v>78</v>
      </c>
      <c r="N428" t="s">
        <v>79</v>
      </c>
      <c r="O428" t="s">
        <v>74</v>
      </c>
      <c r="P428" t="s">
        <v>74</v>
      </c>
      <c r="Q428" t="s">
        <v>74</v>
      </c>
      <c r="R428" t="s">
        <v>74</v>
      </c>
      <c r="S428" t="s">
        <v>74</v>
      </c>
      <c r="T428" t="s">
        <v>8877</v>
      </c>
      <c r="U428" t="s">
        <v>8878</v>
      </c>
      <c r="V428" t="s">
        <v>8879</v>
      </c>
      <c r="W428" t="s">
        <v>8880</v>
      </c>
      <c r="X428" t="s">
        <v>8881</v>
      </c>
      <c r="Y428" t="s">
        <v>8882</v>
      </c>
      <c r="Z428" t="s">
        <v>8883</v>
      </c>
      <c r="AA428" t="s">
        <v>8884</v>
      </c>
      <c r="AB428" t="s">
        <v>8885</v>
      </c>
      <c r="AC428" t="s">
        <v>8886</v>
      </c>
      <c r="AD428" t="s">
        <v>8887</v>
      </c>
      <c r="AE428" t="s">
        <v>8888</v>
      </c>
      <c r="AF428" t="s">
        <v>74</v>
      </c>
      <c r="AG428">
        <v>108</v>
      </c>
      <c r="AH428">
        <v>14</v>
      </c>
      <c r="AI428">
        <v>14</v>
      </c>
      <c r="AJ428">
        <v>7</v>
      </c>
      <c r="AK428">
        <v>33</v>
      </c>
      <c r="AL428" t="s">
        <v>1522</v>
      </c>
      <c r="AM428" t="s">
        <v>1407</v>
      </c>
      <c r="AN428" t="s">
        <v>1523</v>
      </c>
      <c r="AO428" t="s">
        <v>1524</v>
      </c>
      <c r="AP428" t="s">
        <v>8889</v>
      </c>
      <c r="AQ428" t="s">
        <v>74</v>
      </c>
      <c r="AR428" t="s">
        <v>1525</v>
      </c>
      <c r="AS428" t="s">
        <v>1526</v>
      </c>
      <c r="AT428" t="s">
        <v>6558</v>
      </c>
      <c r="AU428">
        <v>2020</v>
      </c>
      <c r="AV428">
        <v>188</v>
      </c>
      <c r="AW428" t="s">
        <v>74</v>
      </c>
      <c r="AX428" t="s">
        <v>74</v>
      </c>
      <c r="AY428" t="s">
        <v>74</v>
      </c>
      <c r="AZ428" t="s">
        <v>74</v>
      </c>
      <c r="BA428" t="s">
        <v>74</v>
      </c>
      <c r="BB428" t="s">
        <v>74</v>
      </c>
      <c r="BC428" t="s">
        <v>74</v>
      </c>
      <c r="BD428">
        <v>102438</v>
      </c>
      <c r="BE428" t="s">
        <v>8890</v>
      </c>
      <c r="BF428" t="str">
        <f>HYPERLINK("http://dx.doi.org/10.1016/j.pocean.2020.102438","http://dx.doi.org/10.1016/j.pocean.2020.102438")</f>
        <v>http://dx.doi.org/10.1016/j.pocean.2020.102438</v>
      </c>
      <c r="BG428" t="s">
        <v>74</v>
      </c>
      <c r="BH428" t="s">
        <v>74</v>
      </c>
      <c r="BI428">
        <v>11</v>
      </c>
      <c r="BJ428" t="s">
        <v>1283</v>
      </c>
      <c r="BK428" t="s">
        <v>100</v>
      </c>
      <c r="BL428" t="s">
        <v>1283</v>
      </c>
      <c r="BM428" t="s">
        <v>7968</v>
      </c>
      <c r="BN428" t="s">
        <v>74</v>
      </c>
      <c r="BO428" t="s">
        <v>1894</v>
      </c>
      <c r="BP428" t="s">
        <v>74</v>
      </c>
      <c r="BQ428" t="s">
        <v>74</v>
      </c>
      <c r="BR428" t="s">
        <v>104</v>
      </c>
      <c r="BS428" t="s">
        <v>8891</v>
      </c>
      <c r="BT428" t="str">
        <f>HYPERLINK("https%3A%2F%2Fwww.webofscience.com%2Fwos%2Fwoscc%2Ffull-record%2FWOS:000582696800017","View Full Record in Web of Science")</f>
        <v>View Full Record in Web of Science</v>
      </c>
    </row>
    <row r="429" spans="1:72" x14ac:dyDescent="0.15">
      <c r="A429" t="s">
        <v>72</v>
      </c>
      <c r="B429" t="s">
        <v>8892</v>
      </c>
      <c r="C429" t="s">
        <v>74</v>
      </c>
      <c r="D429" t="s">
        <v>74</v>
      </c>
      <c r="E429" t="s">
        <v>74</v>
      </c>
      <c r="F429" t="s">
        <v>8893</v>
      </c>
      <c r="G429" t="s">
        <v>74</v>
      </c>
      <c r="H429" t="s">
        <v>74</v>
      </c>
      <c r="I429" t="s">
        <v>8894</v>
      </c>
      <c r="J429" t="s">
        <v>8895</v>
      </c>
      <c r="K429" t="s">
        <v>74</v>
      </c>
      <c r="L429" t="s">
        <v>74</v>
      </c>
      <c r="M429" t="s">
        <v>78</v>
      </c>
      <c r="N429" t="s">
        <v>79</v>
      </c>
      <c r="O429" t="s">
        <v>74</v>
      </c>
      <c r="P429" t="s">
        <v>74</v>
      </c>
      <c r="Q429" t="s">
        <v>74</v>
      </c>
      <c r="R429" t="s">
        <v>74</v>
      </c>
      <c r="S429" t="s">
        <v>74</v>
      </c>
      <c r="T429" t="s">
        <v>8896</v>
      </c>
      <c r="U429" t="s">
        <v>74</v>
      </c>
      <c r="V429" t="s">
        <v>8897</v>
      </c>
      <c r="W429" t="s">
        <v>8898</v>
      </c>
      <c r="X429" t="s">
        <v>8899</v>
      </c>
      <c r="Y429" t="s">
        <v>8900</v>
      </c>
      <c r="Z429" t="s">
        <v>8901</v>
      </c>
      <c r="AA429" t="s">
        <v>8902</v>
      </c>
      <c r="AB429" t="s">
        <v>8903</v>
      </c>
      <c r="AC429" t="s">
        <v>8904</v>
      </c>
      <c r="AD429" t="s">
        <v>8905</v>
      </c>
      <c r="AE429" t="s">
        <v>8906</v>
      </c>
      <c r="AF429" t="s">
        <v>74</v>
      </c>
      <c r="AG429">
        <v>59</v>
      </c>
      <c r="AH429">
        <v>8</v>
      </c>
      <c r="AI429">
        <v>8</v>
      </c>
      <c r="AJ429">
        <v>0</v>
      </c>
      <c r="AK429">
        <v>0</v>
      </c>
      <c r="AL429" t="s">
        <v>275</v>
      </c>
      <c r="AM429" t="s">
        <v>276</v>
      </c>
      <c r="AN429" t="s">
        <v>277</v>
      </c>
      <c r="AO429" t="s">
        <v>8907</v>
      </c>
      <c r="AP429" t="s">
        <v>74</v>
      </c>
      <c r="AQ429" t="s">
        <v>74</v>
      </c>
      <c r="AR429" t="s">
        <v>8908</v>
      </c>
      <c r="AS429" t="s">
        <v>8909</v>
      </c>
      <c r="AT429" t="s">
        <v>6558</v>
      </c>
      <c r="AU429">
        <v>2020</v>
      </c>
      <c r="AV429">
        <v>2</v>
      </c>
      <c r="AW429" t="s">
        <v>74</v>
      </c>
      <c r="AX429" t="s">
        <v>74</v>
      </c>
      <c r="AY429" t="s">
        <v>74</v>
      </c>
      <c r="AZ429" t="s">
        <v>74</v>
      </c>
      <c r="BA429" t="s">
        <v>74</v>
      </c>
      <c r="BB429" t="s">
        <v>74</v>
      </c>
      <c r="BC429" t="s">
        <v>74</v>
      </c>
      <c r="BD429">
        <v>100012</v>
      </c>
      <c r="BE429" t="s">
        <v>8910</v>
      </c>
      <c r="BF429" t="str">
        <f>HYPERLINK("http://dx.doi.org/10.1016/j.qsa.2020.100012","http://dx.doi.org/10.1016/j.qsa.2020.100012")</f>
        <v>http://dx.doi.org/10.1016/j.qsa.2020.100012</v>
      </c>
      <c r="BG429" t="s">
        <v>74</v>
      </c>
      <c r="BH429" t="s">
        <v>74</v>
      </c>
      <c r="BI429">
        <v>13</v>
      </c>
      <c r="BJ429" t="s">
        <v>99</v>
      </c>
      <c r="BK429" t="s">
        <v>1214</v>
      </c>
      <c r="BL429" t="s">
        <v>101</v>
      </c>
      <c r="BM429" t="s">
        <v>8911</v>
      </c>
      <c r="BN429" t="s">
        <v>74</v>
      </c>
      <c r="BO429" t="s">
        <v>332</v>
      </c>
      <c r="BP429" t="s">
        <v>74</v>
      </c>
      <c r="BQ429" t="s">
        <v>74</v>
      </c>
      <c r="BR429" t="s">
        <v>104</v>
      </c>
      <c r="BS429" t="s">
        <v>8912</v>
      </c>
      <c r="BT429" t="str">
        <f>HYPERLINK("https%3A%2F%2Fwww.webofscience.com%2Fwos%2Fwoscc%2Ffull-record%2FWOS:000903528000006","View Full Record in Web of Science")</f>
        <v>View Full Record in Web of Science</v>
      </c>
    </row>
    <row r="430" spans="1:72" x14ac:dyDescent="0.15">
      <c r="A430" t="s">
        <v>72</v>
      </c>
      <c r="B430" t="s">
        <v>8913</v>
      </c>
      <c r="C430" t="s">
        <v>74</v>
      </c>
      <c r="D430" t="s">
        <v>74</v>
      </c>
      <c r="E430" t="s">
        <v>74</v>
      </c>
      <c r="F430" t="s">
        <v>8914</v>
      </c>
      <c r="G430" t="s">
        <v>74</v>
      </c>
      <c r="H430" t="s">
        <v>74</v>
      </c>
      <c r="I430" t="s">
        <v>8915</v>
      </c>
      <c r="J430" t="s">
        <v>263</v>
      </c>
      <c r="K430" t="s">
        <v>74</v>
      </c>
      <c r="L430" t="s">
        <v>74</v>
      </c>
      <c r="M430" t="s">
        <v>78</v>
      </c>
      <c r="N430" t="s">
        <v>79</v>
      </c>
      <c r="O430" t="s">
        <v>74</v>
      </c>
      <c r="P430" t="s">
        <v>74</v>
      </c>
      <c r="Q430" t="s">
        <v>74</v>
      </c>
      <c r="R430" t="s">
        <v>74</v>
      </c>
      <c r="S430" t="s">
        <v>74</v>
      </c>
      <c r="T430" t="s">
        <v>8916</v>
      </c>
      <c r="U430" t="s">
        <v>8917</v>
      </c>
      <c r="V430" t="s">
        <v>8918</v>
      </c>
      <c r="W430" t="s">
        <v>8919</v>
      </c>
      <c r="X430" t="s">
        <v>8920</v>
      </c>
      <c r="Y430" t="s">
        <v>8921</v>
      </c>
      <c r="Z430" t="s">
        <v>8922</v>
      </c>
      <c r="AA430" t="s">
        <v>8923</v>
      </c>
      <c r="AB430" t="s">
        <v>8924</v>
      </c>
      <c r="AC430" t="s">
        <v>8925</v>
      </c>
      <c r="AD430" t="s">
        <v>8926</v>
      </c>
      <c r="AE430" t="s">
        <v>8927</v>
      </c>
      <c r="AF430" t="s">
        <v>74</v>
      </c>
      <c r="AG430">
        <v>93</v>
      </c>
      <c r="AH430">
        <v>7</v>
      </c>
      <c r="AI430">
        <v>7</v>
      </c>
      <c r="AJ430">
        <v>4</v>
      </c>
      <c r="AK430">
        <v>51</v>
      </c>
      <c r="AL430" t="s">
        <v>275</v>
      </c>
      <c r="AM430" t="s">
        <v>276</v>
      </c>
      <c r="AN430" t="s">
        <v>277</v>
      </c>
      <c r="AO430" t="s">
        <v>278</v>
      </c>
      <c r="AP430" t="s">
        <v>279</v>
      </c>
      <c r="AQ430" t="s">
        <v>74</v>
      </c>
      <c r="AR430" t="s">
        <v>280</v>
      </c>
      <c r="AS430" t="s">
        <v>281</v>
      </c>
      <c r="AT430" t="s">
        <v>1163</v>
      </c>
      <c r="AU430">
        <v>2020</v>
      </c>
      <c r="AV430">
        <v>737</v>
      </c>
      <c r="AW430" t="s">
        <v>74</v>
      </c>
      <c r="AX430" t="s">
        <v>74</v>
      </c>
      <c r="AY430" t="s">
        <v>74</v>
      </c>
      <c r="AZ430" t="s">
        <v>74</v>
      </c>
      <c r="BA430" t="s">
        <v>74</v>
      </c>
      <c r="BB430" t="s">
        <v>74</v>
      </c>
      <c r="BC430" t="s">
        <v>74</v>
      </c>
      <c r="BD430">
        <v>140258</v>
      </c>
      <c r="BE430" t="s">
        <v>8928</v>
      </c>
      <c r="BF430" t="str">
        <f>HYPERLINK("http://dx.doi.org/10.1016/j.scitotenv.2020.140258","http://dx.doi.org/10.1016/j.scitotenv.2020.140258")</f>
        <v>http://dx.doi.org/10.1016/j.scitotenv.2020.140258</v>
      </c>
      <c r="BG430" t="s">
        <v>74</v>
      </c>
      <c r="BH430" t="s">
        <v>74</v>
      </c>
      <c r="BI430">
        <v>13</v>
      </c>
      <c r="BJ430" t="s">
        <v>283</v>
      </c>
      <c r="BK430" t="s">
        <v>100</v>
      </c>
      <c r="BL430" t="s">
        <v>284</v>
      </c>
      <c r="BM430" t="s">
        <v>8929</v>
      </c>
      <c r="BN430">
        <v>32783853</v>
      </c>
      <c r="BO430" t="s">
        <v>74</v>
      </c>
      <c r="BP430" t="s">
        <v>74</v>
      </c>
      <c r="BQ430" t="s">
        <v>74</v>
      </c>
      <c r="BR430" t="s">
        <v>104</v>
      </c>
      <c r="BS430" t="s">
        <v>8930</v>
      </c>
      <c r="BT430" t="str">
        <f>HYPERLINK("https%3A%2F%2Fwww.webofscience.com%2Fwos%2Fwoscc%2Ffull-record%2FWOS:000553716900007","View Full Record in Web of Science")</f>
        <v>View Full Record in Web of Science</v>
      </c>
    </row>
    <row r="431" spans="1:72" x14ac:dyDescent="0.15">
      <c r="A431" t="s">
        <v>72</v>
      </c>
      <c r="B431" t="s">
        <v>8931</v>
      </c>
      <c r="C431" t="s">
        <v>74</v>
      </c>
      <c r="D431" t="s">
        <v>74</v>
      </c>
      <c r="E431" t="s">
        <v>74</v>
      </c>
      <c r="F431" t="s">
        <v>8932</v>
      </c>
      <c r="G431" t="s">
        <v>74</v>
      </c>
      <c r="H431" t="s">
        <v>74</v>
      </c>
      <c r="I431" t="s">
        <v>8933</v>
      </c>
      <c r="J431" t="s">
        <v>309</v>
      </c>
      <c r="K431" t="s">
        <v>74</v>
      </c>
      <c r="L431" t="s">
        <v>74</v>
      </c>
      <c r="M431" t="s">
        <v>78</v>
      </c>
      <c r="N431" t="s">
        <v>79</v>
      </c>
      <c r="O431" t="s">
        <v>74</v>
      </c>
      <c r="P431" t="s">
        <v>74</v>
      </c>
      <c r="Q431" t="s">
        <v>74</v>
      </c>
      <c r="R431" t="s">
        <v>74</v>
      </c>
      <c r="S431" t="s">
        <v>74</v>
      </c>
      <c r="T431" t="s">
        <v>74</v>
      </c>
      <c r="U431" t="s">
        <v>8934</v>
      </c>
      <c r="V431" t="s">
        <v>8935</v>
      </c>
      <c r="W431" t="s">
        <v>8936</v>
      </c>
      <c r="X431" t="s">
        <v>8937</v>
      </c>
      <c r="Y431" t="s">
        <v>8938</v>
      </c>
      <c r="Z431" t="s">
        <v>8939</v>
      </c>
      <c r="AA431" t="s">
        <v>74</v>
      </c>
      <c r="AB431" t="s">
        <v>74</v>
      </c>
      <c r="AC431" t="s">
        <v>8940</v>
      </c>
      <c r="AD431" t="s">
        <v>8941</v>
      </c>
      <c r="AE431" t="s">
        <v>8942</v>
      </c>
      <c r="AF431" t="s">
        <v>74</v>
      </c>
      <c r="AG431">
        <v>36</v>
      </c>
      <c r="AH431">
        <v>9</v>
      </c>
      <c r="AI431">
        <v>9</v>
      </c>
      <c r="AJ431">
        <v>0</v>
      </c>
      <c r="AK431">
        <v>14</v>
      </c>
      <c r="AL431" t="s">
        <v>321</v>
      </c>
      <c r="AM431" t="s">
        <v>322</v>
      </c>
      <c r="AN431" t="s">
        <v>323</v>
      </c>
      <c r="AO431" t="s">
        <v>324</v>
      </c>
      <c r="AP431" t="s">
        <v>74</v>
      </c>
      <c r="AQ431" t="s">
        <v>74</v>
      </c>
      <c r="AR431" t="s">
        <v>325</v>
      </c>
      <c r="AS431" t="s">
        <v>326</v>
      </c>
      <c r="AT431" t="s">
        <v>1163</v>
      </c>
      <c r="AU431">
        <v>2020</v>
      </c>
      <c r="AV431">
        <v>10</v>
      </c>
      <c r="AW431">
        <v>1</v>
      </c>
      <c r="AX431" t="s">
        <v>74</v>
      </c>
      <c r="AY431" t="s">
        <v>74</v>
      </c>
      <c r="AZ431" t="s">
        <v>74</v>
      </c>
      <c r="BA431" t="s">
        <v>74</v>
      </c>
      <c r="BB431" t="s">
        <v>74</v>
      </c>
      <c r="BC431" t="s">
        <v>74</v>
      </c>
      <c r="BD431">
        <v>16313</v>
      </c>
      <c r="BE431" t="s">
        <v>8943</v>
      </c>
      <c r="BF431" t="str">
        <f>HYPERLINK("http://dx.doi.org/10.1038/s41598-020-73211-z","http://dx.doi.org/10.1038/s41598-020-73211-z")</f>
        <v>http://dx.doi.org/10.1038/s41598-020-73211-z</v>
      </c>
      <c r="BG431" t="s">
        <v>74</v>
      </c>
      <c r="BH431" t="s">
        <v>74</v>
      </c>
      <c r="BI431">
        <v>15</v>
      </c>
      <c r="BJ431" t="s">
        <v>329</v>
      </c>
      <c r="BK431" t="s">
        <v>100</v>
      </c>
      <c r="BL431" t="s">
        <v>330</v>
      </c>
      <c r="BM431" t="s">
        <v>8944</v>
      </c>
      <c r="BN431">
        <v>33004885</v>
      </c>
      <c r="BO431" t="s">
        <v>6286</v>
      </c>
      <c r="BP431" t="s">
        <v>74</v>
      </c>
      <c r="BQ431" t="s">
        <v>74</v>
      </c>
      <c r="BR431" t="s">
        <v>104</v>
      </c>
      <c r="BS431" t="s">
        <v>8945</v>
      </c>
      <c r="BT431" t="str">
        <f>HYPERLINK("https%3A%2F%2Fwww.webofscience.com%2Fwos%2Fwoscc%2Ffull-record%2FWOS:000577143400076","View Full Record in Web of Science")</f>
        <v>View Full Record in Web of Science</v>
      </c>
    </row>
    <row r="432" spans="1:72" x14ac:dyDescent="0.15">
      <c r="A432" t="s">
        <v>72</v>
      </c>
      <c r="B432" t="s">
        <v>8946</v>
      </c>
      <c r="C432" t="s">
        <v>74</v>
      </c>
      <c r="D432" t="s">
        <v>74</v>
      </c>
      <c r="E432" t="s">
        <v>74</v>
      </c>
      <c r="F432" t="s">
        <v>8947</v>
      </c>
      <c r="G432" t="s">
        <v>74</v>
      </c>
      <c r="H432" t="s">
        <v>74</v>
      </c>
      <c r="I432" t="s">
        <v>8948</v>
      </c>
      <c r="J432" t="s">
        <v>2491</v>
      </c>
      <c r="K432" t="s">
        <v>74</v>
      </c>
      <c r="L432" t="s">
        <v>74</v>
      </c>
      <c r="M432" t="s">
        <v>78</v>
      </c>
      <c r="N432" t="s">
        <v>79</v>
      </c>
      <c r="O432" t="s">
        <v>74</v>
      </c>
      <c r="P432" t="s">
        <v>74</v>
      </c>
      <c r="Q432" t="s">
        <v>74</v>
      </c>
      <c r="R432" t="s">
        <v>74</v>
      </c>
      <c r="S432" t="s">
        <v>74</v>
      </c>
      <c r="T432" t="s">
        <v>8949</v>
      </c>
      <c r="U432" t="s">
        <v>8950</v>
      </c>
      <c r="V432" t="s">
        <v>8951</v>
      </c>
      <c r="W432" t="s">
        <v>8952</v>
      </c>
      <c r="X432" t="s">
        <v>8953</v>
      </c>
      <c r="Y432" t="s">
        <v>8954</v>
      </c>
      <c r="Z432" t="s">
        <v>8955</v>
      </c>
      <c r="AA432" t="s">
        <v>8956</v>
      </c>
      <c r="AB432" t="s">
        <v>8957</v>
      </c>
      <c r="AC432" t="s">
        <v>8958</v>
      </c>
      <c r="AD432" t="s">
        <v>8959</v>
      </c>
      <c r="AE432" t="s">
        <v>8960</v>
      </c>
      <c r="AF432" t="s">
        <v>74</v>
      </c>
      <c r="AG432">
        <v>102</v>
      </c>
      <c r="AH432">
        <v>8</v>
      </c>
      <c r="AI432">
        <v>8</v>
      </c>
      <c r="AJ432">
        <v>0</v>
      </c>
      <c r="AK432">
        <v>21</v>
      </c>
      <c r="AL432" t="s">
        <v>1522</v>
      </c>
      <c r="AM432" t="s">
        <v>1407</v>
      </c>
      <c r="AN432" t="s">
        <v>1523</v>
      </c>
      <c r="AO432" t="s">
        <v>2501</v>
      </c>
      <c r="AP432" t="s">
        <v>2502</v>
      </c>
      <c r="AQ432" t="s">
        <v>74</v>
      </c>
      <c r="AR432" t="s">
        <v>2503</v>
      </c>
      <c r="AS432" t="s">
        <v>2504</v>
      </c>
      <c r="AT432" t="s">
        <v>6558</v>
      </c>
      <c r="AU432">
        <v>2020</v>
      </c>
      <c r="AV432">
        <v>159</v>
      </c>
      <c r="AW432" t="s">
        <v>74</v>
      </c>
      <c r="AX432" t="s">
        <v>74</v>
      </c>
      <c r="AY432" t="s">
        <v>74</v>
      </c>
      <c r="AZ432" t="s">
        <v>74</v>
      </c>
      <c r="BA432" t="s">
        <v>74</v>
      </c>
      <c r="BB432" t="s">
        <v>74</v>
      </c>
      <c r="BC432" t="s">
        <v>74</v>
      </c>
      <c r="BD432">
        <v>111488</v>
      </c>
      <c r="BE432" t="s">
        <v>8961</v>
      </c>
      <c r="BF432" t="str">
        <f>HYPERLINK("http://dx.doi.org/10.1016/j.marpolbul.2020.111488","http://dx.doi.org/10.1016/j.marpolbul.2020.111488")</f>
        <v>http://dx.doi.org/10.1016/j.marpolbul.2020.111488</v>
      </c>
      <c r="BG432" t="s">
        <v>74</v>
      </c>
      <c r="BH432" t="s">
        <v>74</v>
      </c>
      <c r="BI432">
        <v>10</v>
      </c>
      <c r="BJ432" t="s">
        <v>918</v>
      </c>
      <c r="BK432" t="s">
        <v>100</v>
      </c>
      <c r="BL432" t="s">
        <v>919</v>
      </c>
      <c r="BM432" t="s">
        <v>8962</v>
      </c>
      <c r="BN432">
        <v>32738640</v>
      </c>
      <c r="BO432" t="s">
        <v>74</v>
      </c>
      <c r="BP432" t="s">
        <v>74</v>
      </c>
      <c r="BQ432" t="s">
        <v>74</v>
      </c>
      <c r="BR432" t="s">
        <v>104</v>
      </c>
      <c r="BS432" t="s">
        <v>8963</v>
      </c>
      <c r="BT432" t="str">
        <f>HYPERLINK("https%3A%2F%2Fwww.webofscience.com%2Fwos%2Fwoscc%2Ffull-record%2FWOS:000568700500011","View Full Record in Web of Science")</f>
        <v>View Full Record in Web of Science</v>
      </c>
    </row>
    <row r="433" spans="1:72" x14ac:dyDescent="0.15">
      <c r="A433" t="s">
        <v>72</v>
      </c>
      <c r="B433" t="s">
        <v>8964</v>
      </c>
      <c r="C433" t="s">
        <v>74</v>
      </c>
      <c r="D433" t="s">
        <v>74</v>
      </c>
      <c r="E433" t="s">
        <v>74</v>
      </c>
      <c r="F433" t="s">
        <v>8965</v>
      </c>
      <c r="G433" t="s">
        <v>74</v>
      </c>
      <c r="H433" t="s">
        <v>74</v>
      </c>
      <c r="I433" t="s">
        <v>8966</v>
      </c>
      <c r="J433" t="s">
        <v>2491</v>
      </c>
      <c r="K433" t="s">
        <v>74</v>
      </c>
      <c r="L433" t="s">
        <v>74</v>
      </c>
      <c r="M433" t="s">
        <v>78</v>
      </c>
      <c r="N433" t="s">
        <v>79</v>
      </c>
      <c r="O433" t="s">
        <v>74</v>
      </c>
      <c r="P433" t="s">
        <v>74</v>
      </c>
      <c r="Q433" t="s">
        <v>74</v>
      </c>
      <c r="R433" t="s">
        <v>74</v>
      </c>
      <c r="S433" t="s">
        <v>74</v>
      </c>
      <c r="T433" t="s">
        <v>8967</v>
      </c>
      <c r="U433" t="s">
        <v>8968</v>
      </c>
      <c r="V433" t="s">
        <v>8969</v>
      </c>
      <c r="W433" t="s">
        <v>8970</v>
      </c>
      <c r="X433" t="s">
        <v>8971</v>
      </c>
      <c r="Y433" t="s">
        <v>8972</v>
      </c>
      <c r="Z433" t="s">
        <v>8973</v>
      </c>
      <c r="AA433" t="s">
        <v>74</v>
      </c>
      <c r="AB433" t="s">
        <v>74</v>
      </c>
      <c r="AC433" t="s">
        <v>8974</v>
      </c>
      <c r="AD433" t="s">
        <v>8974</v>
      </c>
      <c r="AE433" t="s">
        <v>8975</v>
      </c>
      <c r="AF433" t="s">
        <v>74</v>
      </c>
      <c r="AG433">
        <v>65</v>
      </c>
      <c r="AH433">
        <v>8</v>
      </c>
      <c r="AI433">
        <v>9</v>
      </c>
      <c r="AJ433">
        <v>4</v>
      </c>
      <c r="AK433">
        <v>25</v>
      </c>
      <c r="AL433" t="s">
        <v>1522</v>
      </c>
      <c r="AM433" t="s">
        <v>1407</v>
      </c>
      <c r="AN433" t="s">
        <v>1523</v>
      </c>
      <c r="AO433" t="s">
        <v>2501</v>
      </c>
      <c r="AP433" t="s">
        <v>2502</v>
      </c>
      <c r="AQ433" t="s">
        <v>74</v>
      </c>
      <c r="AR433" t="s">
        <v>2503</v>
      </c>
      <c r="AS433" t="s">
        <v>2504</v>
      </c>
      <c r="AT433" t="s">
        <v>6558</v>
      </c>
      <c r="AU433">
        <v>2020</v>
      </c>
      <c r="AV433">
        <v>159</v>
      </c>
      <c r="AW433" t="s">
        <v>74</v>
      </c>
      <c r="AX433" t="s">
        <v>74</v>
      </c>
      <c r="AY433" t="s">
        <v>74</v>
      </c>
      <c r="AZ433" t="s">
        <v>74</v>
      </c>
      <c r="BA433" t="s">
        <v>74</v>
      </c>
      <c r="BB433" t="s">
        <v>74</v>
      </c>
      <c r="BC433" t="s">
        <v>74</v>
      </c>
      <c r="BD433">
        <v>111471</v>
      </c>
      <c r="BE433" t="s">
        <v>8976</v>
      </c>
      <c r="BF433" t="str">
        <f>HYPERLINK("http://dx.doi.org/10.1016/j.marpolbul.2020.111471","http://dx.doi.org/10.1016/j.marpolbul.2020.111471")</f>
        <v>http://dx.doi.org/10.1016/j.marpolbul.2020.111471</v>
      </c>
      <c r="BG433" t="s">
        <v>74</v>
      </c>
      <c r="BH433" t="s">
        <v>74</v>
      </c>
      <c r="BI433">
        <v>8</v>
      </c>
      <c r="BJ433" t="s">
        <v>918</v>
      </c>
      <c r="BK433" t="s">
        <v>100</v>
      </c>
      <c r="BL433" t="s">
        <v>919</v>
      </c>
      <c r="BM433" t="s">
        <v>8962</v>
      </c>
      <c r="BN433">
        <v>32892914</v>
      </c>
      <c r="BO433" t="s">
        <v>74</v>
      </c>
      <c r="BP433" t="s">
        <v>74</v>
      </c>
      <c r="BQ433" t="s">
        <v>74</v>
      </c>
      <c r="BR433" t="s">
        <v>104</v>
      </c>
      <c r="BS433" t="s">
        <v>8977</v>
      </c>
      <c r="BT433" t="str">
        <f>HYPERLINK("https%3A%2F%2Fwww.webofscience.com%2Fwos%2Fwoscc%2Ffull-record%2FWOS:000568700500009","View Full Record in Web of Science")</f>
        <v>View Full Record in Web of Science</v>
      </c>
    </row>
    <row r="434" spans="1:72" x14ac:dyDescent="0.15">
      <c r="A434" t="s">
        <v>72</v>
      </c>
      <c r="B434" t="s">
        <v>8978</v>
      </c>
      <c r="C434" t="s">
        <v>74</v>
      </c>
      <c r="D434" t="s">
        <v>74</v>
      </c>
      <c r="E434" t="s">
        <v>74</v>
      </c>
      <c r="F434" t="s">
        <v>8979</v>
      </c>
      <c r="G434" t="s">
        <v>74</v>
      </c>
      <c r="H434" t="s">
        <v>74</v>
      </c>
      <c r="I434" t="s">
        <v>8980</v>
      </c>
      <c r="J434" t="s">
        <v>3019</v>
      </c>
      <c r="K434" t="s">
        <v>74</v>
      </c>
      <c r="L434" t="s">
        <v>74</v>
      </c>
      <c r="M434" t="s">
        <v>78</v>
      </c>
      <c r="N434" t="s">
        <v>79</v>
      </c>
      <c r="O434" t="s">
        <v>74</v>
      </c>
      <c r="P434" t="s">
        <v>74</v>
      </c>
      <c r="Q434" t="s">
        <v>74</v>
      </c>
      <c r="R434" t="s">
        <v>74</v>
      </c>
      <c r="S434" t="s">
        <v>74</v>
      </c>
      <c r="T434" t="s">
        <v>8981</v>
      </c>
      <c r="U434" t="s">
        <v>8982</v>
      </c>
      <c r="V434" t="s">
        <v>8983</v>
      </c>
      <c r="W434" t="s">
        <v>8984</v>
      </c>
      <c r="X434" t="s">
        <v>8985</v>
      </c>
      <c r="Y434" t="s">
        <v>8986</v>
      </c>
      <c r="Z434" t="s">
        <v>8987</v>
      </c>
      <c r="AA434" t="s">
        <v>8988</v>
      </c>
      <c r="AB434" t="s">
        <v>8989</v>
      </c>
      <c r="AC434" t="s">
        <v>8990</v>
      </c>
      <c r="AD434" t="s">
        <v>8991</v>
      </c>
      <c r="AE434" t="s">
        <v>8992</v>
      </c>
      <c r="AF434" t="s">
        <v>74</v>
      </c>
      <c r="AG434">
        <v>35</v>
      </c>
      <c r="AH434">
        <v>9</v>
      </c>
      <c r="AI434">
        <v>10</v>
      </c>
      <c r="AJ434">
        <v>4</v>
      </c>
      <c r="AK434">
        <v>18</v>
      </c>
      <c r="AL434" t="s">
        <v>3032</v>
      </c>
      <c r="AM434" t="s">
        <v>483</v>
      </c>
      <c r="AN434" t="s">
        <v>3033</v>
      </c>
      <c r="AO434" t="s">
        <v>3034</v>
      </c>
      <c r="AP434" t="s">
        <v>3035</v>
      </c>
      <c r="AQ434" t="s">
        <v>74</v>
      </c>
      <c r="AR434" t="s">
        <v>3036</v>
      </c>
      <c r="AS434" t="s">
        <v>3037</v>
      </c>
      <c r="AT434" t="s">
        <v>6558</v>
      </c>
      <c r="AU434">
        <v>2020</v>
      </c>
      <c r="AV434">
        <v>248</v>
      </c>
      <c r="AW434" t="s">
        <v>74</v>
      </c>
      <c r="AX434" t="s">
        <v>74</v>
      </c>
      <c r="AY434" t="s">
        <v>74</v>
      </c>
      <c r="AZ434" t="s">
        <v>74</v>
      </c>
      <c r="BA434" t="s">
        <v>74</v>
      </c>
      <c r="BB434" t="s">
        <v>74</v>
      </c>
      <c r="BC434" t="s">
        <v>74</v>
      </c>
      <c r="BD434">
        <v>111999</v>
      </c>
      <c r="BE434" t="s">
        <v>8993</v>
      </c>
      <c r="BF434" t="str">
        <f>HYPERLINK("http://dx.doi.org/10.1016/j.rse.2020.111999","http://dx.doi.org/10.1016/j.rse.2020.111999")</f>
        <v>http://dx.doi.org/10.1016/j.rse.2020.111999</v>
      </c>
      <c r="BG434" t="s">
        <v>74</v>
      </c>
      <c r="BH434" t="s">
        <v>74</v>
      </c>
      <c r="BI434">
        <v>12</v>
      </c>
      <c r="BJ434" t="s">
        <v>3039</v>
      </c>
      <c r="BK434" t="s">
        <v>100</v>
      </c>
      <c r="BL434" t="s">
        <v>3040</v>
      </c>
      <c r="BM434" t="s">
        <v>8994</v>
      </c>
      <c r="BN434" t="s">
        <v>74</v>
      </c>
      <c r="BO434" t="s">
        <v>701</v>
      </c>
      <c r="BP434" t="s">
        <v>74</v>
      </c>
      <c r="BQ434" t="s">
        <v>74</v>
      </c>
      <c r="BR434" t="s">
        <v>104</v>
      </c>
      <c r="BS434" t="s">
        <v>8995</v>
      </c>
      <c r="BT434" t="str">
        <f>HYPERLINK("https%3A%2F%2Fwww.webofscience.com%2Fwos%2Fwoscc%2Ffull-record%2FWOS:000568717100001","View Full Record in Web of Science")</f>
        <v>View Full Record in Web of Science</v>
      </c>
    </row>
    <row r="435" spans="1:72" x14ac:dyDescent="0.15">
      <c r="A435" t="s">
        <v>72</v>
      </c>
      <c r="B435" t="s">
        <v>8996</v>
      </c>
      <c r="C435" t="s">
        <v>74</v>
      </c>
      <c r="D435" t="s">
        <v>74</v>
      </c>
      <c r="E435" t="s">
        <v>74</v>
      </c>
      <c r="F435" t="s">
        <v>8997</v>
      </c>
      <c r="G435" t="s">
        <v>74</v>
      </c>
      <c r="H435" t="s">
        <v>74</v>
      </c>
      <c r="I435" t="s">
        <v>8998</v>
      </c>
      <c r="J435" t="s">
        <v>3019</v>
      </c>
      <c r="K435" t="s">
        <v>74</v>
      </c>
      <c r="L435" t="s">
        <v>74</v>
      </c>
      <c r="M435" t="s">
        <v>78</v>
      </c>
      <c r="N435" t="s">
        <v>79</v>
      </c>
      <c r="O435" t="s">
        <v>74</v>
      </c>
      <c r="P435" t="s">
        <v>74</v>
      </c>
      <c r="Q435" t="s">
        <v>74</v>
      </c>
      <c r="R435" t="s">
        <v>74</v>
      </c>
      <c r="S435" t="s">
        <v>74</v>
      </c>
      <c r="T435" t="s">
        <v>8999</v>
      </c>
      <c r="U435" t="s">
        <v>9000</v>
      </c>
      <c r="V435" t="s">
        <v>9001</v>
      </c>
      <c r="W435" t="s">
        <v>9002</v>
      </c>
      <c r="X435" t="s">
        <v>9003</v>
      </c>
      <c r="Y435" t="s">
        <v>9004</v>
      </c>
      <c r="Z435" t="s">
        <v>9005</v>
      </c>
      <c r="AA435" t="s">
        <v>9006</v>
      </c>
      <c r="AB435" t="s">
        <v>9007</v>
      </c>
      <c r="AC435" t="s">
        <v>9008</v>
      </c>
      <c r="AD435" t="s">
        <v>9009</v>
      </c>
      <c r="AE435" t="s">
        <v>9010</v>
      </c>
      <c r="AF435" t="s">
        <v>74</v>
      </c>
      <c r="AG435">
        <v>60</v>
      </c>
      <c r="AH435">
        <v>11</v>
      </c>
      <c r="AI435">
        <v>11</v>
      </c>
      <c r="AJ435">
        <v>10</v>
      </c>
      <c r="AK435">
        <v>49</v>
      </c>
      <c r="AL435" t="s">
        <v>3032</v>
      </c>
      <c r="AM435" t="s">
        <v>483</v>
      </c>
      <c r="AN435" t="s">
        <v>3033</v>
      </c>
      <c r="AO435" t="s">
        <v>3034</v>
      </c>
      <c r="AP435" t="s">
        <v>3035</v>
      </c>
      <c r="AQ435" t="s">
        <v>74</v>
      </c>
      <c r="AR435" t="s">
        <v>3036</v>
      </c>
      <c r="AS435" t="s">
        <v>3037</v>
      </c>
      <c r="AT435" t="s">
        <v>6558</v>
      </c>
      <c r="AU435">
        <v>2020</v>
      </c>
      <c r="AV435">
        <v>248</v>
      </c>
      <c r="AW435" t="s">
        <v>74</v>
      </c>
      <c r="AX435" t="s">
        <v>74</v>
      </c>
      <c r="AY435" t="s">
        <v>74</v>
      </c>
      <c r="AZ435" t="s">
        <v>74</v>
      </c>
      <c r="BA435" t="s">
        <v>74</v>
      </c>
      <c r="BB435" t="s">
        <v>74</v>
      </c>
      <c r="BC435" t="s">
        <v>74</v>
      </c>
      <c r="BD435">
        <v>111975</v>
      </c>
      <c r="BE435" t="s">
        <v>9011</v>
      </c>
      <c r="BF435" t="str">
        <f>HYPERLINK("http://dx.doi.org/10.1016/j.rse.2020.111975","http://dx.doi.org/10.1016/j.rse.2020.111975")</f>
        <v>http://dx.doi.org/10.1016/j.rse.2020.111975</v>
      </c>
      <c r="BG435" t="s">
        <v>74</v>
      </c>
      <c r="BH435" t="s">
        <v>74</v>
      </c>
      <c r="BI435">
        <v>15</v>
      </c>
      <c r="BJ435" t="s">
        <v>3039</v>
      </c>
      <c r="BK435" t="s">
        <v>100</v>
      </c>
      <c r="BL435" t="s">
        <v>3040</v>
      </c>
      <c r="BM435" t="s">
        <v>9012</v>
      </c>
      <c r="BN435" t="s">
        <v>74</v>
      </c>
      <c r="BO435" t="s">
        <v>1188</v>
      </c>
      <c r="BP435" t="s">
        <v>74</v>
      </c>
      <c r="BQ435" t="s">
        <v>74</v>
      </c>
      <c r="BR435" t="s">
        <v>104</v>
      </c>
      <c r="BS435" t="s">
        <v>9013</v>
      </c>
      <c r="BT435" t="str">
        <f>HYPERLINK("https%3A%2F%2Fwww.webofscience.com%2Fwos%2Fwoscc%2Ffull-record%2FWOS:000568716200001","View Full Record in Web of Science")</f>
        <v>View Full Record in Web of Science</v>
      </c>
    </row>
    <row r="436" spans="1:72" x14ac:dyDescent="0.15">
      <c r="A436" t="s">
        <v>72</v>
      </c>
      <c r="B436" t="s">
        <v>9014</v>
      </c>
      <c r="C436" t="s">
        <v>74</v>
      </c>
      <c r="D436" t="s">
        <v>74</v>
      </c>
      <c r="E436" t="s">
        <v>74</v>
      </c>
      <c r="F436" t="s">
        <v>9015</v>
      </c>
      <c r="G436" t="s">
        <v>74</v>
      </c>
      <c r="H436" t="s">
        <v>74</v>
      </c>
      <c r="I436" t="s">
        <v>9016</v>
      </c>
      <c r="J436" t="s">
        <v>9017</v>
      </c>
      <c r="K436" t="s">
        <v>74</v>
      </c>
      <c r="L436" t="s">
        <v>74</v>
      </c>
      <c r="M436" t="s">
        <v>78</v>
      </c>
      <c r="N436" t="s">
        <v>138</v>
      </c>
      <c r="O436" t="s">
        <v>74</v>
      </c>
      <c r="P436" t="s">
        <v>74</v>
      </c>
      <c r="Q436" t="s">
        <v>74</v>
      </c>
      <c r="R436" t="s">
        <v>74</v>
      </c>
      <c r="S436" t="s">
        <v>74</v>
      </c>
      <c r="T436" t="s">
        <v>9018</v>
      </c>
      <c r="U436" t="s">
        <v>9019</v>
      </c>
      <c r="V436" t="s">
        <v>9020</v>
      </c>
      <c r="W436" t="s">
        <v>9021</v>
      </c>
      <c r="X436" t="s">
        <v>9022</v>
      </c>
      <c r="Y436" t="s">
        <v>9023</v>
      </c>
      <c r="Z436" t="s">
        <v>9024</v>
      </c>
      <c r="AA436" t="s">
        <v>9025</v>
      </c>
      <c r="AB436" t="s">
        <v>9026</v>
      </c>
      <c r="AC436" t="s">
        <v>9027</v>
      </c>
      <c r="AD436" t="s">
        <v>9028</v>
      </c>
      <c r="AE436" t="s">
        <v>9029</v>
      </c>
      <c r="AF436" t="s">
        <v>74</v>
      </c>
      <c r="AG436">
        <v>158</v>
      </c>
      <c r="AH436">
        <v>48</v>
      </c>
      <c r="AI436">
        <v>48</v>
      </c>
      <c r="AJ436">
        <v>6</v>
      </c>
      <c r="AK436">
        <v>23</v>
      </c>
      <c r="AL436" t="s">
        <v>275</v>
      </c>
      <c r="AM436" t="s">
        <v>276</v>
      </c>
      <c r="AN436" t="s">
        <v>277</v>
      </c>
      <c r="AO436" t="s">
        <v>9030</v>
      </c>
      <c r="AP436" t="s">
        <v>9031</v>
      </c>
      <c r="AQ436" t="s">
        <v>74</v>
      </c>
      <c r="AR436" t="s">
        <v>9032</v>
      </c>
      <c r="AS436" t="s">
        <v>9033</v>
      </c>
      <c r="AT436" t="s">
        <v>6558</v>
      </c>
      <c r="AU436">
        <v>2020</v>
      </c>
      <c r="AV436">
        <v>86</v>
      </c>
      <c r="AW436" t="s">
        <v>74</v>
      </c>
      <c r="AX436" t="s">
        <v>74</v>
      </c>
      <c r="AY436" t="s">
        <v>74</v>
      </c>
      <c r="AZ436" t="s">
        <v>74</v>
      </c>
      <c r="BA436" t="s">
        <v>74</v>
      </c>
      <c r="BB436">
        <v>126</v>
      </c>
      <c r="BC436">
        <v>143</v>
      </c>
      <c r="BD436" t="s">
        <v>74</v>
      </c>
      <c r="BE436" t="s">
        <v>9034</v>
      </c>
      <c r="BF436" t="str">
        <f>HYPERLINK("http://dx.doi.org/10.1016/j.gr.2020.05.011","http://dx.doi.org/10.1016/j.gr.2020.05.011")</f>
        <v>http://dx.doi.org/10.1016/j.gr.2020.05.011</v>
      </c>
      <c r="BG436" t="s">
        <v>74</v>
      </c>
      <c r="BH436" t="s">
        <v>74</v>
      </c>
      <c r="BI436">
        <v>18</v>
      </c>
      <c r="BJ436" t="s">
        <v>534</v>
      </c>
      <c r="BK436" t="s">
        <v>100</v>
      </c>
      <c r="BL436" t="s">
        <v>535</v>
      </c>
      <c r="BM436" t="s">
        <v>9035</v>
      </c>
      <c r="BN436" t="s">
        <v>74</v>
      </c>
      <c r="BO436" t="s">
        <v>258</v>
      </c>
      <c r="BP436" t="s">
        <v>74</v>
      </c>
      <c r="BQ436" t="s">
        <v>74</v>
      </c>
      <c r="BR436" t="s">
        <v>104</v>
      </c>
      <c r="BS436" t="s">
        <v>9036</v>
      </c>
      <c r="BT436" t="str">
        <f>HYPERLINK("https%3A%2F%2Fwww.webofscience.com%2Fwos%2Fwoscc%2Ffull-record%2FWOS:000567037800007","View Full Record in Web of Science")</f>
        <v>View Full Record in Web of Science</v>
      </c>
    </row>
    <row r="437" spans="1:72" x14ac:dyDescent="0.15">
      <c r="A437" t="s">
        <v>72</v>
      </c>
      <c r="B437" t="s">
        <v>9037</v>
      </c>
      <c r="C437" t="s">
        <v>74</v>
      </c>
      <c r="D437" t="s">
        <v>74</v>
      </c>
      <c r="E437" t="s">
        <v>74</v>
      </c>
      <c r="F437" t="s">
        <v>9038</v>
      </c>
      <c r="G437" t="s">
        <v>74</v>
      </c>
      <c r="H437" t="s">
        <v>74</v>
      </c>
      <c r="I437" t="s">
        <v>9039</v>
      </c>
      <c r="J437" t="s">
        <v>1559</v>
      </c>
      <c r="K437" t="s">
        <v>74</v>
      </c>
      <c r="L437" t="s">
        <v>74</v>
      </c>
      <c r="M437" t="s">
        <v>78</v>
      </c>
      <c r="N437" t="s">
        <v>79</v>
      </c>
      <c r="O437" t="s">
        <v>74</v>
      </c>
      <c r="P437" t="s">
        <v>74</v>
      </c>
      <c r="Q437" t="s">
        <v>74</v>
      </c>
      <c r="R437" t="s">
        <v>74</v>
      </c>
      <c r="S437" t="s">
        <v>74</v>
      </c>
      <c r="T437" t="s">
        <v>9040</v>
      </c>
      <c r="U437" t="s">
        <v>9041</v>
      </c>
      <c r="V437" t="s">
        <v>9042</v>
      </c>
      <c r="W437" t="s">
        <v>9043</v>
      </c>
      <c r="X437" t="s">
        <v>9044</v>
      </c>
      <c r="Y437" t="s">
        <v>9045</v>
      </c>
      <c r="Z437" t="s">
        <v>9046</v>
      </c>
      <c r="AA437" t="s">
        <v>9047</v>
      </c>
      <c r="AB437" t="s">
        <v>9048</v>
      </c>
      <c r="AC437" t="s">
        <v>9049</v>
      </c>
      <c r="AD437" t="s">
        <v>9050</v>
      </c>
      <c r="AE437" t="s">
        <v>9051</v>
      </c>
      <c r="AF437" t="s">
        <v>74</v>
      </c>
      <c r="AG437">
        <v>39</v>
      </c>
      <c r="AH437">
        <v>8</v>
      </c>
      <c r="AI437">
        <v>9</v>
      </c>
      <c r="AJ437">
        <v>1</v>
      </c>
      <c r="AK437">
        <v>19</v>
      </c>
      <c r="AL437" t="s">
        <v>1572</v>
      </c>
      <c r="AM437" t="s">
        <v>1407</v>
      </c>
      <c r="AN437" t="s">
        <v>1573</v>
      </c>
      <c r="AO437" t="s">
        <v>1574</v>
      </c>
      <c r="AP437" t="s">
        <v>1575</v>
      </c>
      <c r="AQ437" t="s">
        <v>74</v>
      </c>
      <c r="AR437" t="s">
        <v>1576</v>
      </c>
      <c r="AS437" t="s">
        <v>1577</v>
      </c>
      <c r="AT437" t="s">
        <v>6558</v>
      </c>
      <c r="AU437">
        <v>2020</v>
      </c>
      <c r="AV437">
        <v>120</v>
      </c>
      <c r="AW437" t="s">
        <v>74</v>
      </c>
      <c r="AX437" t="s">
        <v>74</v>
      </c>
      <c r="AY437" t="s">
        <v>74</v>
      </c>
      <c r="AZ437" t="s">
        <v>74</v>
      </c>
      <c r="BA437" t="s">
        <v>74</v>
      </c>
      <c r="BB437" t="s">
        <v>74</v>
      </c>
      <c r="BC437" t="s">
        <v>74</v>
      </c>
      <c r="BD437">
        <v>104126</v>
      </c>
      <c r="BE437" t="s">
        <v>9052</v>
      </c>
      <c r="BF437" t="str">
        <f>HYPERLINK("http://dx.doi.org/10.1016/j.marpol.2020.104126","http://dx.doi.org/10.1016/j.marpol.2020.104126")</f>
        <v>http://dx.doi.org/10.1016/j.marpol.2020.104126</v>
      </c>
      <c r="BG437" t="s">
        <v>74</v>
      </c>
      <c r="BH437" t="s">
        <v>74</v>
      </c>
      <c r="BI437">
        <v>7</v>
      </c>
      <c r="BJ437" t="s">
        <v>1579</v>
      </c>
      <c r="BK437" t="s">
        <v>1580</v>
      </c>
      <c r="BL437" t="s">
        <v>1581</v>
      </c>
      <c r="BM437" t="s">
        <v>9053</v>
      </c>
      <c r="BN437" t="s">
        <v>74</v>
      </c>
      <c r="BO437" t="s">
        <v>74</v>
      </c>
      <c r="BP437" t="s">
        <v>74</v>
      </c>
      <c r="BQ437" t="s">
        <v>74</v>
      </c>
      <c r="BR437" t="s">
        <v>104</v>
      </c>
      <c r="BS437" t="s">
        <v>9054</v>
      </c>
      <c r="BT437" t="str">
        <f>HYPERLINK("https%3A%2F%2Fwww.webofscience.com%2Fwos%2Fwoscc%2Ffull-record%2FWOS:000567444700013","View Full Record in Web of Science")</f>
        <v>View Full Record in Web of Science</v>
      </c>
    </row>
    <row r="438" spans="1:72" x14ac:dyDescent="0.15">
      <c r="A438" t="s">
        <v>72</v>
      </c>
      <c r="B438" t="s">
        <v>9055</v>
      </c>
      <c r="C438" t="s">
        <v>74</v>
      </c>
      <c r="D438" t="s">
        <v>74</v>
      </c>
      <c r="E438" t="s">
        <v>74</v>
      </c>
      <c r="F438" t="s">
        <v>9056</v>
      </c>
      <c r="G438" t="s">
        <v>74</v>
      </c>
      <c r="H438" t="s">
        <v>74</v>
      </c>
      <c r="I438" t="s">
        <v>9057</v>
      </c>
      <c r="J438" t="s">
        <v>9058</v>
      </c>
      <c r="K438" t="s">
        <v>74</v>
      </c>
      <c r="L438" t="s">
        <v>74</v>
      </c>
      <c r="M438" t="s">
        <v>78</v>
      </c>
      <c r="N438" t="s">
        <v>79</v>
      </c>
      <c r="O438" t="s">
        <v>74</v>
      </c>
      <c r="P438" t="s">
        <v>74</v>
      </c>
      <c r="Q438" t="s">
        <v>74</v>
      </c>
      <c r="R438" t="s">
        <v>74</v>
      </c>
      <c r="S438" t="s">
        <v>74</v>
      </c>
      <c r="T438" t="s">
        <v>9059</v>
      </c>
      <c r="U438" t="s">
        <v>9060</v>
      </c>
      <c r="V438" t="s">
        <v>9061</v>
      </c>
      <c r="W438" t="s">
        <v>9062</v>
      </c>
      <c r="X438" t="s">
        <v>9063</v>
      </c>
      <c r="Y438" t="s">
        <v>9064</v>
      </c>
      <c r="Z438" t="s">
        <v>9065</v>
      </c>
      <c r="AA438" t="s">
        <v>9066</v>
      </c>
      <c r="AB438" t="s">
        <v>9067</v>
      </c>
      <c r="AC438" t="s">
        <v>9068</v>
      </c>
      <c r="AD438" t="s">
        <v>9069</v>
      </c>
      <c r="AE438" t="s">
        <v>9070</v>
      </c>
      <c r="AF438" t="s">
        <v>74</v>
      </c>
      <c r="AG438">
        <v>57</v>
      </c>
      <c r="AH438">
        <v>17</v>
      </c>
      <c r="AI438">
        <v>17</v>
      </c>
      <c r="AJ438">
        <v>0</v>
      </c>
      <c r="AK438">
        <v>9</v>
      </c>
      <c r="AL438" t="s">
        <v>1522</v>
      </c>
      <c r="AM438" t="s">
        <v>1407</v>
      </c>
      <c r="AN438" t="s">
        <v>1523</v>
      </c>
      <c r="AO438" t="s">
        <v>9071</v>
      </c>
      <c r="AP438" t="s">
        <v>9072</v>
      </c>
      <c r="AQ438" t="s">
        <v>74</v>
      </c>
      <c r="AR438" t="s">
        <v>9073</v>
      </c>
      <c r="AS438" t="s">
        <v>9074</v>
      </c>
      <c r="AT438" t="s">
        <v>6558</v>
      </c>
      <c r="AU438">
        <v>2020</v>
      </c>
      <c r="AV438">
        <v>159</v>
      </c>
      <c r="AW438" t="s">
        <v>74</v>
      </c>
      <c r="AX438" t="s">
        <v>74</v>
      </c>
      <c r="AY438" t="s">
        <v>74</v>
      </c>
      <c r="AZ438" t="s">
        <v>74</v>
      </c>
      <c r="BA438" t="s">
        <v>74</v>
      </c>
      <c r="BB438">
        <v>399</v>
      </c>
      <c r="BC438">
        <v>413</v>
      </c>
      <c r="BD438" t="s">
        <v>74</v>
      </c>
      <c r="BE438" t="s">
        <v>9075</v>
      </c>
      <c r="BF438" t="str">
        <f>HYPERLINK("http://dx.doi.org/10.1016/j.renene.2020.05.109","http://dx.doi.org/10.1016/j.renene.2020.05.109")</f>
        <v>http://dx.doi.org/10.1016/j.renene.2020.05.109</v>
      </c>
      <c r="BG438" t="s">
        <v>74</v>
      </c>
      <c r="BH438" t="s">
        <v>74</v>
      </c>
      <c r="BI438">
        <v>15</v>
      </c>
      <c r="BJ438" t="s">
        <v>9076</v>
      </c>
      <c r="BK438" t="s">
        <v>100</v>
      </c>
      <c r="BL438" t="s">
        <v>9077</v>
      </c>
      <c r="BM438" t="s">
        <v>9078</v>
      </c>
      <c r="BN438" t="s">
        <v>74</v>
      </c>
      <c r="BO438" t="s">
        <v>74</v>
      </c>
      <c r="BP438" t="s">
        <v>74</v>
      </c>
      <c r="BQ438" t="s">
        <v>74</v>
      </c>
      <c r="BR438" t="s">
        <v>104</v>
      </c>
      <c r="BS438" t="s">
        <v>9079</v>
      </c>
      <c r="BT438" t="str">
        <f>HYPERLINK("https%3A%2F%2Fwww.webofscience.com%2Fwos%2Fwoscc%2Ffull-record%2FWOS:000565571000002","View Full Record in Web of Science")</f>
        <v>View Full Record in Web of Science</v>
      </c>
    </row>
    <row r="439" spans="1:72" x14ac:dyDescent="0.15">
      <c r="A439" t="s">
        <v>72</v>
      </c>
      <c r="B439" t="s">
        <v>9080</v>
      </c>
      <c r="C439" t="s">
        <v>74</v>
      </c>
      <c r="D439" t="s">
        <v>74</v>
      </c>
      <c r="E439" t="s">
        <v>74</v>
      </c>
      <c r="F439" t="s">
        <v>9081</v>
      </c>
      <c r="G439" t="s">
        <v>74</v>
      </c>
      <c r="H439" t="s">
        <v>74</v>
      </c>
      <c r="I439" t="s">
        <v>9082</v>
      </c>
      <c r="J439" t="s">
        <v>9083</v>
      </c>
      <c r="K439" t="s">
        <v>74</v>
      </c>
      <c r="L439" t="s">
        <v>74</v>
      </c>
      <c r="M439" t="s">
        <v>78</v>
      </c>
      <c r="N439" t="s">
        <v>79</v>
      </c>
      <c r="O439" t="s">
        <v>74</v>
      </c>
      <c r="P439" t="s">
        <v>74</v>
      </c>
      <c r="Q439" t="s">
        <v>74</v>
      </c>
      <c r="R439" t="s">
        <v>74</v>
      </c>
      <c r="S439" t="s">
        <v>74</v>
      </c>
      <c r="T439" t="s">
        <v>9084</v>
      </c>
      <c r="U439" t="s">
        <v>9085</v>
      </c>
      <c r="V439" t="s">
        <v>9086</v>
      </c>
      <c r="W439" t="s">
        <v>9087</v>
      </c>
      <c r="X439" t="s">
        <v>9088</v>
      </c>
      <c r="Y439" t="s">
        <v>9089</v>
      </c>
      <c r="Z439" t="s">
        <v>9090</v>
      </c>
      <c r="AA439" t="s">
        <v>9091</v>
      </c>
      <c r="AB439" t="s">
        <v>9092</v>
      </c>
      <c r="AC439" t="s">
        <v>9093</v>
      </c>
      <c r="AD439" t="s">
        <v>9094</v>
      </c>
      <c r="AE439" t="s">
        <v>9095</v>
      </c>
      <c r="AF439" t="s">
        <v>74</v>
      </c>
      <c r="AG439">
        <v>35</v>
      </c>
      <c r="AH439">
        <v>3</v>
      </c>
      <c r="AI439">
        <v>3</v>
      </c>
      <c r="AJ439">
        <v>3</v>
      </c>
      <c r="AK439">
        <v>24</v>
      </c>
      <c r="AL439" t="s">
        <v>275</v>
      </c>
      <c r="AM439" t="s">
        <v>276</v>
      </c>
      <c r="AN439" t="s">
        <v>277</v>
      </c>
      <c r="AO439" t="s">
        <v>9096</v>
      </c>
      <c r="AP439" t="s">
        <v>9097</v>
      </c>
      <c r="AQ439" t="s">
        <v>74</v>
      </c>
      <c r="AR439" t="s">
        <v>9098</v>
      </c>
      <c r="AS439" t="s">
        <v>9099</v>
      </c>
      <c r="AT439" t="s">
        <v>1163</v>
      </c>
      <c r="AU439">
        <v>2020</v>
      </c>
      <c r="AV439">
        <v>160</v>
      </c>
      <c r="AW439" t="s">
        <v>74</v>
      </c>
      <c r="AX439" t="s">
        <v>74</v>
      </c>
      <c r="AY439" t="s">
        <v>74</v>
      </c>
      <c r="AZ439" t="s">
        <v>74</v>
      </c>
      <c r="BA439" t="s">
        <v>74</v>
      </c>
      <c r="BB439">
        <v>1101</v>
      </c>
      <c r="BC439">
        <v>1113</v>
      </c>
      <c r="BD439" t="s">
        <v>74</v>
      </c>
      <c r="BE439" t="s">
        <v>9100</v>
      </c>
      <c r="BF439" t="str">
        <f>HYPERLINK("http://dx.doi.org/10.1016/j.ijbiomac.2020.05.144","http://dx.doi.org/10.1016/j.ijbiomac.2020.05.144")</f>
        <v>http://dx.doi.org/10.1016/j.ijbiomac.2020.05.144</v>
      </c>
      <c r="BG439" t="s">
        <v>74</v>
      </c>
      <c r="BH439" t="s">
        <v>74</v>
      </c>
      <c r="BI439">
        <v>13</v>
      </c>
      <c r="BJ439" t="s">
        <v>9101</v>
      </c>
      <c r="BK439" t="s">
        <v>100</v>
      </c>
      <c r="BL439" t="s">
        <v>9102</v>
      </c>
      <c r="BM439" t="s">
        <v>9103</v>
      </c>
      <c r="BN439">
        <v>32473222</v>
      </c>
      <c r="BO439" t="s">
        <v>74</v>
      </c>
      <c r="BP439" t="s">
        <v>74</v>
      </c>
      <c r="BQ439" t="s">
        <v>74</v>
      </c>
      <c r="BR439" t="s">
        <v>104</v>
      </c>
      <c r="BS439" t="s">
        <v>9104</v>
      </c>
      <c r="BT439" t="str">
        <f>HYPERLINK("https%3A%2F%2Fwww.webofscience.com%2Fwos%2Fwoscc%2Ffull-record%2FWOS:000564751600007","View Full Record in Web of Science")</f>
        <v>View Full Record in Web of Science</v>
      </c>
    </row>
    <row r="440" spans="1:72" x14ac:dyDescent="0.15">
      <c r="A440" t="s">
        <v>72</v>
      </c>
      <c r="B440" t="s">
        <v>9105</v>
      </c>
      <c r="C440" t="s">
        <v>74</v>
      </c>
      <c r="D440" t="s">
        <v>74</v>
      </c>
      <c r="E440" t="s">
        <v>74</v>
      </c>
      <c r="F440" t="s">
        <v>9106</v>
      </c>
      <c r="G440" t="s">
        <v>74</v>
      </c>
      <c r="H440" t="s">
        <v>74</v>
      </c>
      <c r="I440" t="s">
        <v>9107</v>
      </c>
      <c r="J440" t="s">
        <v>3113</v>
      </c>
      <c r="K440" t="s">
        <v>74</v>
      </c>
      <c r="L440" t="s">
        <v>74</v>
      </c>
      <c r="M440" t="s">
        <v>78</v>
      </c>
      <c r="N440" t="s">
        <v>79</v>
      </c>
      <c r="O440" t="s">
        <v>74</v>
      </c>
      <c r="P440" t="s">
        <v>74</v>
      </c>
      <c r="Q440" t="s">
        <v>74</v>
      </c>
      <c r="R440" t="s">
        <v>74</v>
      </c>
      <c r="S440" t="s">
        <v>74</v>
      </c>
      <c r="T440" t="s">
        <v>9108</v>
      </c>
      <c r="U440" t="s">
        <v>9109</v>
      </c>
      <c r="V440" t="s">
        <v>9110</v>
      </c>
      <c r="W440" t="s">
        <v>9111</v>
      </c>
      <c r="X440" t="s">
        <v>9112</v>
      </c>
      <c r="Y440" t="s">
        <v>9113</v>
      </c>
      <c r="Z440" t="s">
        <v>9114</v>
      </c>
      <c r="AA440" t="s">
        <v>74</v>
      </c>
      <c r="AB440" t="s">
        <v>9115</v>
      </c>
      <c r="AC440" t="s">
        <v>9116</v>
      </c>
      <c r="AD440" t="s">
        <v>456</v>
      </c>
      <c r="AE440" t="s">
        <v>9117</v>
      </c>
      <c r="AF440" t="s">
        <v>74</v>
      </c>
      <c r="AG440">
        <v>60</v>
      </c>
      <c r="AH440">
        <v>8</v>
      </c>
      <c r="AI440">
        <v>8</v>
      </c>
      <c r="AJ440">
        <v>2</v>
      </c>
      <c r="AK440">
        <v>30</v>
      </c>
      <c r="AL440" t="s">
        <v>275</v>
      </c>
      <c r="AM440" t="s">
        <v>276</v>
      </c>
      <c r="AN440" t="s">
        <v>277</v>
      </c>
      <c r="AO440" t="s">
        <v>3124</v>
      </c>
      <c r="AP440" t="s">
        <v>3125</v>
      </c>
      <c r="AQ440" t="s">
        <v>74</v>
      </c>
      <c r="AR440" t="s">
        <v>3126</v>
      </c>
      <c r="AS440" t="s">
        <v>3127</v>
      </c>
      <c r="AT440" t="s">
        <v>6558</v>
      </c>
      <c r="AU440">
        <v>2020</v>
      </c>
      <c r="AV440">
        <v>428</v>
      </c>
      <c r="AW440" t="s">
        <v>74</v>
      </c>
      <c r="AX440" t="s">
        <v>74</v>
      </c>
      <c r="AY440" t="s">
        <v>74</v>
      </c>
      <c r="AZ440" t="s">
        <v>74</v>
      </c>
      <c r="BA440" t="s">
        <v>74</v>
      </c>
      <c r="BB440" t="s">
        <v>74</v>
      </c>
      <c r="BC440" t="s">
        <v>74</v>
      </c>
      <c r="BD440">
        <v>106286</v>
      </c>
      <c r="BE440" t="s">
        <v>9118</v>
      </c>
      <c r="BF440" t="str">
        <f>HYPERLINK("http://dx.doi.org/10.1016/j.margeo.2020.106286","http://dx.doi.org/10.1016/j.margeo.2020.106286")</f>
        <v>http://dx.doi.org/10.1016/j.margeo.2020.106286</v>
      </c>
      <c r="BG440" t="s">
        <v>74</v>
      </c>
      <c r="BH440" t="s">
        <v>74</v>
      </c>
      <c r="BI440">
        <v>11</v>
      </c>
      <c r="BJ440" t="s">
        <v>3129</v>
      </c>
      <c r="BK440" t="s">
        <v>100</v>
      </c>
      <c r="BL440" t="s">
        <v>3130</v>
      </c>
      <c r="BM440" t="s">
        <v>9119</v>
      </c>
      <c r="BN440" t="s">
        <v>74</v>
      </c>
      <c r="BO440" t="s">
        <v>74</v>
      </c>
      <c r="BP440" t="s">
        <v>74</v>
      </c>
      <c r="BQ440" t="s">
        <v>74</v>
      </c>
      <c r="BR440" t="s">
        <v>104</v>
      </c>
      <c r="BS440" t="s">
        <v>9120</v>
      </c>
      <c r="BT440" t="str">
        <f>HYPERLINK("https%3A%2F%2Fwww.webofscience.com%2Fwos%2Fwoscc%2Ffull-record%2FWOS:000561216500017","View Full Record in Web of Science")</f>
        <v>View Full Record in Web of Science</v>
      </c>
    </row>
    <row r="441" spans="1:72" x14ac:dyDescent="0.15">
      <c r="A441" t="s">
        <v>72</v>
      </c>
      <c r="B441" t="s">
        <v>9121</v>
      </c>
      <c r="C441" t="s">
        <v>74</v>
      </c>
      <c r="D441" t="s">
        <v>74</v>
      </c>
      <c r="E441" t="s">
        <v>74</v>
      </c>
      <c r="F441" t="s">
        <v>9122</v>
      </c>
      <c r="G441" t="s">
        <v>74</v>
      </c>
      <c r="H441" t="s">
        <v>74</v>
      </c>
      <c r="I441" t="s">
        <v>9123</v>
      </c>
      <c r="J441" t="s">
        <v>9124</v>
      </c>
      <c r="K441" t="s">
        <v>74</v>
      </c>
      <c r="L441" t="s">
        <v>74</v>
      </c>
      <c r="M441" t="s">
        <v>78</v>
      </c>
      <c r="N441" t="s">
        <v>79</v>
      </c>
      <c r="O441" t="s">
        <v>74</v>
      </c>
      <c r="P441" t="s">
        <v>74</v>
      </c>
      <c r="Q441" t="s">
        <v>74</v>
      </c>
      <c r="R441" t="s">
        <v>74</v>
      </c>
      <c r="S441" t="s">
        <v>74</v>
      </c>
      <c r="T441" t="s">
        <v>9125</v>
      </c>
      <c r="U441" t="s">
        <v>9126</v>
      </c>
      <c r="V441" t="s">
        <v>9127</v>
      </c>
      <c r="W441" t="s">
        <v>9128</v>
      </c>
      <c r="X441" t="s">
        <v>9129</v>
      </c>
      <c r="Y441" t="s">
        <v>9130</v>
      </c>
      <c r="Z441" t="s">
        <v>9131</v>
      </c>
      <c r="AA441" t="s">
        <v>9132</v>
      </c>
      <c r="AB441" t="s">
        <v>9133</v>
      </c>
      <c r="AC441" t="s">
        <v>9134</v>
      </c>
      <c r="AD441" t="s">
        <v>9135</v>
      </c>
      <c r="AE441" t="s">
        <v>9136</v>
      </c>
      <c r="AF441" t="s">
        <v>74</v>
      </c>
      <c r="AG441">
        <v>62</v>
      </c>
      <c r="AH441">
        <v>8</v>
      </c>
      <c r="AI441">
        <v>9</v>
      </c>
      <c r="AJ441">
        <v>4</v>
      </c>
      <c r="AK441">
        <v>21</v>
      </c>
      <c r="AL441" t="s">
        <v>1522</v>
      </c>
      <c r="AM441" t="s">
        <v>1407</v>
      </c>
      <c r="AN441" t="s">
        <v>1523</v>
      </c>
      <c r="AO441" t="s">
        <v>9137</v>
      </c>
      <c r="AP441" t="s">
        <v>9138</v>
      </c>
      <c r="AQ441" t="s">
        <v>74</v>
      </c>
      <c r="AR441" t="s">
        <v>9139</v>
      </c>
      <c r="AS441" t="s">
        <v>9140</v>
      </c>
      <c r="AT441" t="s">
        <v>1163</v>
      </c>
      <c r="AU441">
        <v>2020</v>
      </c>
      <c r="AV441">
        <v>238</v>
      </c>
      <c r="AW441" t="s">
        <v>74</v>
      </c>
      <c r="AX441" t="s">
        <v>74</v>
      </c>
      <c r="AY441" t="s">
        <v>74</v>
      </c>
      <c r="AZ441" t="s">
        <v>74</v>
      </c>
      <c r="BA441" t="s">
        <v>74</v>
      </c>
      <c r="BB441" t="s">
        <v>74</v>
      </c>
      <c r="BC441" t="s">
        <v>74</v>
      </c>
      <c r="BD441">
        <v>117743</v>
      </c>
      <c r="BE441" t="s">
        <v>9141</v>
      </c>
      <c r="BF441" t="str">
        <f>HYPERLINK("http://dx.doi.org/10.1016/j.atmosenv.2020.117743","http://dx.doi.org/10.1016/j.atmosenv.2020.117743")</f>
        <v>http://dx.doi.org/10.1016/j.atmosenv.2020.117743</v>
      </c>
      <c r="BG441" t="s">
        <v>74</v>
      </c>
      <c r="BH441" t="s">
        <v>74</v>
      </c>
      <c r="BI441">
        <v>9</v>
      </c>
      <c r="BJ441" t="s">
        <v>1027</v>
      </c>
      <c r="BK441" t="s">
        <v>100</v>
      </c>
      <c r="BL441" t="s">
        <v>1028</v>
      </c>
      <c r="BM441" t="s">
        <v>9142</v>
      </c>
      <c r="BN441" t="s">
        <v>74</v>
      </c>
      <c r="BO441" t="s">
        <v>1188</v>
      </c>
      <c r="BP441" t="s">
        <v>74</v>
      </c>
      <c r="BQ441" t="s">
        <v>74</v>
      </c>
      <c r="BR441" t="s">
        <v>104</v>
      </c>
      <c r="BS441" t="s">
        <v>9143</v>
      </c>
      <c r="BT441" t="str">
        <f>HYPERLINK("https%3A%2F%2Fwww.webofscience.com%2Fwos%2Fwoscc%2Ffull-record%2FWOS:000558539100016","View Full Record in Web of Science")</f>
        <v>View Full Record in Web of Science</v>
      </c>
    </row>
    <row r="442" spans="1:72" x14ac:dyDescent="0.15">
      <c r="A442" t="s">
        <v>72</v>
      </c>
      <c r="B442" t="s">
        <v>9144</v>
      </c>
      <c r="C442" t="s">
        <v>74</v>
      </c>
      <c r="D442" t="s">
        <v>74</v>
      </c>
      <c r="E442" t="s">
        <v>74</v>
      </c>
      <c r="F442" t="s">
        <v>9145</v>
      </c>
      <c r="G442" t="s">
        <v>74</v>
      </c>
      <c r="H442" t="s">
        <v>74</v>
      </c>
      <c r="I442" t="s">
        <v>9146</v>
      </c>
      <c r="J442" t="s">
        <v>9147</v>
      </c>
      <c r="K442" t="s">
        <v>74</v>
      </c>
      <c r="L442" t="s">
        <v>74</v>
      </c>
      <c r="M442" t="s">
        <v>78</v>
      </c>
      <c r="N442" t="s">
        <v>79</v>
      </c>
      <c r="O442" t="s">
        <v>74</v>
      </c>
      <c r="P442" t="s">
        <v>74</v>
      </c>
      <c r="Q442" t="s">
        <v>74</v>
      </c>
      <c r="R442" t="s">
        <v>74</v>
      </c>
      <c r="S442" t="s">
        <v>74</v>
      </c>
      <c r="T442" t="s">
        <v>9148</v>
      </c>
      <c r="U442" t="s">
        <v>9149</v>
      </c>
      <c r="V442" t="s">
        <v>9150</v>
      </c>
      <c r="W442" t="s">
        <v>9151</v>
      </c>
      <c r="X442" t="s">
        <v>74</v>
      </c>
      <c r="Y442" t="s">
        <v>9152</v>
      </c>
      <c r="Z442" t="s">
        <v>9153</v>
      </c>
      <c r="AA442" t="s">
        <v>74</v>
      </c>
      <c r="AB442" t="s">
        <v>9154</v>
      </c>
      <c r="AC442" t="s">
        <v>74</v>
      </c>
      <c r="AD442" t="s">
        <v>74</v>
      </c>
      <c r="AE442" t="s">
        <v>74</v>
      </c>
      <c r="AF442" t="s">
        <v>74</v>
      </c>
      <c r="AG442">
        <v>22</v>
      </c>
      <c r="AH442">
        <v>2</v>
      </c>
      <c r="AI442">
        <v>2</v>
      </c>
      <c r="AJ442">
        <v>0</v>
      </c>
      <c r="AK442">
        <v>3</v>
      </c>
      <c r="AL442" t="s">
        <v>275</v>
      </c>
      <c r="AM442" t="s">
        <v>276</v>
      </c>
      <c r="AN442" t="s">
        <v>277</v>
      </c>
      <c r="AO442" t="s">
        <v>9155</v>
      </c>
      <c r="AP442" t="s">
        <v>9156</v>
      </c>
      <c r="AQ442" t="s">
        <v>74</v>
      </c>
      <c r="AR442" t="s">
        <v>9157</v>
      </c>
      <c r="AS442" t="s">
        <v>9158</v>
      </c>
      <c r="AT442" t="s">
        <v>6558</v>
      </c>
      <c r="AU442">
        <v>2020</v>
      </c>
      <c r="AV442">
        <v>178</v>
      </c>
      <c r="AW442" t="s">
        <v>74</v>
      </c>
      <c r="AX442" t="s">
        <v>74</v>
      </c>
      <c r="AY442" t="s">
        <v>74</v>
      </c>
      <c r="AZ442" t="s">
        <v>74</v>
      </c>
      <c r="BA442" t="s">
        <v>74</v>
      </c>
      <c r="BB442" t="s">
        <v>74</v>
      </c>
      <c r="BC442" t="s">
        <v>74</v>
      </c>
      <c r="BD442">
        <v>103124</v>
      </c>
      <c r="BE442" t="s">
        <v>9159</v>
      </c>
      <c r="BF442" t="str">
        <f>HYPERLINK("http://dx.doi.org/10.1016/j.coldregions.2020.103124","http://dx.doi.org/10.1016/j.coldregions.2020.103124")</f>
        <v>http://dx.doi.org/10.1016/j.coldregions.2020.103124</v>
      </c>
      <c r="BG442" t="s">
        <v>74</v>
      </c>
      <c r="BH442" t="s">
        <v>74</v>
      </c>
      <c r="BI442">
        <v>13</v>
      </c>
      <c r="BJ442" t="s">
        <v>9160</v>
      </c>
      <c r="BK442" t="s">
        <v>100</v>
      </c>
      <c r="BL442" t="s">
        <v>9161</v>
      </c>
      <c r="BM442" t="s">
        <v>9162</v>
      </c>
      <c r="BN442" t="s">
        <v>74</v>
      </c>
      <c r="BO442" t="s">
        <v>74</v>
      </c>
      <c r="BP442" t="s">
        <v>74</v>
      </c>
      <c r="BQ442" t="s">
        <v>74</v>
      </c>
      <c r="BR442" t="s">
        <v>104</v>
      </c>
      <c r="BS442" t="s">
        <v>9163</v>
      </c>
      <c r="BT442" t="str">
        <f>HYPERLINK("https%3A%2F%2Fwww.webofscience.com%2Fwos%2Fwoscc%2Ffull-record%2FWOS:000557922900011","View Full Record in Web of Science")</f>
        <v>View Full Record in Web of Science</v>
      </c>
    </row>
    <row r="443" spans="1:72" x14ac:dyDescent="0.15">
      <c r="A443" t="s">
        <v>72</v>
      </c>
      <c r="B443" t="s">
        <v>9164</v>
      </c>
      <c r="C443" t="s">
        <v>74</v>
      </c>
      <c r="D443" t="s">
        <v>74</v>
      </c>
      <c r="E443" t="s">
        <v>74</v>
      </c>
      <c r="F443" t="s">
        <v>9165</v>
      </c>
      <c r="G443" t="s">
        <v>74</v>
      </c>
      <c r="H443" t="s">
        <v>74</v>
      </c>
      <c r="I443" t="s">
        <v>9166</v>
      </c>
      <c r="J443" t="s">
        <v>9147</v>
      </c>
      <c r="K443" t="s">
        <v>74</v>
      </c>
      <c r="L443" t="s">
        <v>74</v>
      </c>
      <c r="M443" t="s">
        <v>78</v>
      </c>
      <c r="N443" t="s">
        <v>79</v>
      </c>
      <c r="O443" t="s">
        <v>74</v>
      </c>
      <c r="P443" t="s">
        <v>74</v>
      </c>
      <c r="Q443" t="s">
        <v>74</v>
      </c>
      <c r="R443" t="s">
        <v>74</v>
      </c>
      <c r="S443" t="s">
        <v>74</v>
      </c>
      <c r="T443" t="s">
        <v>9167</v>
      </c>
      <c r="U443" t="s">
        <v>9168</v>
      </c>
      <c r="V443" t="s">
        <v>9169</v>
      </c>
      <c r="W443" t="s">
        <v>9170</v>
      </c>
      <c r="X443" t="s">
        <v>9171</v>
      </c>
      <c r="Y443" t="s">
        <v>9172</v>
      </c>
      <c r="Z443" t="s">
        <v>9173</v>
      </c>
      <c r="AA443" t="s">
        <v>9174</v>
      </c>
      <c r="AB443" t="s">
        <v>9175</v>
      </c>
      <c r="AC443" t="s">
        <v>9176</v>
      </c>
      <c r="AD443" t="s">
        <v>9177</v>
      </c>
      <c r="AE443" t="s">
        <v>9178</v>
      </c>
      <c r="AF443" t="s">
        <v>74</v>
      </c>
      <c r="AG443">
        <v>47</v>
      </c>
      <c r="AH443">
        <v>11</v>
      </c>
      <c r="AI443">
        <v>12</v>
      </c>
      <c r="AJ443">
        <v>1</v>
      </c>
      <c r="AK443">
        <v>25</v>
      </c>
      <c r="AL443" t="s">
        <v>275</v>
      </c>
      <c r="AM443" t="s">
        <v>276</v>
      </c>
      <c r="AN443" t="s">
        <v>277</v>
      </c>
      <c r="AO443" t="s">
        <v>9155</v>
      </c>
      <c r="AP443" t="s">
        <v>9156</v>
      </c>
      <c r="AQ443" t="s">
        <v>74</v>
      </c>
      <c r="AR443" t="s">
        <v>9157</v>
      </c>
      <c r="AS443" t="s">
        <v>9158</v>
      </c>
      <c r="AT443" t="s">
        <v>6558</v>
      </c>
      <c r="AU443">
        <v>2020</v>
      </c>
      <c r="AV443">
        <v>178</v>
      </c>
      <c r="AW443" t="s">
        <v>74</v>
      </c>
      <c r="AX443" t="s">
        <v>74</v>
      </c>
      <c r="AY443" t="s">
        <v>74</v>
      </c>
      <c r="AZ443" t="s">
        <v>74</v>
      </c>
      <c r="BA443" t="s">
        <v>74</v>
      </c>
      <c r="BB443" t="s">
        <v>74</v>
      </c>
      <c r="BC443" t="s">
        <v>74</v>
      </c>
      <c r="BD443">
        <v>103128</v>
      </c>
      <c r="BE443" t="s">
        <v>9179</v>
      </c>
      <c r="BF443" t="str">
        <f>HYPERLINK("http://dx.doi.org/10.1016/j.coldregions.2020.103128","http://dx.doi.org/10.1016/j.coldregions.2020.103128")</f>
        <v>http://dx.doi.org/10.1016/j.coldregions.2020.103128</v>
      </c>
      <c r="BG443" t="s">
        <v>74</v>
      </c>
      <c r="BH443" t="s">
        <v>74</v>
      </c>
      <c r="BI443">
        <v>10</v>
      </c>
      <c r="BJ443" t="s">
        <v>9160</v>
      </c>
      <c r="BK443" t="s">
        <v>100</v>
      </c>
      <c r="BL443" t="s">
        <v>9161</v>
      </c>
      <c r="BM443" t="s">
        <v>9162</v>
      </c>
      <c r="BN443" t="s">
        <v>74</v>
      </c>
      <c r="BO443" t="s">
        <v>1894</v>
      </c>
      <c r="BP443" t="s">
        <v>74</v>
      </c>
      <c r="BQ443" t="s">
        <v>74</v>
      </c>
      <c r="BR443" t="s">
        <v>104</v>
      </c>
      <c r="BS443" t="s">
        <v>9180</v>
      </c>
      <c r="BT443" t="str">
        <f>HYPERLINK("https%3A%2F%2Fwww.webofscience.com%2Fwos%2Fwoscc%2Ffull-record%2FWOS:000557922900001","View Full Record in Web of Science")</f>
        <v>View Full Record in Web of Science</v>
      </c>
    </row>
    <row r="444" spans="1:72" x14ac:dyDescent="0.15">
      <c r="A444" t="s">
        <v>72</v>
      </c>
      <c r="B444" t="s">
        <v>9181</v>
      </c>
      <c r="C444" t="s">
        <v>74</v>
      </c>
      <c r="D444" t="s">
        <v>74</v>
      </c>
      <c r="E444" t="s">
        <v>74</v>
      </c>
      <c r="F444" t="s">
        <v>9182</v>
      </c>
      <c r="G444" t="s">
        <v>74</v>
      </c>
      <c r="H444" t="s">
        <v>74</v>
      </c>
      <c r="I444" t="s">
        <v>9183</v>
      </c>
      <c r="J444" t="s">
        <v>5387</v>
      </c>
      <c r="K444" t="s">
        <v>74</v>
      </c>
      <c r="L444" t="s">
        <v>74</v>
      </c>
      <c r="M444" t="s">
        <v>78</v>
      </c>
      <c r="N444" t="s">
        <v>79</v>
      </c>
      <c r="O444" t="s">
        <v>74</v>
      </c>
      <c r="P444" t="s">
        <v>74</v>
      </c>
      <c r="Q444" t="s">
        <v>74</v>
      </c>
      <c r="R444" t="s">
        <v>74</v>
      </c>
      <c r="S444" t="s">
        <v>74</v>
      </c>
      <c r="T444" t="s">
        <v>9184</v>
      </c>
      <c r="U444" t="s">
        <v>9185</v>
      </c>
      <c r="V444" t="s">
        <v>9186</v>
      </c>
      <c r="W444" t="s">
        <v>9187</v>
      </c>
      <c r="X444" t="s">
        <v>6874</v>
      </c>
      <c r="Y444" t="s">
        <v>9188</v>
      </c>
      <c r="Z444" t="s">
        <v>9189</v>
      </c>
      <c r="AA444" t="s">
        <v>74</v>
      </c>
      <c r="AB444" t="s">
        <v>74</v>
      </c>
      <c r="AC444" t="s">
        <v>9190</v>
      </c>
      <c r="AD444" t="s">
        <v>9190</v>
      </c>
      <c r="AE444" t="s">
        <v>9191</v>
      </c>
      <c r="AF444" t="s">
        <v>74</v>
      </c>
      <c r="AG444">
        <v>62</v>
      </c>
      <c r="AH444">
        <v>4</v>
      </c>
      <c r="AI444">
        <v>4</v>
      </c>
      <c r="AJ444">
        <v>0</v>
      </c>
      <c r="AK444">
        <v>8</v>
      </c>
      <c r="AL444" t="s">
        <v>1522</v>
      </c>
      <c r="AM444" t="s">
        <v>1407</v>
      </c>
      <c r="AN444" t="s">
        <v>1523</v>
      </c>
      <c r="AO444" t="s">
        <v>5399</v>
      </c>
      <c r="AP444" t="s">
        <v>5400</v>
      </c>
      <c r="AQ444" t="s">
        <v>74</v>
      </c>
      <c r="AR444" t="s">
        <v>5401</v>
      </c>
      <c r="AS444" t="s">
        <v>5402</v>
      </c>
      <c r="AT444" t="s">
        <v>1163</v>
      </c>
      <c r="AU444">
        <v>2020</v>
      </c>
      <c r="AV444">
        <v>207</v>
      </c>
      <c r="AW444" t="s">
        <v>74</v>
      </c>
      <c r="AX444" t="s">
        <v>74</v>
      </c>
      <c r="AY444" t="s">
        <v>74</v>
      </c>
      <c r="AZ444" t="s">
        <v>74</v>
      </c>
      <c r="BA444" t="s">
        <v>74</v>
      </c>
      <c r="BB444" t="s">
        <v>74</v>
      </c>
      <c r="BC444" t="s">
        <v>74</v>
      </c>
      <c r="BD444">
        <v>105353</v>
      </c>
      <c r="BE444" t="s">
        <v>9192</v>
      </c>
      <c r="BF444" t="str">
        <f>HYPERLINK("http://dx.doi.org/10.1016/j.jastp.2020.105353","http://dx.doi.org/10.1016/j.jastp.2020.105353")</f>
        <v>http://dx.doi.org/10.1016/j.jastp.2020.105353</v>
      </c>
      <c r="BG444" t="s">
        <v>74</v>
      </c>
      <c r="BH444" t="s">
        <v>74</v>
      </c>
      <c r="BI444">
        <v>13</v>
      </c>
      <c r="BJ444" t="s">
        <v>5404</v>
      </c>
      <c r="BK444" t="s">
        <v>100</v>
      </c>
      <c r="BL444" t="s">
        <v>5404</v>
      </c>
      <c r="BM444" t="s">
        <v>9193</v>
      </c>
      <c r="BN444" t="s">
        <v>74</v>
      </c>
      <c r="BO444" t="s">
        <v>74</v>
      </c>
      <c r="BP444" t="s">
        <v>74</v>
      </c>
      <c r="BQ444" t="s">
        <v>74</v>
      </c>
      <c r="BR444" t="s">
        <v>104</v>
      </c>
      <c r="BS444" t="s">
        <v>9194</v>
      </c>
      <c r="BT444" t="str">
        <f>HYPERLINK("https%3A%2F%2Fwww.webofscience.com%2Fwos%2Fwoscc%2Ffull-record%2FWOS:000557761900013","View Full Record in Web of Science")</f>
        <v>View Full Record in Web of Science</v>
      </c>
    </row>
    <row r="445" spans="1:72" x14ac:dyDescent="0.15">
      <c r="A445" t="s">
        <v>72</v>
      </c>
      <c r="B445" t="s">
        <v>9195</v>
      </c>
      <c r="C445" t="s">
        <v>74</v>
      </c>
      <c r="D445" t="s">
        <v>74</v>
      </c>
      <c r="E445" t="s">
        <v>74</v>
      </c>
      <c r="F445" t="s">
        <v>9196</v>
      </c>
      <c r="G445" t="s">
        <v>74</v>
      </c>
      <c r="H445" t="s">
        <v>74</v>
      </c>
      <c r="I445" t="s">
        <v>9197</v>
      </c>
      <c r="J445" t="s">
        <v>3351</v>
      </c>
      <c r="K445" t="s">
        <v>74</v>
      </c>
      <c r="L445" t="s">
        <v>74</v>
      </c>
      <c r="M445" t="s">
        <v>78</v>
      </c>
      <c r="N445" t="s">
        <v>79</v>
      </c>
      <c r="O445" t="s">
        <v>74</v>
      </c>
      <c r="P445" t="s">
        <v>74</v>
      </c>
      <c r="Q445" t="s">
        <v>74</v>
      </c>
      <c r="R445" t="s">
        <v>74</v>
      </c>
      <c r="S445" t="s">
        <v>74</v>
      </c>
      <c r="T445" t="s">
        <v>9198</v>
      </c>
      <c r="U445" t="s">
        <v>9199</v>
      </c>
      <c r="V445" t="s">
        <v>9200</v>
      </c>
      <c r="W445" t="s">
        <v>9201</v>
      </c>
      <c r="X445" t="s">
        <v>9202</v>
      </c>
      <c r="Y445" t="s">
        <v>9203</v>
      </c>
      <c r="Z445" t="s">
        <v>9204</v>
      </c>
      <c r="AA445" t="s">
        <v>9205</v>
      </c>
      <c r="AB445" t="s">
        <v>9206</v>
      </c>
      <c r="AC445" t="s">
        <v>9207</v>
      </c>
      <c r="AD445" t="s">
        <v>9208</v>
      </c>
      <c r="AE445" t="s">
        <v>9209</v>
      </c>
      <c r="AF445" t="s">
        <v>74</v>
      </c>
      <c r="AG445">
        <v>67</v>
      </c>
      <c r="AH445">
        <v>9</v>
      </c>
      <c r="AI445">
        <v>11</v>
      </c>
      <c r="AJ445">
        <v>1</v>
      </c>
      <c r="AK445">
        <v>21</v>
      </c>
      <c r="AL445" t="s">
        <v>275</v>
      </c>
      <c r="AM445" t="s">
        <v>276</v>
      </c>
      <c r="AN445" t="s">
        <v>277</v>
      </c>
      <c r="AO445" t="s">
        <v>3364</v>
      </c>
      <c r="AP445" t="s">
        <v>3365</v>
      </c>
      <c r="AQ445" t="s">
        <v>74</v>
      </c>
      <c r="AR445" t="s">
        <v>3366</v>
      </c>
      <c r="AS445" t="s">
        <v>3367</v>
      </c>
      <c r="AT445" t="s">
        <v>1163</v>
      </c>
      <c r="AU445">
        <v>2020</v>
      </c>
      <c r="AV445">
        <v>547</v>
      </c>
      <c r="AW445" t="s">
        <v>74</v>
      </c>
      <c r="AX445" t="s">
        <v>74</v>
      </c>
      <c r="AY445" t="s">
        <v>74</v>
      </c>
      <c r="AZ445" t="s">
        <v>74</v>
      </c>
      <c r="BA445" t="s">
        <v>74</v>
      </c>
      <c r="BB445" t="s">
        <v>74</v>
      </c>
      <c r="BC445" t="s">
        <v>74</v>
      </c>
      <c r="BD445">
        <v>116460</v>
      </c>
      <c r="BE445" t="s">
        <v>9210</v>
      </c>
      <c r="BF445" t="str">
        <f>HYPERLINK("http://dx.doi.org/10.1016/j.epsl.2020.116460","http://dx.doi.org/10.1016/j.epsl.2020.116460")</f>
        <v>http://dx.doi.org/10.1016/j.epsl.2020.116460</v>
      </c>
      <c r="BG445" t="s">
        <v>74</v>
      </c>
      <c r="BH445" t="s">
        <v>74</v>
      </c>
      <c r="BI445">
        <v>12</v>
      </c>
      <c r="BJ445" t="s">
        <v>1361</v>
      </c>
      <c r="BK445" t="s">
        <v>100</v>
      </c>
      <c r="BL445" t="s">
        <v>1361</v>
      </c>
      <c r="BM445" t="s">
        <v>9211</v>
      </c>
      <c r="BN445" t="s">
        <v>74</v>
      </c>
      <c r="BO445" t="s">
        <v>1188</v>
      </c>
      <c r="BP445" t="s">
        <v>74</v>
      </c>
      <c r="BQ445" t="s">
        <v>74</v>
      </c>
      <c r="BR445" t="s">
        <v>104</v>
      </c>
      <c r="BS445" t="s">
        <v>9212</v>
      </c>
      <c r="BT445" t="str">
        <f>HYPERLINK("https%3A%2F%2Fwww.webofscience.com%2Fwos%2Fwoscc%2Ffull-record%2FWOS:000557762500014","View Full Record in Web of Science")</f>
        <v>View Full Record in Web of Science</v>
      </c>
    </row>
    <row r="446" spans="1:72" x14ac:dyDescent="0.15">
      <c r="A446" t="s">
        <v>72</v>
      </c>
      <c r="B446" t="s">
        <v>9213</v>
      </c>
      <c r="C446" t="s">
        <v>74</v>
      </c>
      <c r="D446" t="s">
        <v>74</v>
      </c>
      <c r="E446" t="s">
        <v>74</v>
      </c>
      <c r="F446" t="s">
        <v>9214</v>
      </c>
      <c r="G446" t="s">
        <v>74</v>
      </c>
      <c r="H446" t="s">
        <v>74</v>
      </c>
      <c r="I446" t="s">
        <v>9215</v>
      </c>
      <c r="J446" t="s">
        <v>9216</v>
      </c>
      <c r="K446" t="s">
        <v>74</v>
      </c>
      <c r="L446" t="s">
        <v>74</v>
      </c>
      <c r="M446" t="s">
        <v>78</v>
      </c>
      <c r="N446" t="s">
        <v>79</v>
      </c>
      <c r="O446" t="s">
        <v>74</v>
      </c>
      <c r="P446" t="s">
        <v>74</v>
      </c>
      <c r="Q446" t="s">
        <v>74</v>
      </c>
      <c r="R446" t="s">
        <v>74</v>
      </c>
      <c r="S446" t="s">
        <v>74</v>
      </c>
      <c r="T446" t="s">
        <v>9217</v>
      </c>
      <c r="U446" t="s">
        <v>9218</v>
      </c>
      <c r="V446" t="s">
        <v>9219</v>
      </c>
      <c r="W446" t="s">
        <v>9220</v>
      </c>
      <c r="X446" t="s">
        <v>9221</v>
      </c>
      <c r="Y446" t="s">
        <v>9222</v>
      </c>
      <c r="Z446" t="s">
        <v>9223</v>
      </c>
      <c r="AA446" t="s">
        <v>9224</v>
      </c>
      <c r="AB446" t="s">
        <v>9225</v>
      </c>
      <c r="AC446" t="s">
        <v>9226</v>
      </c>
      <c r="AD446" t="s">
        <v>9227</v>
      </c>
      <c r="AE446" t="s">
        <v>9228</v>
      </c>
      <c r="AF446" t="s">
        <v>74</v>
      </c>
      <c r="AG446">
        <v>72</v>
      </c>
      <c r="AH446">
        <v>16</v>
      </c>
      <c r="AI446">
        <v>16</v>
      </c>
      <c r="AJ446">
        <v>2</v>
      </c>
      <c r="AK446">
        <v>19</v>
      </c>
      <c r="AL446" t="s">
        <v>1522</v>
      </c>
      <c r="AM446" t="s">
        <v>1407</v>
      </c>
      <c r="AN446" t="s">
        <v>1523</v>
      </c>
      <c r="AO446" t="s">
        <v>9229</v>
      </c>
      <c r="AP446" t="s">
        <v>74</v>
      </c>
      <c r="AQ446" t="s">
        <v>74</v>
      </c>
      <c r="AR446" t="s">
        <v>9230</v>
      </c>
      <c r="AS446" t="s">
        <v>9231</v>
      </c>
      <c r="AT446" t="s">
        <v>1163</v>
      </c>
      <c r="AU446">
        <v>2020</v>
      </c>
      <c r="AV446">
        <v>224</v>
      </c>
      <c r="AW446" t="s">
        <v>74</v>
      </c>
      <c r="AX446" t="s">
        <v>74</v>
      </c>
      <c r="AY446" t="s">
        <v>74</v>
      </c>
      <c r="AZ446" t="s">
        <v>74</v>
      </c>
      <c r="BA446" t="s">
        <v>74</v>
      </c>
      <c r="BB446" t="s">
        <v>74</v>
      </c>
      <c r="BC446" t="s">
        <v>74</v>
      </c>
      <c r="BD446">
        <v>113069</v>
      </c>
      <c r="BE446" t="s">
        <v>9232</v>
      </c>
      <c r="BF446" t="str">
        <f>HYPERLINK("http://dx.doi.org/10.1016/j.physbeh.2020.113069","http://dx.doi.org/10.1016/j.physbeh.2020.113069")</f>
        <v>http://dx.doi.org/10.1016/j.physbeh.2020.113069</v>
      </c>
      <c r="BG446" t="s">
        <v>74</v>
      </c>
      <c r="BH446" t="s">
        <v>74</v>
      </c>
      <c r="BI446">
        <v>11</v>
      </c>
      <c r="BJ446" t="s">
        <v>9233</v>
      </c>
      <c r="BK446" t="s">
        <v>255</v>
      </c>
      <c r="BL446" t="s">
        <v>9234</v>
      </c>
      <c r="BM446" t="s">
        <v>9235</v>
      </c>
      <c r="BN446">
        <v>32659395</v>
      </c>
      <c r="BO446" t="s">
        <v>1188</v>
      </c>
      <c r="BP446" t="s">
        <v>74</v>
      </c>
      <c r="BQ446" t="s">
        <v>74</v>
      </c>
      <c r="BR446" t="s">
        <v>104</v>
      </c>
      <c r="BS446" t="s">
        <v>9236</v>
      </c>
      <c r="BT446" t="str">
        <f>HYPERLINK("https%3A%2F%2Fwww.webofscience.com%2Fwos%2Fwoscc%2Ffull-record%2FWOS:000554926600045","View Full Record in Web of Science")</f>
        <v>View Full Record in Web of Science</v>
      </c>
    </row>
    <row r="447" spans="1:72" x14ac:dyDescent="0.15">
      <c r="A447" t="s">
        <v>72</v>
      </c>
      <c r="B447" t="s">
        <v>9237</v>
      </c>
      <c r="C447" t="s">
        <v>74</v>
      </c>
      <c r="D447" t="s">
        <v>74</v>
      </c>
      <c r="E447" t="s">
        <v>74</v>
      </c>
      <c r="F447" t="s">
        <v>9238</v>
      </c>
      <c r="G447" t="s">
        <v>74</v>
      </c>
      <c r="H447" t="s">
        <v>74</v>
      </c>
      <c r="I447" t="s">
        <v>9239</v>
      </c>
      <c r="J447" t="s">
        <v>2801</v>
      </c>
      <c r="K447" t="s">
        <v>74</v>
      </c>
      <c r="L447" t="s">
        <v>74</v>
      </c>
      <c r="M447" t="s">
        <v>78</v>
      </c>
      <c r="N447" t="s">
        <v>79</v>
      </c>
      <c r="O447" t="s">
        <v>74</v>
      </c>
      <c r="P447" t="s">
        <v>74</v>
      </c>
      <c r="Q447" t="s">
        <v>74</v>
      </c>
      <c r="R447" t="s">
        <v>74</v>
      </c>
      <c r="S447" t="s">
        <v>74</v>
      </c>
      <c r="T447" t="s">
        <v>9240</v>
      </c>
      <c r="U447" t="s">
        <v>9241</v>
      </c>
      <c r="V447" t="s">
        <v>9242</v>
      </c>
      <c r="W447" t="s">
        <v>9243</v>
      </c>
      <c r="X447" t="s">
        <v>9244</v>
      </c>
      <c r="Y447" t="s">
        <v>9245</v>
      </c>
      <c r="Z447" t="s">
        <v>9246</v>
      </c>
      <c r="AA447" t="s">
        <v>9247</v>
      </c>
      <c r="AB447" t="s">
        <v>9248</v>
      </c>
      <c r="AC447" t="s">
        <v>9249</v>
      </c>
      <c r="AD447" t="s">
        <v>9250</v>
      </c>
      <c r="AE447" t="s">
        <v>9251</v>
      </c>
      <c r="AF447" t="s">
        <v>74</v>
      </c>
      <c r="AG447">
        <v>78</v>
      </c>
      <c r="AH447">
        <v>8</v>
      </c>
      <c r="AI447">
        <v>9</v>
      </c>
      <c r="AJ447">
        <v>1</v>
      </c>
      <c r="AK447">
        <v>21</v>
      </c>
      <c r="AL447" t="s">
        <v>275</v>
      </c>
      <c r="AM447" t="s">
        <v>276</v>
      </c>
      <c r="AN447" t="s">
        <v>277</v>
      </c>
      <c r="AO447" t="s">
        <v>2814</v>
      </c>
      <c r="AP447" t="s">
        <v>2815</v>
      </c>
      <c r="AQ447" t="s">
        <v>74</v>
      </c>
      <c r="AR447" t="s">
        <v>2816</v>
      </c>
      <c r="AS447" t="s">
        <v>2817</v>
      </c>
      <c r="AT447" t="s">
        <v>6558</v>
      </c>
      <c r="AU447">
        <v>2020</v>
      </c>
      <c r="AV447">
        <v>117</v>
      </c>
      <c r="AW447" t="s">
        <v>74</v>
      </c>
      <c r="AX447" t="s">
        <v>74</v>
      </c>
      <c r="AY447" t="s">
        <v>74</v>
      </c>
      <c r="AZ447" t="s">
        <v>74</v>
      </c>
      <c r="BA447" t="s">
        <v>74</v>
      </c>
      <c r="BB447" t="s">
        <v>74</v>
      </c>
      <c r="BC447" t="s">
        <v>74</v>
      </c>
      <c r="BD447">
        <v>106693</v>
      </c>
      <c r="BE447" t="s">
        <v>9252</v>
      </c>
      <c r="BF447" t="str">
        <f>HYPERLINK("http://dx.doi.org/10.1016/j.ecolind.2020.106693","http://dx.doi.org/10.1016/j.ecolind.2020.106693")</f>
        <v>http://dx.doi.org/10.1016/j.ecolind.2020.106693</v>
      </c>
      <c r="BG447" t="s">
        <v>74</v>
      </c>
      <c r="BH447" t="s">
        <v>74</v>
      </c>
      <c r="BI447">
        <v>15</v>
      </c>
      <c r="BJ447" t="s">
        <v>2819</v>
      </c>
      <c r="BK447" t="s">
        <v>100</v>
      </c>
      <c r="BL447" t="s">
        <v>256</v>
      </c>
      <c r="BM447" t="s">
        <v>9253</v>
      </c>
      <c r="BN447" t="s">
        <v>74</v>
      </c>
      <c r="BO447" t="s">
        <v>1188</v>
      </c>
      <c r="BP447" t="s">
        <v>74</v>
      </c>
      <c r="BQ447" t="s">
        <v>74</v>
      </c>
      <c r="BR447" t="s">
        <v>104</v>
      </c>
      <c r="BS447" t="s">
        <v>9254</v>
      </c>
      <c r="BT447" t="str">
        <f>HYPERLINK("https%3A%2F%2Fwww.webofscience.com%2Fwos%2Fwoscc%2Ffull-record%2FWOS:000555555100008","View Full Record in Web of Science")</f>
        <v>View Full Record in Web of Science</v>
      </c>
    </row>
    <row r="448" spans="1:72" x14ac:dyDescent="0.15">
      <c r="A448" t="s">
        <v>72</v>
      </c>
      <c r="B448" t="s">
        <v>9255</v>
      </c>
      <c r="C448" t="s">
        <v>74</v>
      </c>
      <c r="D448" t="s">
        <v>74</v>
      </c>
      <c r="E448" t="s">
        <v>74</v>
      </c>
      <c r="F448" t="s">
        <v>9256</v>
      </c>
      <c r="G448" t="s">
        <v>74</v>
      </c>
      <c r="H448" t="s">
        <v>74</v>
      </c>
      <c r="I448" t="s">
        <v>9257</v>
      </c>
      <c r="J448" t="s">
        <v>9258</v>
      </c>
      <c r="K448" t="s">
        <v>74</v>
      </c>
      <c r="L448" t="s">
        <v>74</v>
      </c>
      <c r="M448" t="s">
        <v>78</v>
      </c>
      <c r="N448" t="s">
        <v>79</v>
      </c>
      <c r="O448" t="s">
        <v>74</v>
      </c>
      <c r="P448" t="s">
        <v>74</v>
      </c>
      <c r="Q448" t="s">
        <v>74</v>
      </c>
      <c r="R448" t="s">
        <v>74</v>
      </c>
      <c r="S448" t="s">
        <v>74</v>
      </c>
      <c r="T448" t="s">
        <v>74</v>
      </c>
      <c r="U448" t="s">
        <v>9259</v>
      </c>
      <c r="V448" t="s">
        <v>9260</v>
      </c>
      <c r="W448" t="s">
        <v>9261</v>
      </c>
      <c r="X448" t="s">
        <v>9262</v>
      </c>
      <c r="Y448" t="s">
        <v>9263</v>
      </c>
      <c r="Z448" t="s">
        <v>9264</v>
      </c>
      <c r="AA448" t="s">
        <v>9265</v>
      </c>
      <c r="AB448" t="s">
        <v>74</v>
      </c>
      <c r="AC448" t="s">
        <v>9266</v>
      </c>
      <c r="AD448" t="s">
        <v>9267</v>
      </c>
      <c r="AE448" t="s">
        <v>9268</v>
      </c>
      <c r="AF448" t="s">
        <v>74</v>
      </c>
      <c r="AG448">
        <v>35</v>
      </c>
      <c r="AH448">
        <v>3</v>
      </c>
      <c r="AI448">
        <v>4</v>
      </c>
      <c r="AJ448">
        <v>0</v>
      </c>
      <c r="AK448">
        <v>8</v>
      </c>
      <c r="AL448" t="s">
        <v>1522</v>
      </c>
      <c r="AM448" t="s">
        <v>1407</v>
      </c>
      <c r="AN448" t="s">
        <v>1523</v>
      </c>
      <c r="AO448" t="s">
        <v>9269</v>
      </c>
      <c r="AP448" t="s">
        <v>74</v>
      </c>
      <c r="AQ448" t="s">
        <v>74</v>
      </c>
      <c r="AR448" t="s">
        <v>9270</v>
      </c>
      <c r="AS448" t="s">
        <v>9271</v>
      </c>
      <c r="AT448" t="s">
        <v>1163</v>
      </c>
      <c r="AU448">
        <v>2020</v>
      </c>
      <c r="AV448">
        <v>190</v>
      </c>
      <c r="AW448" t="s">
        <v>74</v>
      </c>
      <c r="AX448" t="s">
        <v>74</v>
      </c>
      <c r="AY448" t="s">
        <v>74</v>
      </c>
      <c r="AZ448" t="s">
        <v>74</v>
      </c>
      <c r="BA448" t="s">
        <v>74</v>
      </c>
      <c r="BB448" t="s">
        <v>74</v>
      </c>
      <c r="BC448" t="s">
        <v>74</v>
      </c>
      <c r="BD448">
        <v>104990</v>
      </c>
      <c r="BE448" t="s">
        <v>9272</v>
      </c>
      <c r="BF448" t="str">
        <f>HYPERLINK("http://dx.doi.org/10.1016/j.pss.2020.104990","http://dx.doi.org/10.1016/j.pss.2020.104990")</f>
        <v>http://dx.doi.org/10.1016/j.pss.2020.104990</v>
      </c>
      <c r="BG448" t="s">
        <v>74</v>
      </c>
      <c r="BH448" t="s">
        <v>74</v>
      </c>
      <c r="BI448">
        <v>12</v>
      </c>
      <c r="BJ448" t="s">
        <v>1849</v>
      </c>
      <c r="BK448" t="s">
        <v>100</v>
      </c>
      <c r="BL448" t="s">
        <v>1849</v>
      </c>
      <c r="BM448" t="s">
        <v>9273</v>
      </c>
      <c r="BN448" t="s">
        <v>74</v>
      </c>
      <c r="BO448" t="s">
        <v>1188</v>
      </c>
      <c r="BP448" t="s">
        <v>74</v>
      </c>
      <c r="BQ448" t="s">
        <v>74</v>
      </c>
      <c r="BR448" t="s">
        <v>104</v>
      </c>
      <c r="BS448" t="s">
        <v>9274</v>
      </c>
      <c r="BT448" t="str">
        <f>HYPERLINK("https%3A%2F%2Fwww.webofscience.com%2Fwos%2Fwoscc%2Ffull-record%2FWOS:000555808800001","View Full Record in Web of Science")</f>
        <v>View Full Record in Web of Science</v>
      </c>
    </row>
    <row r="449" spans="1:72" x14ac:dyDescent="0.15">
      <c r="A449" t="s">
        <v>72</v>
      </c>
      <c r="B449" t="s">
        <v>9275</v>
      </c>
      <c r="C449" t="s">
        <v>74</v>
      </c>
      <c r="D449" t="s">
        <v>74</v>
      </c>
      <c r="E449" t="s">
        <v>74</v>
      </c>
      <c r="F449" t="s">
        <v>9276</v>
      </c>
      <c r="G449" t="s">
        <v>74</v>
      </c>
      <c r="H449" t="s">
        <v>74</v>
      </c>
      <c r="I449" t="s">
        <v>9277</v>
      </c>
      <c r="J449" t="s">
        <v>3204</v>
      </c>
      <c r="K449" t="s">
        <v>74</v>
      </c>
      <c r="L449" t="s">
        <v>74</v>
      </c>
      <c r="M449" t="s">
        <v>78</v>
      </c>
      <c r="N449" t="s">
        <v>79</v>
      </c>
      <c r="O449" t="s">
        <v>74</v>
      </c>
      <c r="P449" t="s">
        <v>74</v>
      </c>
      <c r="Q449" t="s">
        <v>74</v>
      </c>
      <c r="R449" t="s">
        <v>74</v>
      </c>
      <c r="S449" t="s">
        <v>74</v>
      </c>
      <c r="T449" t="s">
        <v>9278</v>
      </c>
      <c r="U449" t="s">
        <v>9279</v>
      </c>
      <c r="V449" t="s">
        <v>9280</v>
      </c>
      <c r="W449" t="s">
        <v>9281</v>
      </c>
      <c r="X449" t="s">
        <v>9282</v>
      </c>
      <c r="Y449" t="s">
        <v>9283</v>
      </c>
      <c r="Z449" t="s">
        <v>9284</v>
      </c>
      <c r="AA449" t="s">
        <v>9285</v>
      </c>
      <c r="AB449" t="s">
        <v>9286</v>
      </c>
      <c r="AC449" t="s">
        <v>9287</v>
      </c>
      <c r="AD449" t="s">
        <v>9288</v>
      </c>
      <c r="AE449" t="s">
        <v>9289</v>
      </c>
      <c r="AF449" t="s">
        <v>74</v>
      </c>
      <c r="AG449">
        <v>152</v>
      </c>
      <c r="AH449">
        <v>7</v>
      </c>
      <c r="AI449">
        <v>9</v>
      </c>
      <c r="AJ449">
        <v>0</v>
      </c>
      <c r="AK449">
        <v>10</v>
      </c>
      <c r="AL449" t="s">
        <v>1522</v>
      </c>
      <c r="AM449" t="s">
        <v>1407</v>
      </c>
      <c r="AN449" t="s">
        <v>1523</v>
      </c>
      <c r="AO449" t="s">
        <v>3217</v>
      </c>
      <c r="AP449" t="s">
        <v>74</v>
      </c>
      <c r="AQ449" t="s">
        <v>74</v>
      </c>
      <c r="AR449" t="s">
        <v>3218</v>
      </c>
      <c r="AS449" t="s">
        <v>3219</v>
      </c>
      <c r="AT449" t="s">
        <v>6558</v>
      </c>
      <c r="AU449">
        <v>2020</v>
      </c>
      <c r="AV449">
        <v>102</v>
      </c>
      <c r="AW449" t="s">
        <v>74</v>
      </c>
      <c r="AX449" t="s">
        <v>74</v>
      </c>
      <c r="AY449" t="s">
        <v>74</v>
      </c>
      <c r="AZ449" t="s">
        <v>74</v>
      </c>
      <c r="BA449" t="s">
        <v>74</v>
      </c>
      <c r="BB449" t="s">
        <v>74</v>
      </c>
      <c r="BC449" t="s">
        <v>74</v>
      </c>
      <c r="BD449">
        <v>102652</v>
      </c>
      <c r="BE449" t="s">
        <v>9290</v>
      </c>
      <c r="BF449" t="str">
        <f>HYPERLINK("http://dx.doi.org/10.1016/j.jsames.2020.102652","http://dx.doi.org/10.1016/j.jsames.2020.102652")</f>
        <v>http://dx.doi.org/10.1016/j.jsames.2020.102652</v>
      </c>
      <c r="BG449" t="s">
        <v>74</v>
      </c>
      <c r="BH449" t="s">
        <v>74</v>
      </c>
      <c r="BI449">
        <v>15</v>
      </c>
      <c r="BJ449" t="s">
        <v>534</v>
      </c>
      <c r="BK449" t="s">
        <v>100</v>
      </c>
      <c r="BL449" t="s">
        <v>535</v>
      </c>
      <c r="BM449" t="s">
        <v>9291</v>
      </c>
      <c r="BN449" t="s">
        <v>74</v>
      </c>
      <c r="BO449" t="s">
        <v>74</v>
      </c>
      <c r="BP449" t="s">
        <v>74</v>
      </c>
      <c r="BQ449" t="s">
        <v>74</v>
      </c>
      <c r="BR449" t="s">
        <v>104</v>
      </c>
      <c r="BS449" t="s">
        <v>9292</v>
      </c>
      <c r="BT449" t="str">
        <f>HYPERLINK("https%3A%2F%2Fwww.webofscience.com%2Fwos%2Fwoscc%2Ffull-record%2FWOS:000553997400011","View Full Record in Web of Science")</f>
        <v>View Full Record in Web of Science</v>
      </c>
    </row>
    <row r="450" spans="1:72" x14ac:dyDescent="0.15">
      <c r="A450" t="s">
        <v>72</v>
      </c>
      <c r="B450" t="s">
        <v>9293</v>
      </c>
      <c r="C450" t="s">
        <v>74</v>
      </c>
      <c r="D450" t="s">
        <v>74</v>
      </c>
      <c r="E450" t="s">
        <v>74</v>
      </c>
      <c r="F450" t="s">
        <v>9294</v>
      </c>
      <c r="G450" t="s">
        <v>74</v>
      </c>
      <c r="H450" t="s">
        <v>74</v>
      </c>
      <c r="I450" t="s">
        <v>9295</v>
      </c>
      <c r="J450" t="s">
        <v>263</v>
      </c>
      <c r="K450" t="s">
        <v>74</v>
      </c>
      <c r="L450" t="s">
        <v>74</v>
      </c>
      <c r="M450" t="s">
        <v>78</v>
      </c>
      <c r="N450" t="s">
        <v>79</v>
      </c>
      <c r="O450" t="s">
        <v>74</v>
      </c>
      <c r="P450" t="s">
        <v>74</v>
      </c>
      <c r="Q450" t="s">
        <v>74</v>
      </c>
      <c r="R450" t="s">
        <v>74</v>
      </c>
      <c r="S450" t="s">
        <v>74</v>
      </c>
      <c r="T450" t="s">
        <v>9296</v>
      </c>
      <c r="U450" t="s">
        <v>9297</v>
      </c>
      <c r="V450" t="s">
        <v>9298</v>
      </c>
      <c r="W450" t="s">
        <v>9299</v>
      </c>
      <c r="X450" t="s">
        <v>9300</v>
      </c>
      <c r="Y450" t="s">
        <v>9301</v>
      </c>
      <c r="Z450" t="s">
        <v>9302</v>
      </c>
      <c r="AA450" t="s">
        <v>9303</v>
      </c>
      <c r="AB450" t="s">
        <v>9304</v>
      </c>
      <c r="AC450" t="s">
        <v>9305</v>
      </c>
      <c r="AD450" t="s">
        <v>9306</v>
      </c>
      <c r="AE450" t="s">
        <v>9307</v>
      </c>
      <c r="AF450" t="s">
        <v>74</v>
      </c>
      <c r="AG450">
        <v>63</v>
      </c>
      <c r="AH450">
        <v>32</v>
      </c>
      <c r="AI450">
        <v>36</v>
      </c>
      <c r="AJ450">
        <v>2</v>
      </c>
      <c r="AK450">
        <v>60</v>
      </c>
      <c r="AL450" t="s">
        <v>275</v>
      </c>
      <c r="AM450" t="s">
        <v>276</v>
      </c>
      <c r="AN450" t="s">
        <v>277</v>
      </c>
      <c r="AO450" t="s">
        <v>278</v>
      </c>
      <c r="AP450" t="s">
        <v>279</v>
      </c>
      <c r="AQ450" t="s">
        <v>74</v>
      </c>
      <c r="AR450" t="s">
        <v>280</v>
      </c>
      <c r="AS450" t="s">
        <v>281</v>
      </c>
      <c r="AT450" t="s">
        <v>1163</v>
      </c>
      <c r="AU450">
        <v>2020</v>
      </c>
      <c r="AV450">
        <v>737</v>
      </c>
      <c r="AW450" t="s">
        <v>74</v>
      </c>
      <c r="AX450" t="s">
        <v>74</v>
      </c>
      <c r="AY450" t="s">
        <v>74</v>
      </c>
      <c r="AZ450" t="s">
        <v>74</v>
      </c>
      <c r="BA450" t="s">
        <v>74</v>
      </c>
      <c r="BB450" t="s">
        <v>74</v>
      </c>
      <c r="BC450" t="s">
        <v>74</v>
      </c>
      <c r="BD450">
        <v>140210</v>
      </c>
      <c r="BE450" t="s">
        <v>9308</v>
      </c>
      <c r="BF450" t="str">
        <f>HYPERLINK("http://dx.doi.org/10.1016/j.scitotenv.2020.140210","http://dx.doi.org/10.1016/j.scitotenv.2020.140210")</f>
        <v>http://dx.doi.org/10.1016/j.scitotenv.2020.140210</v>
      </c>
      <c r="BG450" t="s">
        <v>74</v>
      </c>
      <c r="BH450" t="s">
        <v>74</v>
      </c>
      <c r="BI450">
        <v>6</v>
      </c>
      <c r="BJ450" t="s">
        <v>283</v>
      </c>
      <c r="BK450" t="s">
        <v>100</v>
      </c>
      <c r="BL450" t="s">
        <v>284</v>
      </c>
      <c r="BM450" t="s">
        <v>9309</v>
      </c>
      <c r="BN450">
        <v>32783841</v>
      </c>
      <c r="BO450" t="s">
        <v>74</v>
      </c>
      <c r="BP450" t="s">
        <v>74</v>
      </c>
      <c r="BQ450" t="s">
        <v>74</v>
      </c>
      <c r="BR450" t="s">
        <v>104</v>
      </c>
      <c r="BS450" t="s">
        <v>9310</v>
      </c>
      <c r="BT450" t="str">
        <f>HYPERLINK("https%3A%2F%2Fwww.webofscience.com%2Fwos%2Fwoscc%2Ffull-record%2FWOS:000553721100010","View Full Record in Web of Science")</f>
        <v>View Full Record in Web of Science</v>
      </c>
    </row>
    <row r="451" spans="1:72" x14ac:dyDescent="0.15">
      <c r="A451" t="s">
        <v>72</v>
      </c>
      <c r="B451" t="s">
        <v>9311</v>
      </c>
      <c r="C451" t="s">
        <v>74</v>
      </c>
      <c r="D451" t="s">
        <v>74</v>
      </c>
      <c r="E451" t="s">
        <v>74</v>
      </c>
      <c r="F451" t="s">
        <v>9312</v>
      </c>
      <c r="G451" t="s">
        <v>74</v>
      </c>
      <c r="H451" t="s">
        <v>74</v>
      </c>
      <c r="I451" t="s">
        <v>9313</v>
      </c>
      <c r="J451" t="s">
        <v>263</v>
      </c>
      <c r="K451" t="s">
        <v>74</v>
      </c>
      <c r="L451" t="s">
        <v>74</v>
      </c>
      <c r="M451" t="s">
        <v>78</v>
      </c>
      <c r="N451" t="s">
        <v>79</v>
      </c>
      <c r="O451" t="s">
        <v>74</v>
      </c>
      <c r="P451" t="s">
        <v>74</v>
      </c>
      <c r="Q451" t="s">
        <v>74</v>
      </c>
      <c r="R451" t="s">
        <v>74</v>
      </c>
      <c r="S451" t="s">
        <v>74</v>
      </c>
      <c r="T451" t="s">
        <v>9314</v>
      </c>
      <c r="U451" t="s">
        <v>9315</v>
      </c>
      <c r="V451" t="s">
        <v>9316</v>
      </c>
      <c r="W451" t="s">
        <v>9317</v>
      </c>
      <c r="X451" t="s">
        <v>9318</v>
      </c>
      <c r="Y451" t="s">
        <v>9319</v>
      </c>
      <c r="Z451" t="s">
        <v>9320</v>
      </c>
      <c r="AA451" t="s">
        <v>9321</v>
      </c>
      <c r="AB451" t="s">
        <v>9322</v>
      </c>
      <c r="AC451" t="s">
        <v>9323</v>
      </c>
      <c r="AD451" t="s">
        <v>9324</v>
      </c>
      <c r="AE451" t="s">
        <v>9325</v>
      </c>
      <c r="AF451" t="s">
        <v>74</v>
      </c>
      <c r="AG451">
        <v>91</v>
      </c>
      <c r="AH451">
        <v>0</v>
      </c>
      <c r="AI451">
        <v>0</v>
      </c>
      <c r="AJ451">
        <v>1</v>
      </c>
      <c r="AK451">
        <v>8</v>
      </c>
      <c r="AL451" t="s">
        <v>275</v>
      </c>
      <c r="AM451" t="s">
        <v>276</v>
      </c>
      <c r="AN451" t="s">
        <v>277</v>
      </c>
      <c r="AO451" t="s">
        <v>278</v>
      </c>
      <c r="AP451" t="s">
        <v>279</v>
      </c>
      <c r="AQ451" t="s">
        <v>74</v>
      </c>
      <c r="AR451" t="s">
        <v>280</v>
      </c>
      <c r="AS451" t="s">
        <v>281</v>
      </c>
      <c r="AT451" t="s">
        <v>1163</v>
      </c>
      <c r="AU451">
        <v>2020</v>
      </c>
      <c r="AV451">
        <v>737</v>
      </c>
      <c r="AW451" t="s">
        <v>74</v>
      </c>
      <c r="AX451" t="s">
        <v>74</v>
      </c>
      <c r="AY451" t="s">
        <v>74</v>
      </c>
      <c r="AZ451" t="s">
        <v>74</v>
      </c>
      <c r="BA451" t="s">
        <v>74</v>
      </c>
      <c r="BB451" t="s">
        <v>74</v>
      </c>
      <c r="BC451" t="s">
        <v>74</v>
      </c>
      <c r="BD451">
        <v>140281</v>
      </c>
      <c r="BE451" t="s">
        <v>9326</v>
      </c>
      <c r="BF451" t="str">
        <f>HYPERLINK("http://dx.doi.org/10.1016/j.scitotenv.2020.140281","http://dx.doi.org/10.1016/j.scitotenv.2020.140281")</f>
        <v>http://dx.doi.org/10.1016/j.scitotenv.2020.140281</v>
      </c>
      <c r="BG451" t="s">
        <v>74</v>
      </c>
      <c r="BH451" t="s">
        <v>74</v>
      </c>
      <c r="BI451">
        <v>13</v>
      </c>
      <c r="BJ451" t="s">
        <v>283</v>
      </c>
      <c r="BK451" t="s">
        <v>100</v>
      </c>
      <c r="BL451" t="s">
        <v>284</v>
      </c>
      <c r="BM451" t="s">
        <v>9327</v>
      </c>
      <c r="BN451">
        <v>32783859</v>
      </c>
      <c r="BO451" t="s">
        <v>74</v>
      </c>
      <c r="BP451" t="s">
        <v>74</v>
      </c>
      <c r="BQ451" t="s">
        <v>74</v>
      </c>
      <c r="BR451" t="s">
        <v>104</v>
      </c>
      <c r="BS451" t="s">
        <v>9328</v>
      </c>
      <c r="BT451" t="str">
        <f>HYPERLINK("https%3A%2F%2Fwww.webofscience.com%2Fwos%2Fwoscc%2Ffull-record%2FWOS:000553724900012","View Full Record in Web of Science")</f>
        <v>View Full Record in Web of Science</v>
      </c>
    </row>
    <row r="452" spans="1:72" x14ac:dyDescent="0.15">
      <c r="A452" t="s">
        <v>72</v>
      </c>
      <c r="B452" t="s">
        <v>9329</v>
      </c>
      <c r="C452" t="s">
        <v>74</v>
      </c>
      <c r="D452" t="s">
        <v>74</v>
      </c>
      <c r="E452" t="s">
        <v>74</v>
      </c>
      <c r="F452" t="s">
        <v>9330</v>
      </c>
      <c r="G452" t="s">
        <v>74</v>
      </c>
      <c r="H452" t="s">
        <v>74</v>
      </c>
      <c r="I452" t="s">
        <v>9331</v>
      </c>
      <c r="J452" t="s">
        <v>8781</v>
      </c>
      <c r="K452" t="s">
        <v>74</v>
      </c>
      <c r="L452" t="s">
        <v>74</v>
      </c>
      <c r="M452" t="s">
        <v>78</v>
      </c>
      <c r="N452" t="s">
        <v>79</v>
      </c>
      <c r="O452" t="s">
        <v>74</v>
      </c>
      <c r="P452" t="s">
        <v>74</v>
      </c>
      <c r="Q452" t="s">
        <v>74</v>
      </c>
      <c r="R452" t="s">
        <v>74</v>
      </c>
      <c r="S452" t="s">
        <v>74</v>
      </c>
      <c r="T452" t="s">
        <v>9332</v>
      </c>
      <c r="U452" t="s">
        <v>9333</v>
      </c>
      <c r="V452" t="s">
        <v>9334</v>
      </c>
      <c r="W452" t="s">
        <v>9335</v>
      </c>
      <c r="X452" t="s">
        <v>9336</v>
      </c>
      <c r="Y452" t="s">
        <v>9337</v>
      </c>
      <c r="Z452" t="s">
        <v>9338</v>
      </c>
      <c r="AA452" t="s">
        <v>9339</v>
      </c>
      <c r="AB452" t="s">
        <v>9340</v>
      </c>
      <c r="AC452" t="s">
        <v>9341</v>
      </c>
      <c r="AD452" t="s">
        <v>9342</v>
      </c>
      <c r="AE452" t="s">
        <v>9343</v>
      </c>
      <c r="AF452" t="s">
        <v>74</v>
      </c>
      <c r="AG452">
        <v>57</v>
      </c>
      <c r="AH452">
        <v>6</v>
      </c>
      <c r="AI452">
        <v>6</v>
      </c>
      <c r="AJ452">
        <v>0</v>
      </c>
      <c r="AK452">
        <v>8</v>
      </c>
      <c r="AL452" t="s">
        <v>275</v>
      </c>
      <c r="AM452" t="s">
        <v>276</v>
      </c>
      <c r="AN452" t="s">
        <v>277</v>
      </c>
      <c r="AO452" t="s">
        <v>8793</v>
      </c>
      <c r="AP452" t="s">
        <v>8794</v>
      </c>
      <c r="AQ452" t="s">
        <v>74</v>
      </c>
      <c r="AR452" t="s">
        <v>8795</v>
      </c>
      <c r="AS452" t="s">
        <v>8796</v>
      </c>
      <c r="AT452" t="s">
        <v>6558</v>
      </c>
      <c r="AU452">
        <v>2020</v>
      </c>
      <c r="AV452">
        <v>230</v>
      </c>
      <c r="AW452" t="s">
        <v>74</v>
      </c>
      <c r="AX452" t="s">
        <v>74</v>
      </c>
      <c r="AY452" t="s">
        <v>74</v>
      </c>
      <c r="AZ452" t="s">
        <v>74</v>
      </c>
      <c r="BA452" t="s">
        <v>74</v>
      </c>
      <c r="BB452" t="s">
        <v>74</v>
      </c>
      <c r="BC452" t="s">
        <v>74</v>
      </c>
      <c r="BD452">
        <v>105642</v>
      </c>
      <c r="BE452" t="s">
        <v>9344</v>
      </c>
      <c r="BF452" t="str">
        <f>HYPERLINK("http://dx.doi.org/10.1016/j.fishres.2020.105642","http://dx.doi.org/10.1016/j.fishres.2020.105642")</f>
        <v>http://dx.doi.org/10.1016/j.fishres.2020.105642</v>
      </c>
      <c r="BG452" t="s">
        <v>74</v>
      </c>
      <c r="BH452" t="s">
        <v>74</v>
      </c>
      <c r="BI452">
        <v>11</v>
      </c>
      <c r="BJ452" t="s">
        <v>439</v>
      </c>
      <c r="BK452" t="s">
        <v>100</v>
      </c>
      <c r="BL452" t="s">
        <v>439</v>
      </c>
      <c r="BM452" t="s">
        <v>8798</v>
      </c>
      <c r="BN452" t="s">
        <v>74</v>
      </c>
      <c r="BO452" t="s">
        <v>74</v>
      </c>
      <c r="BP452" t="s">
        <v>74</v>
      </c>
      <c r="BQ452" t="s">
        <v>74</v>
      </c>
      <c r="BR452" t="s">
        <v>104</v>
      </c>
      <c r="BS452" t="s">
        <v>9345</v>
      </c>
      <c r="BT452" t="str">
        <f>HYPERLINK("https%3A%2F%2Fwww.webofscience.com%2Fwos%2Fwoscc%2Ffull-record%2FWOS:000553385900020","View Full Record in Web of Science")</f>
        <v>View Full Record in Web of Science</v>
      </c>
    </row>
    <row r="453" spans="1:72" x14ac:dyDescent="0.15">
      <c r="A453" t="s">
        <v>72</v>
      </c>
      <c r="B453" t="s">
        <v>9346</v>
      </c>
      <c r="C453" t="s">
        <v>74</v>
      </c>
      <c r="D453" t="s">
        <v>74</v>
      </c>
      <c r="E453" t="s">
        <v>74</v>
      </c>
      <c r="F453" t="s">
        <v>9347</v>
      </c>
      <c r="G453" t="s">
        <v>74</v>
      </c>
      <c r="H453" t="s">
        <v>74</v>
      </c>
      <c r="I453" t="s">
        <v>9348</v>
      </c>
      <c r="J453" t="s">
        <v>8781</v>
      </c>
      <c r="K453" t="s">
        <v>74</v>
      </c>
      <c r="L453" t="s">
        <v>74</v>
      </c>
      <c r="M453" t="s">
        <v>78</v>
      </c>
      <c r="N453" t="s">
        <v>79</v>
      </c>
      <c r="O453" t="s">
        <v>74</v>
      </c>
      <c r="P453" t="s">
        <v>74</v>
      </c>
      <c r="Q453" t="s">
        <v>74</v>
      </c>
      <c r="R453" t="s">
        <v>74</v>
      </c>
      <c r="S453" t="s">
        <v>74</v>
      </c>
      <c r="T453" t="s">
        <v>9349</v>
      </c>
      <c r="U453" t="s">
        <v>9350</v>
      </c>
      <c r="V453" t="s">
        <v>9351</v>
      </c>
      <c r="W453" t="s">
        <v>9352</v>
      </c>
      <c r="X453" t="s">
        <v>9353</v>
      </c>
      <c r="Y453" t="s">
        <v>9354</v>
      </c>
      <c r="Z453" t="s">
        <v>452</v>
      </c>
      <c r="AA453" t="s">
        <v>9355</v>
      </c>
      <c r="AB453" t="s">
        <v>9356</v>
      </c>
      <c r="AC453" t="s">
        <v>9357</v>
      </c>
      <c r="AD453" t="s">
        <v>9358</v>
      </c>
      <c r="AE453" t="s">
        <v>9359</v>
      </c>
      <c r="AF453" t="s">
        <v>74</v>
      </c>
      <c r="AG453">
        <v>51</v>
      </c>
      <c r="AH453">
        <v>8</v>
      </c>
      <c r="AI453">
        <v>8</v>
      </c>
      <c r="AJ453">
        <v>2</v>
      </c>
      <c r="AK453">
        <v>19</v>
      </c>
      <c r="AL453" t="s">
        <v>275</v>
      </c>
      <c r="AM453" t="s">
        <v>276</v>
      </c>
      <c r="AN453" t="s">
        <v>277</v>
      </c>
      <c r="AO453" t="s">
        <v>8793</v>
      </c>
      <c r="AP453" t="s">
        <v>8794</v>
      </c>
      <c r="AQ453" t="s">
        <v>74</v>
      </c>
      <c r="AR453" t="s">
        <v>8795</v>
      </c>
      <c r="AS453" t="s">
        <v>8796</v>
      </c>
      <c r="AT453" t="s">
        <v>6558</v>
      </c>
      <c r="AU453">
        <v>2020</v>
      </c>
      <c r="AV453">
        <v>230</v>
      </c>
      <c r="AW453" t="s">
        <v>74</v>
      </c>
      <c r="AX453" t="s">
        <v>74</v>
      </c>
      <c r="AY453" t="s">
        <v>74</v>
      </c>
      <c r="AZ453" t="s">
        <v>74</v>
      </c>
      <c r="BA453" t="s">
        <v>74</v>
      </c>
      <c r="BB453" t="s">
        <v>74</v>
      </c>
      <c r="BC453" t="s">
        <v>74</v>
      </c>
      <c r="BD453">
        <v>105668</v>
      </c>
      <c r="BE453" t="s">
        <v>9360</v>
      </c>
      <c r="BF453" t="str">
        <f>HYPERLINK("http://dx.doi.org/10.1016/j.fishres.2020.105668","http://dx.doi.org/10.1016/j.fishres.2020.105668")</f>
        <v>http://dx.doi.org/10.1016/j.fishres.2020.105668</v>
      </c>
      <c r="BG453" t="s">
        <v>74</v>
      </c>
      <c r="BH453" t="s">
        <v>74</v>
      </c>
      <c r="BI453">
        <v>10</v>
      </c>
      <c r="BJ453" t="s">
        <v>439</v>
      </c>
      <c r="BK453" t="s">
        <v>100</v>
      </c>
      <c r="BL453" t="s">
        <v>439</v>
      </c>
      <c r="BM453" t="s">
        <v>8798</v>
      </c>
      <c r="BN453" t="s">
        <v>74</v>
      </c>
      <c r="BO453" t="s">
        <v>74</v>
      </c>
      <c r="BP453" t="s">
        <v>74</v>
      </c>
      <c r="BQ453" t="s">
        <v>74</v>
      </c>
      <c r="BR453" t="s">
        <v>104</v>
      </c>
      <c r="BS453" t="s">
        <v>9361</v>
      </c>
      <c r="BT453" t="str">
        <f>HYPERLINK("https%3A%2F%2Fwww.webofscience.com%2Fwos%2Fwoscc%2Ffull-record%2FWOS:000553385900036","View Full Record in Web of Science")</f>
        <v>View Full Record in Web of Science</v>
      </c>
    </row>
    <row r="454" spans="1:72" x14ac:dyDescent="0.15">
      <c r="A454" t="s">
        <v>72</v>
      </c>
      <c r="B454" t="s">
        <v>9362</v>
      </c>
      <c r="C454" t="s">
        <v>74</v>
      </c>
      <c r="D454" t="s">
        <v>74</v>
      </c>
      <c r="E454" t="s">
        <v>74</v>
      </c>
      <c r="F454" t="s">
        <v>9363</v>
      </c>
      <c r="G454" t="s">
        <v>74</v>
      </c>
      <c r="H454" t="s">
        <v>74</v>
      </c>
      <c r="I454" t="s">
        <v>9364</v>
      </c>
      <c r="J454" t="s">
        <v>3374</v>
      </c>
      <c r="K454" t="s">
        <v>74</v>
      </c>
      <c r="L454" t="s">
        <v>74</v>
      </c>
      <c r="M454" t="s">
        <v>78</v>
      </c>
      <c r="N454" t="s">
        <v>79</v>
      </c>
      <c r="O454" t="s">
        <v>74</v>
      </c>
      <c r="P454" t="s">
        <v>74</v>
      </c>
      <c r="Q454" t="s">
        <v>74</v>
      </c>
      <c r="R454" t="s">
        <v>74</v>
      </c>
      <c r="S454" t="s">
        <v>74</v>
      </c>
      <c r="T454" t="s">
        <v>9365</v>
      </c>
      <c r="U454" t="s">
        <v>9366</v>
      </c>
      <c r="V454" t="s">
        <v>9367</v>
      </c>
      <c r="W454" t="s">
        <v>9368</v>
      </c>
      <c r="X454" t="s">
        <v>9369</v>
      </c>
      <c r="Y454" t="s">
        <v>9370</v>
      </c>
      <c r="Z454" t="s">
        <v>9371</v>
      </c>
      <c r="AA454" t="s">
        <v>9372</v>
      </c>
      <c r="AB454" t="s">
        <v>9373</v>
      </c>
      <c r="AC454" t="s">
        <v>9374</v>
      </c>
      <c r="AD454" t="s">
        <v>9375</v>
      </c>
      <c r="AE454" t="s">
        <v>9376</v>
      </c>
      <c r="AF454" t="s">
        <v>74</v>
      </c>
      <c r="AG454">
        <v>53</v>
      </c>
      <c r="AH454">
        <v>10</v>
      </c>
      <c r="AI454">
        <v>13</v>
      </c>
      <c r="AJ454">
        <v>0</v>
      </c>
      <c r="AK454">
        <v>13</v>
      </c>
      <c r="AL454" t="s">
        <v>275</v>
      </c>
      <c r="AM454" t="s">
        <v>276</v>
      </c>
      <c r="AN454" t="s">
        <v>277</v>
      </c>
      <c r="AO454" t="s">
        <v>3387</v>
      </c>
      <c r="AP454" t="s">
        <v>3388</v>
      </c>
      <c r="AQ454" t="s">
        <v>74</v>
      </c>
      <c r="AR454" t="s">
        <v>3389</v>
      </c>
      <c r="AS454" t="s">
        <v>3390</v>
      </c>
      <c r="AT454" t="s">
        <v>1163</v>
      </c>
      <c r="AU454">
        <v>2020</v>
      </c>
      <c r="AV454">
        <v>555</v>
      </c>
      <c r="AW454" t="s">
        <v>74</v>
      </c>
      <c r="AX454" t="s">
        <v>74</v>
      </c>
      <c r="AY454" t="s">
        <v>74</v>
      </c>
      <c r="AZ454" t="s">
        <v>74</v>
      </c>
      <c r="BA454" t="s">
        <v>74</v>
      </c>
      <c r="BB454" t="s">
        <v>74</v>
      </c>
      <c r="BC454" t="s">
        <v>74</v>
      </c>
      <c r="BD454">
        <v>109871</v>
      </c>
      <c r="BE454" t="s">
        <v>9377</v>
      </c>
      <c r="BF454" t="str">
        <f>HYPERLINK("http://dx.doi.org/10.1016/j.palaeo.2020.109871","http://dx.doi.org/10.1016/j.palaeo.2020.109871")</f>
        <v>http://dx.doi.org/10.1016/j.palaeo.2020.109871</v>
      </c>
      <c r="BG454" t="s">
        <v>74</v>
      </c>
      <c r="BH454" t="s">
        <v>74</v>
      </c>
      <c r="BI454">
        <v>14</v>
      </c>
      <c r="BJ454" t="s">
        <v>3392</v>
      </c>
      <c r="BK454" t="s">
        <v>100</v>
      </c>
      <c r="BL454" t="s">
        <v>3393</v>
      </c>
      <c r="BM454" t="s">
        <v>9378</v>
      </c>
      <c r="BN454" t="s">
        <v>74</v>
      </c>
      <c r="BO454" t="s">
        <v>3641</v>
      </c>
      <c r="BP454" t="s">
        <v>74</v>
      </c>
      <c r="BQ454" t="s">
        <v>74</v>
      </c>
      <c r="BR454" t="s">
        <v>104</v>
      </c>
      <c r="BS454" t="s">
        <v>9379</v>
      </c>
      <c r="BT454" t="str">
        <f>HYPERLINK("https%3A%2F%2Fwww.webofscience.com%2Fwos%2Fwoscc%2Ffull-record%2FWOS:000552137900018","View Full Record in Web of Science")</f>
        <v>View Full Record in Web of Science</v>
      </c>
    </row>
    <row r="455" spans="1:72" x14ac:dyDescent="0.15">
      <c r="A455" t="s">
        <v>72</v>
      </c>
      <c r="B455" t="s">
        <v>9380</v>
      </c>
      <c r="C455" t="s">
        <v>74</v>
      </c>
      <c r="D455" t="s">
        <v>74</v>
      </c>
      <c r="E455" t="s">
        <v>74</v>
      </c>
      <c r="F455" t="s">
        <v>9381</v>
      </c>
      <c r="G455" t="s">
        <v>74</v>
      </c>
      <c r="H455" t="s">
        <v>74</v>
      </c>
      <c r="I455" t="s">
        <v>9382</v>
      </c>
      <c r="J455" t="s">
        <v>3374</v>
      </c>
      <c r="K455" t="s">
        <v>74</v>
      </c>
      <c r="L455" t="s">
        <v>74</v>
      </c>
      <c r="M455" t="s">
        <v>78</v>
      </c>
      <c r="N455" t="s">
        <v>79</v>
      </c>
      <c r="O455" t="s">
        <v>74</v>
      </c>
      <c r="P455" t="s">
        <v>74</v>
      </c>
      <c r="Q455" t="s">
        <v>74</v>
      </c>
      <c r="R455" t="s">
        <v>74</v>
      </c>
      <c r="S455" t="s">
        <v>74</v>
      </c>
      <c r="T455" t="s">
        <v>9383</v>
      </c>
      <c r="U455" t="s">
        <v>9384</v>
      </c>
      <c r="V455" t="s">
        <v>9385</v>
      </c>
      <c r="W455" t="s">
        <v>9386</v>
      </c>
      <c r="X455" t="s">
        <v>9387</v>
      </c>
      <c r="Y455" t="s">
        <v>9388</v>
      </c>
      <c r="Z455" t="s">
        <v>9389</v>
      </c>
      <c r="AA455" t="s">
        <v>9390</v>
      </c>
      <c r="AB455" t="s">
        <v>9391</v>
      </c>
      <c r="AC455" t="s">
        <v>9392</v>
      </c>
      <c r="AD455" t="s">
        <v>9393</v>
      </c>
      <c r="AE455" t="s">
        <v>9394</v>
      </c>
      <c r="AF455" t="s">
        <v>74</v>
      </c>
      <c r="AG455">
        <v>129</v>
      </c>
      <c r="AH455">
        <v>18</v>
      </c>
      <c r="AI455">
        <v>20</v>
      </c>
      <c r="AJ455">
        <v>1</v>
      </c>
      <c r="AK455">
        <v>24</v>
      </c>
      <c r="AL455" t="s">
        <v>275</v>
      </c>
      <c r="AM455" t="s">
        <v>276</v>
      </c>
      <c r="AN455" t="s">
        <v>277</v>
      </c>
      <c r="AO455" t="s">
        <v>3387</v>
      </c>
      <c r="AP455" t="s">
        <v>3388</v>
      </c>
      <c r="AQ455" t="s">
        <v>74</v>
      </c>
      <c r="AR455" t="s">
        <v>3389</v>
      </c>
      <c r="AS455" t="s">
        <v>3390</v>
      </c>
      <c r="AT455" t="s">
        <v>1163</v>
      </c>
      <c r="AU455">
        <v>2020</v>
      </c>
      <c r="AV455">
        <v>555</v>
      </c>
      <c r="AW455" t="s">
        <v>74</v>
      </c>
      <c r="AX455" t="s">
        <v>74</v>
      </c>
      <c r="AY455" t="s">
        <v>74</v>
      </c>
      <c r="AZ455" t="s">
        <v>74</v>
      </c>
      <c r="BA455" t="s">
        <v>74</v>
      </c>
      <c r="BB455" t="s">
        <v>74</v>
      </c>
      <c r="BC455" t="s">
        <v>74</v>
      </c>
      <c r="BD455">
        <v>109844</v>
      </c>
      <c r="BE455" t="s">
        <v>9395</v>
      </c>
      <c r="BF455" t="str">
        <f>HYPERLINK("http://dx.doi.org/10.1016/j.palaeo.2020.109844","http://dx.doi.org/10.1016/j.palaeo.2020.109844")</f>
        <v>http://dx.doi.org/10.1016/j.palaeo.2020.109844</v>
      </c>
      <c r="BG455" t="s">
        <v>74</v>
      </c>
      <c r="BH455" t="s">
        <v>74</v>
      </c>
      <c r="BI455">
        <v>20</v>
      </c>
      <c r="BJ455" t="s">
        <v>3392</v>
      </c>
      <c r="BK455" t="s">
        <v>100</v>
      </c>
      <c r="BL455" t="s">
        <v>3393</v>
      </c>
      <c r="BM455" t="s">
        <v>9378</v>
      </c>
      <c r="BN455" t="s">
        <v>74</v>
      </c>
      <c r="BO455" t="s">
        <v>376</v>
      </c>
      <c r="BP455" t="s">
        <v>74</v>
      </c>
      <c r="BQ455" t="s">
        <v>74</v>
      </c>
      <c r="BR455" t="s">
        <v>104</v>
      </c>
      <c r="BS455" t="s">
        <v>9396</v>
      </c>
      <c r="BT455" t="str">
        <f>HYPERLINK("https%3A%2F%2Fwww.webofscience.com%2Fwos%2Fwoscc%2Ffull-record%2FWOS:000552137900006","View Full Record in Web of Science")</f>
        <v>View Full Record in Web of Science</v>
      </c>
    </row>
    <row r="456" spans="1:72" x14ac:dyDescent="0.15">
      <c r="A456" t="s">
        <v>72</v>
      </c>
      <c r="B456" t="s">
        <v>9397</v>
      </c>
      <c r="C456" t="s">
        <v>74</v>
      </c>
      <c r="D456" t="s">
        <v>74</v>
      </c>
      <c r="E456" t="s">
        <v>74</v>
      </c>
      <c r="F456" t="s">
        <v>9398</v>
      </c>
      <c r="G456" t="s">
        <v>74</v>
      </c>
      <c r="H456" t="s">
        <v>74</v>
      </c>
      <c r="I456" t="s">
        <v>9399</v>
      </c>
      <c r="J456" t="s">
        <v>3374</v>
      </c>
      <c r="K456" t="s">
        <v>74</v>
      </c>
      <c r="L456" t="s">
        <v>74</v>
      </c>
      <c r="M456" t="s">
        <v>78</v>
      </c>
      <c r="N456" t="s">
        <v>79</v>
      </c>
      <c r="O456" t="s">
        <v>74</v>
      </c>
      <c r="P456" t="s">
        <v>74</v>
      </c>
      <c r="Q456" t="s">
        <v>74</v>
      </c>
      <c r="R456" t="s">
        <v>74</v>
      </c>
      <c r="S456" t="s">
        <v>74</v>
      </c>
      <c r="T456" t="s">
        <v>9400</v>
      </c>
      <c r="U456" t="s">
        <v>9401</v>
      </c>
      <c r="V456" t="s">
        <v>9402</v>
      </c>
      <c r="W456" t="s">
        <v>9403</v>
      </c>
      <c r="X456" t="s">
        <v>9404</v>
      </c>
      <c r="Y456" t="s">
        <v>9405</v>
      </c>
      <c r="Z456" t="s">
        <v>9406</v>
      </c>
      <c r="AA456" t="s">
        <v>9407</v>
      </c>
      <c r="AB456" t="s">
        <v>9408</v>
      </c>
      <c r="AC456" t="s">
        <v>9409</v>
      </c>
      <c r="AD456" t="s">
        <v>9410</v>
      </c>
      <c r="AE456" t="s">
        <v>9411</v>
      </c>
      <c r="AF456" t="s">
        <v>74</v>
      </c>
      <c r="AG456">
        <v>59</v>
      </c>
      <c r="AH456">
        <v>5</v>
      </c>
      <c r="AI456">
        <v>5</v>
      </c>
      <c r="AJ456">
        <v>1</v>
      </c>
      <c r="AK456">
        <v>12</v>
      </c>
      <c r="AL456" t="s">
        <v>275</v>
      </c>
      <c r="AM456" t="s">
        <v>276</v>
      </c>
      <c r="AN456" t="s">
        <v>277</v>
      </c>
      <c r="AO456" t="s">
        <v>3387</v>
      </c>
      <c r="AP456" t="s">
        <v>3388</v>
      </c>
      <c r="AQ456" t="s">
        <v>74</v>
      </c>
      <c r="AR456" t="s">
        <v>3389</v>
      </c>
      <c r="AS456" t="s">
        <v>3390</v>
      </c>
      <c r="AT456" t="s">
        <v>1163</v>
      </c>
      <c r="AU456">
        <v>2020</v>
      </c>
      <c r="AV456">
        <v>555</v>
      </c>
      <c r="AW456" t="s">
        <v>74</v>
      </c>
      <c r="AX456" t="s">
        <v>74</v>
      </c>
      <c r="AY456" t="s">
        <v>74</v>
      </c>
      <c r="AZ456" t="s">
        <v>74</v>
      </c>
      <c r="BA456" t="s">
        <v>74</v>
      </c>
      <c r="BB456" t="s">
        <v>74</v>
      </c>
      <c r="BC456" t="s">
        <v>74</v>
      </c>
      <c r="BD456">
        <v>109845</v>
      </c>
      <c r="BE456" t="s">
        <v>9412</v>
      </c>
      <c r="BF456" t="str">
        <f>HYPERLINK("http://dx.doi.org/10.1016/j.palaeo.2020.109845","http://dx.doi.org/10.1016/j.palaeo.2020.109845")</f>
        <v>http://dx.doi.org/10.1016/j.palaeo.2020.109845</v>
      </c>
      <c r="BG456" t="s">
        <v>74</v>
      </c>
      <c r="BH456" t="s">
        <v>74</v>
      </c>
      <c r="BI456">
        <v>9</v>
      </c>
      <c r="BJ456" t="s">
        <v>3392</v>
      </c>
      <c r="BK456" t="s">
        <v>100</v>
      </c>
      <c r="BL456" t="s">
        <v>3393</v>
      </c>
      <c r="BM456" t="s">
        <v>9378</v>
      </c>
      <c r="BN456" t="s">
        <v>74</v>
      </c>
      <c r="BO456" t="s">
        <v>376</v>
      </c>
      <c r="BP456" t="s">
        <v>74</v>
      </c>
      <c r="BQ456" t="s">
        <v>74</v>
      </c>
      <c r="BR456" t="s">
        <v>104</v>
      </c>
      <c r="BS456" t="s">
        <v>9413</v>
      </c>
      <c r="BT456" t="str">
        <f>HYPERLINK("https%3A%2F%2Fwww.webofscience.com%2Fwos%2Fwoscc%2Ffull-record%2FWOS:000552137900007","View Full Record in Web of Science")</f>
        <v>View Full Record in Web of Science</v>
      </c>
    </row>
    <row r="457" spans="1:72" x14ac:dyDescent="0.15">
      <c r="A457" t="s">
        <v>72</v>
      </c>
      <c r="B457" t="s">
        <v>9414</v>
      </c>
      <c r="C457" t="s">
        <v>74</v>
      </c>
      <c r="D457" t="s">
        <v>74</v>
      </c>
      <c r="E457" t="s">
        <v>74</v>
      </c>
      <c r="F457" t="s">
        <v>9415</v>
      </c>
      <c r="G457" t="s">
        <v>74</v>
      </c>
      <c r="H457" t="s">
        <v>74</v>
      </c>
      <c r="I457" t="s">
        <v>9416</v>
      </c>
      <c r="J457" t="s">
        <v>9417</v>
      </c>
      <c r="K457" t="s">
        <v>74</v>
      </c>
      <c r="L457" t="s">
        <v>74</v>
      </c>
      <c r="M457" t="s">
        <v>78</v>
      </c>
      <c r="N457" t="s">
        <v>79</v>
      </c>
      <c r="O457" t="s">
        <v>74</v>
      </c>
      <c r="P457" t="s">
        <v>74</v>
      </c>
      <c r="Q457" t="s">
        <v>74</v>
      </c>
      <c r="R457" t="s">
        <v>74</v>
      </c>
      <c r="S457" t="s">
        <v>74</v>
      </c>
      <c r="T457" t="s">
        <v>9418</v>
      </c>
      <c r="U457" t="s">
        <v>9419</v>
      </c>
      <c r="V457" t="s">
        <v>9420</v>
      </c>
      <c r="W457" t="s">
        <v>9421</v>
      </c>
      <c r="X457" t="s">
        <v>9422</v>
      </c>
      <c r="Y457" t="s">
        <v>9423</v>
      </c>
      <c r="Z457" t="s">
        <v>9424</v>
      </c>
      <c r="AA457" t="s">
        <v>9425</v>
      </c>
      <c r="AB457" t="s">
        <v>9426</v>
      </c>
      <c r="AC457" t="s">
        <v>9427</v>
      </c>
      <c r="AD457" t="s">
        <v>9428</v>
      </c>
      <c r="AE457" t="s">
        <v>9429</v>
      </c>
      <c r="AF457" t="s">
        <v>74</v>
      </c>
      <c r="AG457">
        <v>103</v>
      </c>
      <c r="AH457">
        <v>7</v>
      </c>
      <c r="AI457">
        <v>7</v>
      </c>
      <c r="AJ457">
        <v>0</v>
      </c>
      <c r="AK457">
        <v>17</v>
      </c>
      <c r="AL457" t="s">
        <v>275</v>
      </c>
      <c r="AM457" t="s">
        <v>276</v>
      </c>
      <c r="AN457" t="s">
        <v>277</v>
      </c>
      <c r="AO457" t="s">
        <v>9430</v>
      </c>
      <c r="AP457" t="s">
        <v>9431</v>
      </c>
      <c r="AQ457" t="s">
        <v>74</v>
      </c>
      <c r="AR457" t="s">
        <v>9432</v>
      </c>
      <c r="AS457" t="s">
        <v>9433</v>
      </c>
      <c r="AT457" t="s">
        <v>6558</v>
      </c>
      <c r="AU457">
        <v>2020</v>
      </c>
      <c r="AV457">
        <v>210</v>
      </c>
      <c r="AW457" t="s">
        <v>74</v>
      </c>
      <c r="AX457" t="s">
        <v>74</v>
      </c>
      <c r="AY457" t="s">
        <v>74</v>
      </c>
      <c r="AZ457" t="s">
        <v>74</v>
      </c>
      <c r="BA457" t="s">
        <v>74</v>
      </c>
      <c r="BB457" t="s">
        <v>74</v>
      </c>
      <c r="BC457" t="s">
        <v>74</v>
      </c>
      <c r="BD457">
        <v>103398</v>
      </c>
      <c r="BE457" t="s">
        <v>9434</v>
      </c>
      <c r="BF457" t="str">
        <f>HYPERLINK("http://dx.doi.org/10.1016/j.jmarsys.2020.103398","http://dx.doi.org/10.1016/j.jmarsys.2020.103398")</f>
        <v>http://dx.doi.org/10.1016/j.jmarsys.2020.103398</v>
      </c>
      <c r="BG457" t="s">
        <v>74</v>
      </c>
      <c r="BH457" t="s">
        <v>74</v>
      </c>
      <c r="BI457">
        <v>13</v>
      </c>
      <c r="BJ457" t="s">
        <v>9435</v>
      </c>
      <c r="BK457" t="s">
        <v>100</v>
      </c>
      <c r="BL457" t="s">
        <v>9436</v>
      </c>
      <c r="BM457" t="s">
        <v>9437</v>
      </c>
      <c r="BN457" t="s">
        <v>74</v>
      </c>
      <c r="BO457" t="s">
        <v>74</v>
      </c>
      <c r="BP457" t="s">
        <v>74</v>
      </c>
      <c r="BQ457" t="s">
        <v>74</v>
      </c>
      <c r="BR457" t="s">
        <v>104</v>
      </c>
      <c r="BS457" t="s">
        <v>9438</v>
      </c>
      <c r="BT457" t="str">
        <f>HYPERLINK("https%3A%2F%2Fwww.webofscience.com%2Fwos%2Fwoscc%2Ffull-record%2FWOS:000551472300005","View Full Record in Web of Science")</f>
        <v>View Full Record in Web of Science</v>
      </c>
    </row>
    <row r="458" spans="1:72" x14ac:dyDescent="0.15">
      <c r="A458" t="s">
        <v>72</v>
      </c>
      <c r="B458" t="s">
        <v>9439</v>
      </c>
      <c r="C458" t="s">
        <v>74</v>
      </c>
      <c r="D458" t="s">
        <v>74</v>
      </c>
      <c r="E458" t="s">
        <v>74</v>
      </c>
      <c r="F458" t="s">
        <v>9440</v>
      </c>
      <c r="G458" t="s">
        <v>74</v>
      </c>
      <c r="H458" t="s">
        <v>74</v>
      </c>
      <c r="I458" t="s">
        <v>9441</v>
      </c>
      <c r="J458" t="s">
        <v>9442</v>
      </c>
      <c r="K458" t="s">
        <v>74</v>
      </c>
      <c r="L458" t="s">
        <v>74</v>
      </c>
      <c r="M458" t="s">
        <v>78</v>
      </c>
      <c r="N458" t="s">
        <v>79</v>
      </c>
      <c r="O458" t="s">
        <v>74</v>
      </c>
      <c r="P458" t="s">
        <v>74</v>
      </c>
      <c r="Q458" t="s">
        <v>74</v>
      </c>
      <c r="R458" t="s">
        <v>74</v>
      </c>
      <c r="S458" t="s">
        <v>74</v>
      </c>
      <c r="T458" t="s">
        <v>74</v>
      </c>
      <c r="U458" t="s">
        <v>9443</v>
      </c>
      <c r="V458" t="s">
        <v>9444</v>
      </c>
      <c r="W458" t="s">
        <v>9445</v>
      </c>
      <c r="X458" t="s">
        <v>9446</v>
      </c>
      <c r="Y458" t="s">
        <v>9447</v>
      </c>
      <c r="Z458" t="s">
        <v>9448</v>
      </c>
      <c r="AA458" t="s">
        <v>9449</v>
      </c>
      <c r="AB458" t="s">
        <v>9450</v>
      </c>
      <c r="AC458" t="s">
        <v>9451</v>
      </c>
      <c r="AD458" t="s">
        <v>9452</v>
      </c>
      <c r="AE458" t="s">
        <v>9453</v>
      </c>
      <c r="AF458" t="s">
        <v>74</v>
      </c>
      <c r="AG458">
        <v>35</v>
      </c>
      <c r="AH458">
        <v>13</v>
      </c>
      <c r="AI458">
        <v>14</v>
      </c>
      <c r="AJ458">
        <v>2</v>
      </c>
      <c r="AK458">
        <v>35</v>
      </c>
      <c r="AL458" t="s">
        <v>692</v>
      </c>
      <c r="AM458" t="s">
        <v>693</v>
      </c>
      <c r="AN458" t="s">
        <v>694</v>
      </c>
      <c r="AO458" t="s">
        <v>9454</v>
      </c>
      <c r="AP458" t="s">
        <v>9455</v>
      </c>
      <c r="AQ458" t="s">
        <v>74</v>
      </c>
      <c r="AR458" t="s">
        <v>9456</v>
      </c>
      <c r="AS458" t="s">
        <v>9457</v>
      </c>
      <c r="AT458" t="s">
        <v>1163</v>
      </c>
      <c r="AU458">
        <v>2020</v>
      </c>
      <c r="AV458">
        <v>41</v>
      </c>
      <c r="AW458">
        <v>19</v>
      </c>
      <c r="AX458" t="s">
        <v>74</v>
      </c>
      <c r="AY458" t="s">
        <v>74</v>
      </c>
      <c r="AZ458" t="s">
        <v>74</v>
      </c>
      <c r="BA458" t="s">
        <v>74</v>
      </c>
      <c r="BB458">
        <v>7530</v>
      </c>
      <c r="BC458">
        <v>7540</v>
      </c>
      <c r="BD458" t="s">
        <v>74</v>
      </c>
      <c r="BE458" t="s">
        <v>9458</v>
      </c>
      <c r="BF458" t="str">
        <f>HYPERLINK("http://dx.doi.org/10.1080/2150704X.2020.1763497","http://dx.doi.org/10.1080/2150704X.2020.1763497")</f>
        <v>http://dx.doi.org/10.1080/2150704X.2020.1763497</v>
      </c>
      <c r="BG458" t="s">
        <v>74</v>
      </c>
      <c r="BH458" t="s">
        <v>74</v>
      </c>
      <c r="BI458">
        <v>11</v>
      </c>
      <c r="BJ458" t="s">
        <v>9459</v>
      </c>
      <c r="BK458" t="s">
        <v>100</v>
      </c>
      <c r="BL458" t="s">
        <v>9459</v>
      </c>
      <c r="BM458" t="s">
        <v>9460</v>
      </c>
      <c r="BN458" t="s">
        <v>74</v>
      </c>
      <c r="BO458" t="s">
        <v>701</v>
      </c>
      <c r="BP458" t="s">
        <v>74</v>
      </c>
      <c r="BQ458" t="s">
        <v>74</v>
      </c>
      <c r="BR458" t="s">
        <v>104</v>
      </c>
      <c r="BS458" t="s">
        <v>9461</v>
      </c>
      <c r="BT458" t="str">
        <f>HYPERLINK("https%3A%2F%2Fwww.webofscience.com%2Fwos%2Fwoscc%2Ffull-record%2FWOS:000551313300001","View Full Record in Web of Science")</f>
        <v>View Full Record in Web of Science</v>
      </c>
    </row>
    <row r="459" spans="1:72" x14ac:dyDescent="0.15">
      <c r="A459" t="s">
        <v>72</v>
      </c>
      <c r="B459" t="s">
        <v>9462</v>
      </c>
      <c r="C459" t="s">
        <v>74</v>
      </c>
      <c r="D459" t="s">
        <v>74</v>
      </c>
      <c r="E459" t="s">
        <v>74</v>
      </c>
      <c r="F459" t="s">
        <v>9463</v>
      </c>
      <c r="G459" t="s">
        <v>74</v>
      </c>
      <c r="H459" t="s">
        <v>74</v>
      </c>
      <c r="I459" t="s">
        <v>9464</v>
      </c>
      <c r="J459" t="s">
        <v>901</v>
      </c>
      <c r="K459" t="s">
        <v>74</v>
      </c>
      <c r="L459" t="s">
        <v>74</v>
      </c>
      <c r="M459" t="s">
        <v>78</v>
      </c>
      <c r="N459" t="s">
        <v>138</v>
      </c>
      <c r="O459" t="s">
        <v>74</v>
      </c>
      <c r="P459" t="s">
        <v>74</v>
      </c>
      <c r="Q459" t="s">
        <v>74</v>
      </c>
      <c r="R459" t="s">
        <v>74</v>
      </c>
      <c r="S459" t="s">
        <v>74</v>
      </c>
      <c r="T459" t="s">
        <v>9465</v>
      </c>
      <c r="U459" t="s">
        <v>9466</v>
      </c>
      <c r="V459" t="s">
        <v>9467</v>
      </c>
      <c r="W459" t="s">
        <v>9468</v>
      </c>
      <c r="X459" t="s">
        <v>9469</v>
      </c>
      <c r="Y459" t="s">
        <v>9470</v>
      </c>
      <c r="Z459" t="s">
        <v>9471</v>
      </c>
      <c r="AA459" t="s">
        <v>9472</v>
      </c>
      <c r="AB459" t="s">
        <v>9473</v>
      </c>
      <c r="AC459" t="s">
        <v>9474</v>
      </c>
      <c r="AD459" t="s">
        <v>9475</v>
      </c>
      <c r="AE459" t="s">
        <v>9476</v>
      </c>
      <c r="AF459" t="s">
        <v>74</v>
      </c>
      <c r="AG459">
        <v>91</v>
      </c>
      <c r="AH459">
        <v>12</v>
      </c>
      <c r="AI459">
        <v>13</v>
      </c>
      <c r="AJ459">
        <v>7</v>
      </c>
      <c r="AK459">
        <v>32</v>
      </c>
      <c r="AL459" t="s">
        <v>866</v>
      </c>
      <c r="AM459" t="s">
        <v>867</v>
      </c>
      <c r="AN459" t="s">
        <v>868</v>
      </c>
      <c r="AO459" t="s">
        <v>74</v>
      </c>
      <c r="AP459" t="s">
        <v>914</v>
      </c>
      <c r="AQ459" t="s">
        <v>74</v>
      </c>
      <c r="AR459" t="s">
        <v>915</v>
      </c>
      <c r="AS459" t="s">
        <v>916</v>
      </c>
      <c r="AT459" t="s">
        <v>9477</v>
      </c>
      <c r="AU459">
        <v>2020</v>
      </c>
      <c r="AV459">
        <v>7</v>
      </c>
      <c r="AW459" t="s">
        <v>74</v>
      </c>
      <c r="AX459" t="s">
        <v>74</v>
      </c>
      <c r="AY459" t="s">
        <v>74</v>
      </c>
      <c r="AZ459" t="s">
        <v>74</v>
      </c>
      <c r="BA459" t="s">
        <v>74</v>
      </c>
      <c r="BB459" t="s">
        <v>74</v>
      </c>
      <c r="BC459" t="s">
        <v>74</v>
      </c>
      <c r="BD459">
        <v>567917</v>
      </c>
      <c r="BE459" t="s">
        <v>9478</v>
      </c>
      <c r="BF459" t="str">
        <f>HYPERLINK("http://dx.doi.org/10.3389/fmars.2020.567917","http://dx.doi.org/10.3389/fmars.2020.567917")</f>
        <v>http://dx.doi.org/10.3389/fmars.2020.567917</v>
      </c>
      <c r="BG459" t="s">
        <v>74</v>
      </c>
      <c r="BH459" t="s">
        <v>74</v>
      </c>
      <c r="BI459">
        <v>8</v>
      </c>
      <c r="BJ459" t="s">
        <v>918</v>
      </c>
      <c r="BK459" t="s">
        <v>100</v>
      </c>
      <c r="BL459" t="s">
        <v>919</v>
      </c>
      <c r="BM459" t="s">
        <v>9479</v>
      </c>
      <c r="BN459" t="s">
        <v>74</v>
      </c>
      <c r="BO459" t="s">
        <v>512</v>
      </c>
      <c r="BP459" t="s">
        <v>74</v>
      </c>
      <c r="BQ459" t="s">
        <v>74</v>
      </c>
      <c r="BR459" t="s">
        <v>104</v>
      </c>
      <c r="BS459" t="s">
        <v>9480</v>
      </c>
      <c r="BT459" t="str">
        <f>HYPERLINK("https%3A%2F%2Fwww.webofscience.com%2Fwos%2Fwoscc%2Ffull-record%2FWOS:000582740800001","View Full Record in Web of Science")</f>
        <v>View Full Record in Web of Science</v>
      </c>
    </row>
    <row r="460" spans="1:72" x14ac:dyDescent="0.15">
      <c r="A460" t="s">
        <v>72</v>
      </c>
      <c r="B460" t="s">
        <v>9481</v>
      </c>
      <c r="C460" t="s">
        <v>74</v>
      </c>
      <c r="D460" t="s">
        <v>74</v>
      </c>
      <c r="E460" t="s">
        <v>74</v>
      </c>
      <c r="F460" t="s">
        <v>9482</v>
      </c>
      <c r="G460" t="s">
        <v>74</v>
      </c>
      <c r="H460" t="s">
        <v>74</v>
      </c>
      <c r="I460" t="s">
        <v>9483</v>
      </c>
      <c r="J460" t="s">
        <v>9484</v>
      </c>
      <c r="K460" t="s">
        <v>74</v>
      </c>
      <c r="L460" t="s">
        <v>74</v>
      </c>
      <c r="M460" t="s">
        <v>78</v>
      </c>
      <c r="N460" t="s">
        <v>79</v>
      </c>
      <c r="O460" t="s">
        <v>74</v>
      </c>
      <c r="P460" t="s">
        <v>74</v>
      </c>
      <c r="Q460" t="s">
        <v>74</v>
      </c>
      <c r="R460" t="s">
        <v>74</v>
      </c>
      <c r="S460" t="s">
        <v>74</v>
      </c>
      <c r="T460" t="s">
        <v>9485</v>
      </c>
      <c r="U460" t="s">
        <v>9486</v>
      </c>
      <c r="V460" t="s">
        <v>9487</v>
      </c>
      <c r="W460" t="s">
        <v>9488</v>
      </c>
      <c r="X460" t="s">
        <v>9489</v>
      </c>
      <c r="Y460" t="s">
        <v>9490</v>
      </c>
      <c r="Z460" t="s">
        <v>9491</v>
      </c>
      <c r="AA460" t="s">
        <v>9492</v>
      </c>
      <c r="AB460" t="s">
        <v>9493</v>
      </c>
      <c r="AC460" t="s">
        <v>9494</v>
      </c>
      <c r="AD460" t="s">
        <v>9495</v>
      </c>
      <c r="AE460" t="s">
        <v>9496</v>
      </c>
      <c r="AF460" t="s">
        <v>74</v>
      </c>
      <c r="AG460">
        <v>17</v>
      </c>
      <c r="AH460">
        <v>3</v>
      </c>
      <c r="AI460">
        <v>3</v>
      </c>
      <c r="AJ460">
        <v>1</v>
      </c>
      <c r="AK460">
        <v>4</v>
      </c>
      <c r="AL460" t="s">
        <v>169</v>
      </c>
      <c r="AM460" t="s">
        <v>170</v>
      </c>
      <c r="AN460" t="s">
        <v>171</v>
      </c>
      <c r="AO460" t="s">
        <v>9497</v>
      </c>
      <c r="AP460" t="s">
        <v>9498</v>
      </c>
      <c r="AQ460" t="s">
        <v>74</v>
      </c>
      <c r="AR460" t="s">
        <v>9484</v>
      </c>
      <c r="AS460" t="s">
        <v>9499</v>
      </c>
      <c r="AT460" t="s">
        <v>9477</v>
      </c>
      <c r="AU460">
        <v>2020</v>
      </c>
      <c r="AV460">
        <v>4858</v>
      </c>
      <c r="AW460">
        <v>2</v>
      </c>
      <c r="AX460" t="s">
        <v>74</v>
      </c>
      <c r="AY460" t="s">
        <v>74</v>
      </c>
      <c r="AZ460" t="s">
        <v>74</v>
      </c>
      <c r="BA460" t="s">
        <v>74</v>
      </c>
      <c r="BB460">
        <v>292</v>
      </c>
      <c r="BC460">
        <v>294</v>
      </c>
      <c r="BD460" t="s">
        <v>74</v>
      </c>
      <c r="BE460" t="s">
        <v>9500</v>
      </c>
      <c r="BF460" t="str">
        <f>HYPERLINK("http://dx.doi.org/10.11646/zootaxa.4858.2.10","http://dx.doi.org/10.11646/zootaxa.4858.2.10")</f>
        <v>http://dx.doi.org/10.11646/zootaxa.4858.2.10</v>
      </c>
      <c r="BG460" t="s">
        <v>74</v>
      </c>
      <c r="BH460" t="s">
        <v>74</v>
      </c>
      <c r="BI460">
        <v>3</v>
      </c>
      <c r="BJ460" t="s">
        <v>1553</v>
      </c>
      <c r="BK460" t="s">
        <v>100</v>
      </c>
      <c r="BL460" t="s">
        <v>1553</v>
      </c>
      <c r="BM460" t="s">
        <v>9501</v>
      </c>
      <c r="BN460">
        <v>33056237</v>
      </c>
      <c r="BO460" t="s">
        <v>74</v>
      </c>
      <c r="BP460" t="s">
        <v>74</v>
      </c>
      <c r="BQ460" t="s">
        <v>74</v>
      </c>
      <c r="BR460" t="s">
        <v>104</v>
      </c>
      <c r="BS460" t="s">
        <v>9502</v>
      </c>
      <c r="BT460" t="str">
        <f>HYPERLINK("https%3A%2F%2Fwww.webofscience.com%2Fwos%2Fwoscc%2Ffull-record%2FWOS:000576203900004","View Full Record in Web of Science")</f>
        <v>View Full Record in Web of Science</v>
      </c>
    </row>
    <row r="461" spans="1:72" x14ac:dyDescent="0.15">
      <c r="A461" t="s">
        <v>72</v>
      </c>
      <c r="B461" t="s">
        <v>9503</v>
      </c>
      <c r="C461" t="s">
        <v>74</v>
      </c>
      <c r="D461" t="s">
        <v>74</v>
      </c>
      <c r="E461" t="s">
        <v>74</v>
      </c>
      <c r="F461" t="s">
        <v>9504</v>
      </c>
      <c r="G461" t="s">
        <v>74</v>
      </c>
      <c r="H461" t="s">
        <v>74</v>
      </c>
      <c r="I461" t="s">
        <v>9505</v>
      </c>
      <c r="J461" t="s">
        <v>9506</v>
      </c>
      <c r="K461" t="s">
        <v>74</v>
      </c>
      <c r="L461" t="s">
        <v>74</v>
      </c>
      <c r="M461" t="s">
        <v>78</v>
      </c>
      <c r="N461" t="s">
        <v>79</v>
      </c>
      <c r="O461" t="s">
        <v>74</v>
      </c>
      <c r="P461" t="s">
        <v>74</v>
      </c>
      <c r="Q461" t="s">
        <v>74</v>
      </c>
      <c r="R461" t="s">
        <v>74</v>
      </c>
      <c r="S461" t="s">
        <v>74</v>
      </c>
      <c r="T461" t="s">
        <v>9507</v>
      </c>
      <c r="U461" t="s">
        <v>9508</v>
      </c>
      <c r="V461" t="s">
        <v>9509</v>
      </c>
      <c r="W461" t="s">
        <v>9510</v>
      </c>
      <c r="X461" t="s">
        <v>9511</v>
      </c>
      <c r="Y461" t="s">
        <v>9512</v>
      </c>
      <c r="Z461" t="s">
        <v>9513</v>
      </c>
      <c r="AA461" t="s">
        <v>74</v>
      </c>
      <c r="AB461" t="s">
        <v>9514</v>
      </c>
      <c r="AC461" t="s">
        <v>9515</v>
      </c>
      <c r="AD461" t="s">
        <v>9516</v>
      </c>
      <c r="AE461" t="s">
        <v>9517</v>
      </c>
      <c r="AF461" t="s">
        <v>74</v>
      </c>
      <c r="AG461">
        <v>36</v>
      </c>
      <c r="AH461">
        <v>5</v>
      </c>
      <c r="AI461">
        <v>5</v>
      </c>
      <c r="AJ461">
        <v>0</v>
      </c>
      <c r="AK461">
        <v>9</v>
      </c>
      <c r="AL461" t="s">
        <v>9518</v>
      </c>
      <c r="AM461" t="s">
        <v>9519</v>
      </c>
      <c r="AN461" t="s">
        <v>9520</v>
      </c>
      <c r="AO461" t="s">
        <v>9521</v>
      </c>
      <c r="AP461" t="s">
        <v>9522</v>
      </c>
      <c r="AQ461" t="s">
        <v>74</v>
      </c>
      <c r="AR461" t="s">
        <v>9523</v>
      </c>
      <c r="AS461" t="s">
        <v>9524</v>
      </c>
      <c r="AT461" t="s">
        <v>720</v>
      </c>
      <c r="AU461">
        <v>2020</v>
      </c>
      <c r="AV461">
        <v>43</v>
      </c>
      <c r="AW461">
        <v>4</v>
      </c>
      <c r="AX461" t="s">
        <v>74</v>
      </c>
      <c r="AY461" t="s">
        <v>74</v>
      </c>
      <c r="AZ461" t="s">
        <v>74</v>
      </c>
      <c r="BA461" t="s">
        <v>74</v>
      </c>
      <c r="BB461">
        <v>689</v>
      </c>
      <c r="BC461">
        <v>696</v>
      </c>
      <c r="BD461" t="s">
        <v>74</v>
      </c>
      <c r="BE461" t="s">
        <v>9525</v>
      </c>
      <c r="BF461" t="str">
        <f>HYPERLINK("http://dx.doi.org/10.1007/s40415-020-00661-0","http://dx.doi.org/10.1007/s40415-020-00661-0")</f>
        <v>http://dx.doi.org/10.1007/s40415-020-00661-0</v>
      </c>
      <c r="BG461" t="s">
        <v>74</v>
      </c>
      <c r="BH461" t="s">
        <v>9526</v>
      </c>
      <c r="BI461">
        <v>8</v>
      </c>
      <c r="BJ461" t="s">
        <v>176</v>
      </c>
      <c r="BK461" t="s">
        <v>100</v>
      </c>
      <c r="BL461" t="s">
        <v>176</v>
      </c>
      <c r="BM461" t="s">
        <v>9527</v>
      </c>
      <c r="BN461" t="s">
        <v>74</v>
      </c>
      <c r="BO461" t="s">
        <v>74</v>
      </c>
      <c r="BP461" t="s">
        <v>74</v>
      </c>
      <c r="BQ461" t="s">
        <v>74</v>
      </c>
      <c r="BR461" t="s">
        <v>104</v>
      </c>
      <c r="BS461" t="s">
        <v>9528</v>
      </c>
      <c r="BT461" t="str">
        <f>HYPERLINK("https%3A%2F%2Fwww.webofscience.com%2Fwos%2Fwoscc%2Ffull-record%2FWOS:000574098900001","View Full Record in Web of Science")</f>
        <v>View Full Record in Web of Science</v>
      </c>
    </row>
    <row r="462" spans="1:72" x14ac:dyDescent="0.15">
      <c r="A462" t="s">
        <v>72</v>
      </c>
      <c r="B462" t="s">
        <v>9529</v>
      </c>
      <c r="C462" t="s">
        <v>74</v>
      </c>
      <c r="D462" t="s">
        <v>74</v>
      </c>
      <c r="E462" t="s">
        <v>74</v>
      </c>
      <c r="F462" t="s">
        <v>9530</v>
      </c>
      <c r="G462" t="s">
        <v>74</v>
      </c>
      <c r="H462" t="s">
        <v>74</v>
      </c>
      <c r="I462" t="s">
        <v>9531</v>
      </c>
      <c r="J462" t="s">
        <v>1063</v>
      </c>
      <c r="K462" t="s">
        <v>74</v>
      </c>
      <c r="L462" t="s">
        <v>74</v>
      </c>
      <c r="M462" t="s">
        <v>78</v>
      </c>
      <c r="N462" t="s">
        <v>79</v>
      </c>
      <c r="O462" t="s">
        <v>74</v>
      </c>
      <c r="P462" t="s">
        <v>74</v>
      </c>
      <c r="Q462" t="s">
        <v>74</v>
      </c>
      <c r="R462" t="s">
        <v>74</v>
      </c>
      <c r="S462" t="s">
        <v>74</v>
      </c>
      <c r="T462" t="s">
        <v>9532</v>
      </c>
      <c r="U462" t="s">
        <v>9533</v>
      </c>
      <c r="V462" t="s">
        <v>9534</v>
      </c>
      <c r="W462" t="s">
        <v>9535</v>
      </c>
      <c r="X462" t="s">
        <v>9536</v>
      </c>
      <c r="Y462" t="s">
        <v>9537</v>
      </c>
      <c r="Z462" t="s">
        <v>9538</v>
      </c>
      <c r="AA462" t="s">
        <v>74</v>
      </c>
      <c r="AB462" t="s">
        <v>74</v>
      </c>
      <c r="AC462" t="s">
        <v>6056</v>
      </c>
      <c r="AD462" t="s">
        <v>6056</v>
      </c>
      <c r="AE462" t="s">
        <v>6057</v>
      </c>
      <c r="AF462" t="s">
        <v>74</v>
      </c>
      <c r="AG462">
        <v>63</v>
      </c>
      <c r="AH462">
        <v>2</v>
      </c>
      <c r="AI462">
        <v>2</v>
      </c>
      <c r="AJ462">
        <v>2</v>
      </c>
      <c r="AK462">
        <v>17</v>
      </c>
      <c r="AL462" t="s">
        <v>482</v>
      </c>
      <c r="AM462" t="s">
        <v>483</v>
      </c>
      <c r="AN462" t="s">
        <v>484</v>
      </c>
      <c r="AO462" t="s">
        <v>1075</v>
      </c>
      <c r="AP462" t="s">
        <v>1076</v>
      </c>
      <c r="AQ462" t="s">
        <v>74</v>
      </c>
      <c r="AR462" t="s">
        <v>1077</v>
      </c>
      <c r="AS462" t="s">
        <v>1078</v>
      </c>
      <c r="AT462" t="s">
        <v>1212</v>
      </c>
      <c r="AU462">
        <v>2020</v>
      </c>
      <c r="AV462">
        <v>43</v>
      </c>
      <c r="AW462">
        <v>11</v>
      </c>
      <c r="AX462" t="s">
        <v>74</v>
      </c>
      <c r="AY462" t="s">
        <v>74</v>
      </c>
      <c r="AZ462" t="s">
        <v>74</v>
      </c>
      <c r="BA462" t="s">
        <v>74</v>
      </c>
      <c r="BB462">
        <v>1887</v>
      </c>
      <c r="BC462">
        <v>1898</v>
      </c>
      <c r="BD462" t="s">
        <v>74</v>
      </c>
      <c r="BE462" t="s">
        <v>9539</v>
      </c>
      <c r="BF462" t="str">
        <f>HYPERLINK("http://dx.doi.org/10.1007/s00300-020-02752-w","http://dx.doi.org/10.1007/s00300-020-02752-w")</f>
        <v>http://dx.doi.org/10.1007/s00300-020-02752-w</v>
      </c>
      <c r="BG462" t="s">
        <v>74</v>
      </c>
      <c r="BH462" t="s">
        <v>9526</v>
      </c>
      <c r="BI462">
        <v>12</v>
      </c>
      <c r="BJ462" t="s">
        <v>1080</v>
      </c>
      <c r="BK462" t="s">
        <v>100</v>
      </c>
      <c r="BL462" t="s">
        <v>256</v>
      </c>
      <c r="BM462" t="s">
        <v>9540</v>
      </c>
      <c r="BN462" t="s">
        <v>74</v>
      </c>
      <c r="BO462" t="s">
        <v>564</v>
      </c>
      <c r="BP462" t="s">
        <v>74</v>
      </c>
      <c r="BQ462" t="s">
        <v>74</v>
      </c>
      <c r="BR462" t="s">
        <v>104</v>
      </c>
      <c r="BS462" t="s">
        <v>9541</v>
      </c>
      <c r="BT462" t="str">
        <f>HYPERLINK("https%3A%2F%2Fwww.webofscience.com%2Fwos%2Fwoscc%2Ffull-record%2FWOS:000574134300001","View Full Record in Web of Science")</f>
        <v>View Full Record in Web of Science</v>
      </c>
    </row>
    <row r="463" spans="1:72" x14ac:dyDescent="0.15">
      <c r="A463" t="s">
        <v>72</v>
      </c>
      <c r="B463" t="s">
        <v>9542</v>
      </c>
      <c r="C463" t="s">
        <v>74</v>
      </c>
      <c r="D463" t="s">
        <v>74</v>
      </c>
      <c r="E463" t="s">
        <v>74</v>
      </c>
      <c r="F463" t="s">
        <v>9543</v>
      </c>
      <c r="G463" t="s">
        <v>74</v>
      </c>
      <c r="H463" t="s">
        <v>74</v>
      </c>
      <c r="I463" t="s">
        <v>9544</v>
      </c>
      <c r="J463" t="s">
        <v>6291</v>
      </c>
      <c r="K463" t="s">
        <v>74</v>
      </c>
      <c r="L463" t="s">
        <v>74</v>
      </c>
      <c r="M463" t="s">
        <v>78</v>
      </c>
      <c r="N463" t="s">
        <v>79</v>
      </c>
      <c r="O463" t="s">
        <v>74</v>
      </c>
      <c r="P463" t="s">
        <v>74</v>
      </c>
      <c r="Q463" t="s">
        <v>74</v>
      </c>
      <c r="R463" t="s">
        <v>74</v>
      </c>
      <c r="S463" t="s">
        <v>74</v>
      </c>
      <c r="T463" t="s">
        <v>74</v>
      </c>
      <c r="U463" t="s">
        <v>9545</v>
      </c>
      <c r="V463" t="s">
        <v>9546</v>
      </c>
      <c r="W463" t="s">
        <v>9547</v>
      </c>
      <c r="X463" t="s">
        <v>9548</v>
      </c>
      <c r="Y463" t="s">
        <v>9549</v>
      </c>
      <c r="Z463" t="s">
        <v>9550</v>
      </c>
      <c r="AA463" t="s">
        <v>9551</v>
      </c>
      <c r="AB463" t="s">
        <v>9552</v>
      </c>
      <c r="AC463" t="s">
        <v>9553</v>
      </c>
      <c r="AD463" t="s">
        <v>9554</v>
      </c>
      <c r="AE463" t="s">
        <v>9555</v>
      </c>
      <c r="AF463" t="s">
        <v>74</v>
      </c>
      <c r="AG463">
        <v>175</v>
      </c>
      <c r="AH463">
        <v>71</v>
      </c>
      <c r="AI463">
        <v>79</v>
      </c>
      <c r="AJ463">
        <v>4</v>
      </c>
      <c r="AK463">
        <v>22</v>
      </c>
      <c r="AL463" t="s">
        <v>91</v>
      </c>
      <c r="AM463" t="s">
        <v>92</v>
      </c>
      <c r="AN463" t="s">
        <v>93</v>
      </c>
      <c r="AO463" t="s">
        <v>6303</v>
      </c>
      <c r="AP463" t="s">
        <v>6304</v>
      </c>
      <c r="AQ463" t="s">
        <v>74</v>
      </c>
      <c r="AR463" t="s">
        <v>6305</v>
      </c>
      <c r="AS463" t="s">
        <v>6306</v>
      </c>
      <c r="AT463" t="s">
        <v>9556</v>
      </c>
      <c r="AU463">
        <v>2020</v>
      </c>
      <c r="AV463">
        <v>13</v>
      </c>
      <c r="AW463">
        <v>9</v>
      </c>
      <c r="AX463" t="s">
        <v>74</v>
      </c>
      <c r="AY463" t="s">
        <v>74</v>
      </c>
      <c r="AZ463" t="s">
        <v>74</v>
      </c>
      <c r="BA463" t="s">
        <v>74</v>
      </c>
      <c r="BB463">
        <v>4595</v>
      </c>
      <c r="BC463">
        <v>4637</v>
      </c>
      <c r="BD463" t="s">
        <v>74</v>
      </c>
      <c r="BE463" t="s">
        <v>9557</v>
      </c>
      <c r="BF463" t="str">
        <f>HYPERLINK("http://dx.doi.org/10.5194/gmd-13-4595-2020","http://dx.doi.org/10.5194/gmd-13-4595-2020")</f>
        <v>http://dx.doi.org/10.5194/gmd-13-4595-2020</v>
      </c>
      <c r="BG463" t="s">
        <v>74</v>
      </c>
      <c r="BH463" t="s">
        <v>74</v>
      </c>
      <c r="BI463">
        <v>43</v>
      </c>
      <c r="BJ463" t="s">
        <v>534</v>
      </c>
      <c r="BK463" t="s">
        <v>100</v>
      </c>
      <c r="BL463" t="s">
        <v>535</v>
      </c>
      <c r="BM463" t="s">
        <v>9558</v>
      </c>
      <c r="BN463" t="s">
        <v>74</v>
      </c>
      <c r="BO463" t="s">
        <v>350</v>
      </c>
      <c r="BP463" t="s">
        <v>74</v>
      </c>
      <c r="BQ463" t="s">
        <v>74</v>
      </c>
      <c r="BR463" t="s">
        <v>104</v>
      </c>
      <c r="BS463" t="s">
        <v>9559</v>
      </c>
      <c r="BT463" t="str">
        <f>HYPERLINK("https%3A%2F%2Fwww.webofscience.com%2Fwos%2Fwoscc%2Ffull-record%2FWOS:000576667800001","View Full Record in Web of Science")</f>
        <v>View Full Record in Web of Science</v>
      </c>
    </row>
    <row r="464" spans="1:72" x14ac:dyDescent="0.15">
      <c r="A464" t="s">
        <v>72</v>
      </c>
      <c r="B464" t="s">
        <v>9560</v>
      </c>
      <c r="C464" t="s">
        <v>74</v>
      </c>
      <c r="D464" t="s">
        <v>74</v>
      </c>
      <c r="E464" t="s">
        <v>74</v>
      </c>
      <c r="F464" t="s">
        <v>9561</v>
      </c>
      <c r="G464" t="s">
        <v>74</v>
      </c>
      <c r="H464" t="s">
        <v>74</v>
      </c>
      <c r="I464" t="s">
        <v>9562</v>
      </c>
      <c r="J464" t="s">
        <v>4108</v>
      </c>
      <c r="K464" t="s">
        <v>74</v>
      </c>
      <c r="L464" t="s">
        <v>74</v>
      </c>
      <c r="M464" t="s">
        <v>78</v>
      </c>
      <c r="N464" t="s">
        <v>79</v>
      </c>
      <c r="O464" t="s">
        <v>74</v>
      </c>
      <c r="P464" t="s">
        <v>74</v>
      </c>
      <c r="Q464" t="s">
        <v>74</v>
      </c>
      <c r="R464" t="s">
        <v>74</v>
      </c>
      <c r="S464" t="s">
        <v>74</v>
      </c>
      <c r="T464" t="s">
        <v>74</v>
      </c>
      <c r="U464" t="s">
        <v>9563</v>
      </c>
      <c r="V464" t="s">
        <v>9564</v>
      </c>
      <c r="W464" t="s">
        <v>9565</v>
      </c>
      <c r="X464" t="s">
        <v>9566</v>
      </c>
      <c r="Y464" t="s">
        <v>9567</v>
      </c>
      <c r="Z464" t="s">
        <v>9568</v>
      </c>
      <c r="AA464" t="s">
        <v>74</v>
      </c>
      <c r="AB464" t="s">
        <v>9569</v>
      </c>
      <c r="AC464" t="s">
        <v>9570</v>
      </c>
      <c r="AD464" t="s">
        <v>9571</v>
      </c>
      <c r="AE464" t="s">
        <v>9572</v>
      </c>
      <c r="AF464" t="s">
        <v>74</v>
      </c>
      <c r="AG464">
        <v>73</v>
      </c>
      <c r="AH464">
        <v>8</v>
      </c>
      <c r="AI464">
        <v>8</v>
      </c>
      <c r="AJ464">
        <v>1</v>
      </c>
      <c r="AK464">
        <v>1</v>
      </c>
      <c r="AL464" t="s">
        <v>91</v>
      </c>
      <c r="AM464" t="s">
        <v>92</v>
      </c>
      <c r="AN464" t="s">
        <v>93</v>
      </c>
      <c r="AO464" t="s">
        <v>4120</v>
      </c>
      <c r="AP464" t="s">
        <v>4121</v>
      </c>
      <c r="AQ464" t="s">
        <v>74</v>
      </c>
      <c r="AR464" t="s">
        <v>4122</v>
      </c>
      <c r="AS464" t="s">
        <v>4123</v>
      </c>
      <c r="AT464" t="s">
        <v>9556</v>
      </c>
      <c r="AU464">
        <v>2020</v>
      </c>
      <c r="AV464">
        <v>13</v>
      </c>
      <c r="AW464">
        <v>9</v>
      </c>
      <c r="AX464" t="s">
        <v>74</v>
      </c>
      <c r="AY464" t="s">
        <v>74</v>
      </c>
      <c r="AZ464" t="s">
        <v>74</v>
      </c>
      <c r="BA464" t="s">
        <v>74</v>
      </c>
      <c r="BB464">
        <v>5117</v>
      </c>
      <c r="BC464">
        <v>5128</v>
      </c>
      <c r="BD464" t="s">
        <v>74</v>
      </c>
      <c r="BE464" t="s">
        <v>9573</v>
      </c>
      <c r="BF464" t="str">
        <f>HYPERLINK("http://dx.doi.org/10.5194/amt-13-5117-2020","http://dx.doi.org/10.5194/amt-13-5117-2020")</f>
        <v>http://dx.doi.org/10.5194/amt-13-5117-2020</v>
      </c>
      <c r="BG464" t="s">
        <v>74</v>
      </c>
      <c r="BH464" t="s">
        <v>74</v>
      </c>
      <c r="BI464">
        <v>12</v>
      </c>
      <c r="BJ464" t="s">
        <v>800</v>
      </c>
      <c r="BK464" t="s">
        <v>100</v>
      </c>
      <c r="BL464" t="s">
        <v>800</v>
      </c>
      <c r="BM464" t="s">
        <v>9574</v>
      </c>
      <c r="BN464" t="s">
        <v>74</v>
      </c>
      <c r="BO464" t="s">
        <v>9575</v>
      </c>
      <c r="BP464" t="s">
        <v>74</v>
      </c>
      <c r="BQ464" t="s">
        <v>74</v>
      </c>
      <c r="BR464" t="s">
        <v>104</v>
      </c>
      <c r="BS464" t="s">
        <v>9576</v>
      </c>
      <c r="BT464" t="str">
        <f>HYPERLINK("https%3A%2F%2Fwww.webofscience.com%2Fwos%2Fwoscc%2Ffull-record%2FWOS:000576665600002","View Full Record in Web of Science")</f>
        <v>View Full Record in Web of Science</v>
      </c>
    </row>
    <row r="465" spans="1:72" x14ac:dyDescent="0.15">
      <c r="A465" t="s">
        <v>72</v>
      </c>
      <c r="B465" t="s">
        <v>9577</v>
      </c>
      <c r="C465" t="s">
        <v>74</v>
      </c>
      <c r="D465" t="s">
        <v>74</v>
      </c>
      <c r="E465" t="s">
        <v>74</v>
      </c>
      <c r="F465" t="s">
        <v>9578</v>
      </c>
      <c r="G465" t="s">
        <v>74</v>
      </c>
      <c r="H465" t="s">
        <v>74</v>
      </c>
      <c r="I465" t="s">
        <v>9579</v>
      </c>
      <c r="J465" t="s">
        <v>9580</v>
      </c>
      <c r="K465" t="s">
        <v>74</v>
      </c>
      <c r="L465" t="s">
        <v>74</v>
      </c>
      <c r="M465" t="s">
        <v>78</v>
      </c>
      <c r="N465" t="s">
        <v>79</v>
      </c>
      <c r="O465" t="s">
        <v>74</v>
      </c>
      <c r="P465" t="s">
        <v>74</v>
      </c>
      <c r="Q465" t="s">
        <v>74</v>
      </c>
      <c r="R465" t="s">
        <v>74</v>
      </c>
      <c r="S465" t="s">
        <v>74</v>
      </c>
      <c r="T465" t="s">
        <v>74</v>
      </c>
      <c r="U465" t="s">
        <v>9581</v>
      </c>
      <c r="V465" t="s">
        <v>9582</v>
      </c>
      <c r="W465" t="s">
        <v>9583</v>
      </c>
      <c r="X465" t="s">
        <v>9584</v>
      </c>
      <c r="Y465" t="s">
        <v>9585</v>
      </c>
      <c r="Z465" t="s">
        <v>9586</v>
      </c>
      <c r="AA465" t="s">
        <v>9587</v>
      </c>
      <c r="AB465" t="s">
        <v>9588</v>
      </c>
      <c r="AC465" t="s">
        <v>9589</v>
      </c>
      <c r="AD465" t="s">
        <v>9590</v>
      </c>
      <c r="AE465" t="s">
        <v>9591</v>
      </c>
      <c r="AF465" t="s">
        <v>74</v>
      </c>
      <c r="AG465">
        <v>88</v>
      </c>
      <c r="AH465">
        <v>5</v>
      </c>
      <c r="AI465">
        <v>6</v>
      </c>
      <c r="AJ465">
        <v>0</v>
      </c>
      <c r="AK465">
        <v>5</v>
      </c>
      <c r="AL465" t="s">
        <v>581</v>
      </c>
      <c r="AM465" t="s">
        <v>582</v>
      </c>
      <c r="AN465" t="s">
        <v>583</v>
      </c>
      <c r="AO465" t="s">
        <v>9592</v>
      </c>
      <c r="AP465" t="s">
        <v>9593</v>
      </c>
      <c r="AQ465" t="s">
        <v>74</v>
      </c>
      <c r="AR465" t="s">
        <v>9594</v>
      </c>
      <c r="AS465" t="s">
        <v>9595</v>
      </c>
      <c r="AT465" t="s">
        <v>9556</v>
      </c>
      <c r="AU465">
        <v>2020</v>
      </c>
      <c r="AV465">
        <v>167</v>
      </c>
      <c r="AW465">
        <v>10</v>
      </c>
      <c r="AX465" t="s">
        <v>74</v>
      </c>
      <c r="AY465" t="s">
        <v>74</v>
      </c>
      <c r="AZ465" t="s">
        <v>74</v>
      </c>
      <c r="BA465" t="s">
        <v>74</v>
      </c>
      <c r="BB465" t="s">
        <v>74</v>
      </c>
      <c r="BC465" t="s">
        <v>74</v>
      </c>
      <c r="BD465">
        <v>148</v>
      </c>
      <c r="BE465" t="s">
        <v>9596</v>
      </c>
      <c r="BF465" t="str">
        <f>HYPERLINK("http://dx.doi.org/10.1007/s00227-020-03760-4","http://dx.doi.org/10.1007/s00227-020-03760-4")</f>
        <v>http://dx.doi.org/10.1007/s00227-020-03760-4</v>
      </c>
      <c r="BG465" t="s">
        <v>74</v>
      </c>
      <c r="BH465" t="s">
        <v>74</v>
      </c>
      <c r="BI465">
        <v>11</v>
      </c>
      <c r="BJ465" t="s">
        <v>9597</v>
      </c>
      <c r="BK465" t="s">
        <v>100</v>
      </c>
      <c r="BL465" t="s">
        <v>9597</v>
      </c>
      <c r="BM465" t="s">
        <v>9598</v>
      </c>
      <c r="BN465" t="s">
        <v>74</v>
      </c>
      <c r="BO465" t="s">
        <v>3798</v>
      </c>
      <c r="BP465" t="s">
        <v>74</v>
      </c>
      <c r="BQ465" t="s">
        <v>74</v>
      </c>
      <c r="BR465" t="s">
        <v>104</v>
      </c>
      <c r="BS465" t="s">
        <v>9599</v>
      </c>
      <c r="BT465" t="str">
        <f>HYPERLINK("https%3A%2F%2Fwww.webofscience.com%2Fwos%2Fwoscc%2Ffull-record%2FWOS:000576897900001","View Full Record in Web of Science")</f>
        <v>View Full Record in Web of Science</v>
      </c>
    </row>
    <row r="466" spans="1:72" x14ac:dyDescent="0.15">
      <c r="A466" t="s">
        <v>72</v>
      </c>
      <c r="B466" t="s">
        <v>9600</v>
      </c>
      <c r="C466" t="s">
        <v>74</v>
      </c>
      <c r="D466" t="s">
        <v>74</v>
      </c>
      <c r="E466" t="s">
        <v>74</v>
      </c>
      <c r="F466" t="s">
        <v>9601</v>
      </c>
      <c r="G466" t="s">
        <v>74</v>
      </c>
      <c r="H466" t="s">
        <v>74</v>
      </c>
      <c r="I466" t="s">
        <v>9602</v>
      </c>
      <c r="J466" t="s">
        <v>9603</v>
      </c>
      <c r="K466" t="s">
        <v>74</v>
      </c>
      <c r="L466" t="s">
        <v>74</v>
      </c>
      <c r="M466" t="s">
        <v>78</v>
      </c>
      <c r="N466" t="s">
        <v>79</v>
      </c>
      <c r="O466" t="s">
        <v>74</v>
      </c>
      <c r="P466" t="s">
        <v>74</v>
      </c>
      <c r="Q466" t="s">
        <v>74</v>
      </c>
      <c r="R466" t="s">
        <v>74</v>
      </c>
      <c r="S466" t="s">
        <v>74</v>
      </c>
      <c r="T466" t="s">
        <v>9604</v>
      </c>
      <c r="U466" t="s">
        <v>9605</v>
      </c>
      <c r="V466" t="s">
        <v>9606</v>
      </c>
      <c r="W466" t="s">
        <v>9607</v>
      </c>
      <c r="X466" t="s">
        <v>9608</v>
      </c>
      <c r="Y466" t="s">
        <v>9609</v>
      </c>
      <c r="Z466" t="s">
        <v>9610</v>
      </c>
      <c r="AA466" t="s">
        <v>74</v>
      </c>
      <c r="AB466" t="s">
        <v>9611</v>
      </c>
      <c r="AC466" t="s">
        <v>9612</v>
      </c>
      <c r="AD466" t="s">
        <v>9613</v>
      </c>
      <c r="AE466" t="s">
        <v>9614</v>
      </c>
      <c r="AF466" t="s">
        <v>74</v>
      </c>
      <c r="AG466">
        <v>61</v>
      </c>
      <c r="AH466">
        <v>4</v>
      </c>
      <c r="AI466">
        <v>4</v>
      </c>
      <c r="AJ466">
        <v>0</v>
      </c>
      <c r="AK466">
        <v>4</v>
      </c>
      <c r="AL466" t="s">
        <v>692</v>
      </c>
      <c r="AM466" t="s">
        <v>693</v>
      </c>
      <c r="AN466" t="s">
        <v>694</v>
      </c>
      <c r="AO466" t="s">
        <v>9615</v>
      </c>
      <c r="AP466" t="s">
        <v>9616</v>
      </c>
      <c r="AQ466" t="s">
        <v>74</v>
      </c>
      <c r="AR466" t="s">
        <v>9617</v>
      </c>
      <c r="AS466" t="s">
        <v>9618</v>
      </c>
      <c r="AT466" t="s">
        <v>4432</v>
      </c>
      <c r="AU466">
        <v>2021</v>
      </c>
      <c r="AV466">
        <v>87</v>
      </c>
      <c r="AW466">
        <v>1</v>
      </c>
      <c r="AX466" t="s">
        <v>74</v>
      </c>
      <c r="AY466" t="s">
        <v>74</v>
      </c>
      <c r="AZ466" t="s">
        <v>74</v>
      </c>
      <c r="BA466" t="s">
        <v>74</v>
      </c>
      <c r="BB466">
        <v>63</v>
      </c>
      <c r="BC466">
        <v>74</v>
      </c>
      <c r="BD466" t="s">
        <v>74</v>
      </c>
      <c r="BE466" t="s">
        <v>9619</v>
      </c>
      <c r="BF466" t="str">
        <f>HYPERLINK("http://dx.doi.org/10.1080/03122417.2020.1823086","http://dx.doi.org/10.1080/03122417.2020.1823086")</f>
        <v>http://dx.doi.org/10.1080/03122417.2020.1823086</v>
      </c>
      <c r="BG466" t="s">
        <v>74</v>
      </c>
      <c r="BH466" t="s">
        <v>9526</v>
      </c>
      <c r="BI466">
        <v>12</v>
      </c>
      <c r="BJ466" t="s">
        <v>9620</v>
      </c>
      <c r="BK466" t="s">
        <v>9621</v>
      </c>
      <c r="BL466" t="s">
        <v>9620</v>
      </c>
      <c r="BM466" t="s">
        <v>9622</v>
      </c>
      <c r="BN466" t="s">
        <v>74</v>
      </c>
      <c r="BO466" t="s">
        <v>376</v>
      </c>
      <c r="BP466" t="s">
        <v>74</v>
      </c>
      <c r="BQ466" t="s">
        <v>74</v>
      </c>
      <c r="BR466" t="s">
        <v>104</v>
      </c>
      <c r="BS466" t="s">
        <v>9623</v>
      </c>
      <c r="BT466" t="str">
        <f>HYPERLINK("https%3A%2F%2Fwww.webofscience.com%2Fwos%2Fwoscc%2Ffull-record%2FWOS:000574194300001","View Full Record in Web of Science")</f>
        <v>View Full Record in Web of Science</v>
      </c>
    </row>
    <row r="467" spans="1:72" x14ac:dyDescent="0.15">
      <c r="A467" t="s">
        <v>72</v>
      </c>
      <c r="B467" t="s">
        <v>9624</v>
      </c>
      <c r="C467" t="s">
        <v>74</v>
      </c>
      <c r="D467" t="s">
        <v>74</v>
      </c>
      <c r="E467" t="s">
        <v>74</v>
      </c>
      <c r="F467" t="s">
        <v>9625</v>
      </c>
      <c r="G467" t="s">
        <v>74</v>
      </c>
      <c r="H467" t="s">
        <v>74</v>
      </c>
      <c r="I467" t="s">
        <v>9626</v>
      </c>
      <c r="J467" t="s">
        <v>1063</v>
      </c>
      <c r="K467" t="s">
        <v>74</v>
      </c>
      <c r="L467" t="s">
        <v>74</v>
      </c>
      <c r="M467" t="s">
        <v>78</v>
      </c>
      <c r="N467" t="s">
        <v>79</v>
      </c>
      <c r="O467" t="s">
        <v>74</v>
      </c>
      <c r="P467" t="s">
        <v>74</v>
      </c>
      <c r="Q467" t="s">
        <v>74</v>
      </c>
      <c r="R467" t="s">
        <v>74</v>
      </c>
      <c r="S467" t="s">
        <v>74</v>
      </c>
      <c r="T467" t="s">
        <v>9627</v>
      </c>
      <c r="U467" t="s">
        <v>9628</v>
      </c>
      <c r="V467" t="s">
        <v>9629</v>
      </c>
      <c r="W467" t="s">
        <v>9630</v>
      </c>
      <c r="X467" t="s">
        <v>9631</v>
      </c>
      <c r="Y467" t="s">
        <v>9632</v>
      </c>
      <c r="Z467" t="s">
        <v>9633</v>
      </c>
      <c r="AA467" t="s">
        <v>9634</v>
      </c>
      <c r="AB467" t="s">
        <v>9635</v>
      </c>
      <c r="AC467" t="s">
        <v>9636</v>
      </c>
      <c r="AD467" t="s">
        <v>9637</v>
      </c>
      <c r="AE467" t="s">
        <v>9638</v>
      </c>
      <c r="AF467" t="s">
        <v>74</v>
      </c>
      <c r="AG467">
        <v>41</v>
      </c>
      <c r="AH467">
        <v>3</v>
      </c>
      <c r="AI467">
        <v>3</v>
      </c>
      <c r="AJ467">
        <v>0</v>
      </c>
      <c r="AK467">
        <v>4</v>
      </c>
      <c r="AL467" t="s">
        <v>482</v>
      </c>
      <c r="AM467" t="s">
        <v>483</v>
      </c>
      <c r="AN467" t="s">
        <v>484</v>
      </c>
      <c r="AO467" t="s">
        <v>1075</v>
      </c>
      <c r="AP467" t="s">
        <v>1076</v>
      </c>
      <c r="AQ467" t="s">
        <v>74</v>
      </c>
      <c r="AR467" t="s">
        <v>1077</v>
      </c>
      <c r="AS467" t="s">
        <v>1078</v>
      </c>
      <c r="AT467" t="s">
        <v>720</v>
      </c>
      <c r="AU467">
        <v>2020</v>
      </c>
      <c r="AV467">
        <v>43</v>
      </c>
      <c r="AW467">
        <v>12</v>
      </c>
      <c r="AX467" t="s">
        <v>74</v>
      </c>
      <c r="AY467" t="s">
        <v>74</v>
      </c>
      <c r="AZ467" t="s">
        <v>74</v>
      </c>
      <c r="BA467" t="s">
        <v>74</v>
      </c>
      <c r="BB467">
        <v>1957</v>
      </c>
      <c r="BC467">
        <v>1966</v>
      </c>
      <c r="BD467" t="s">
        <v>74</v>
      </c>
      <c r="BE467" t="s">
        <v>9639</v>
      </c>
      <c r="BF467" t="str">
        <f>HYPERLINK("http://dx.doi.org/10.1007/s00300-020-02753-9","http://dx.doi.org/10.1007/s00300-020-02753-9")</f>
        <v>http://dx.doi.org/10.1007/s00300-020-02753-9</v>
      </c>
      <c r="BG467" t="s">
        <v>74</v>
      </c>
      <c r="BH467" t="s">
        <v>9526</v>
      </c>
      <c r="BI467">
        <v>10</v>
      </c>
      <c r="BJ467" t="s">
        <v>1080</v>
      </c>
      <c r="BK467" t="s">
        <v>100</v>
      </c>
      <c r="BL467" t="s">
        <v>256</v>
      </c>
      <c r="BM467" t="s">
        <v>1081</v>
      </c>
      <c r="BN467" t="s">
        <v>74</v>
      </c>
      <c r="BO467" t="s">
        <v>74</v>
      </c>
      <c r="BP467" t="s">
        <v>74</v>
      </c>
      <c r="BQ467" t="s">
        <v>74</v>
      </c>
      <c r="BR467" t="s">
        <v>104</v>
      </c>
      <c r="BS467" t="s">
        <v>9640</v>
      </c>
      <c r="BT467" t="str">
        <f>HYPERLINK("https%3A%2F%2Fwww.webofscience.com%2Fwos%2Fwoscc%2Ffull-record%2FWOS:000573753100001","View Full Record in Web of Science")</f>
        <v>View Full Record in Web of Science</v>
      </c>
    </row>
    <row r="468" spans="1:72" x14ac:dyDescent="0.15">
      <c r="A468" t="s">
        <v>72</v>
      </c>
      <c r="B468" t="s">
        <v>9641</v>
      </c>
      <c r="C468" t="s">
        <v>74</v>
      </c>
      <c r="D468" t="s">
        <v>74</v>
      </c>
      <c r="E468" t="s">
        <v>74</v>
      </c>
      <c r="F468" t="s">
        <v>9642</v>
      </c>
      <c r="G468" t="s">
        <v>74</v>
      </c>
      <c r="H468" t="s">
        <v>74</v>
      </c>
      <c r="I468" t="s">
        <v>9643</v>
      </c>
      <c r="J468" t="s">
        <v>3687</v>
      </c>
      <c r="K468" t="s">
        <v>74</v>
      </c>
      <c r="L468" t="s">
        <v>74</v>
      </c>
      <c r="M468" t="s">
        <v>78</v>
      </c>
      <c r="N468" t="s">
        <v>79</v>
      </c>
      <c r="O468" t="s">
        <v>74</v>
      </c>
      <c r="P468" t="s">
        <v>74</v>
      </c>
      <c r="Q468" t="s">
        <v>74</v>
      </c>
      <c r="R468" t="s">
        <v>74</v>
      </c>
      <c r="S468" t="s">
        <v>74</v>
      </c>
      <c r="T468" t="s">
        <v>9644</v>
      </c>
      <c r="U468" t="s">
        <v>9645</v>
      </c>
      <c r="V468" t="s">
        <v>9646</v>
      </c>
      <c r="W468" t="s">
        <v>9647</v>
      </c>
      <c r="X468" t="s">
        <v>9648</v>
      </c>
      <c r="Y468" t="s">
        <v>9649</v>
      </c>
      <c r="Z468" t="s">
        <v>9650</v>
      </c>
      <c r="AA468" t="s">
        <v>9651</v>
      </c>
      <c r="AB468" t="s">
        <v>9652</v>
      </c>
      <c r="AC468" t="s">
        <v>9653</v>
      </c>
      <c r="AD468" t="s">
        <v>9654</v>
      </c>
      <c r="AE468" t="s">
        <v>9655</v>
      </c>
      <c r="AF468" t="s">
        <v>74</v>
      </c>
      <c r="AG468">
        <v>28</v>
      </c>
      <c r="AH468">
        <v>21</v>
      </c>
      <c r="AI468">
        <v>22</v>
      </c>
      <c r="AJ468">
        <v>0</v>
      </c>
      <c r="AK468">
        <v>8</v>
      </c>
      <c r="AL468" t="s">
        <v>1710</v>
      </c>
      <c r="AM468" t="s">
        <v>609</v>
      </c>
      <c r="AN468" t="s">
        <v>1711</v>
      </c>
      <c r="AO468" t="s">
        <v>3699</v>
      </c>
      <c r="AP468" t="s">
        <v>3700</v>
      </c>
      <c r="AQ468" t="s">
        <v>74</v>
      </c>
      <c r="AR468" t="s">
        <v>3701</v>
      </c>
      <c r="AS468" t="s">
        <v>3702</v>
      </c>
      <c r="AT468" t="s">
        <v>9656</v>
      </c>
      <c r="AU468">
        <v>2020</v>
      </c>
      <c r="AV468">
        <v>47</v>
      </c>
      <c r="AW468">
        <v>18</v>
      </c>
      <c r="AX468" t="s">
        <v>74</v>
      </c>
      <c r="AY468" t="s">
        <v>74</v>
      </c>
      <c r="AZ468" t="s">
        <v>74</v>
      </c>
      <c r="BA468" t="s">
        <v>74</v>
      </c>
      <c r="BB468" t="s">
        <v>74</v>
      </c>
      <c r="BC468" t="s">
        <v>74</v>
      </c>
      <c r="BD468" t="s">
        <v>9657</v>
      </c>
      <c r="BE468" t="s">
        <v>9658</v>
      </c>
      <c r="BF468" t="str">
        <f>HYPERLINK("http://dx.doi.org/10.1029/2020GL089191","http://dx.doi.org/10.1029/2020GL089191")</f>
        <v>http://dx.doi.org/10.1029/2020GL089191</v>
      </c>
      <c r="BG468" t="s">
        <v>74</v>
      </c>
      <c r="BH468" t="s">
        <v>74</v>
      </c>
      <c r="BI468">
        <v>7</v>
      </c>
      <c r="BJ468" t="s">
        <v>534</v>
      </c>
      <c r="BK468" t="s">
        <v>100</v>
      </c>
      <c r="BL468" t="s">
        <v>535</v>
      </c>
      <c r="BM468" t="s">
        <v>9659</v>
      </c>
      <c r="BN468" t="s">
        <v>74</v>
      </c>
      <c r="BO468" t="s">
        <v>74</v>
      </c>
      <c r="BP468" t="s">
        <v>74</v>
      </c>
      <c r="BQ468" t="s">
        <v>74</v>
      </c>
      <c r="BR468" t="s">
        <v>104</v>
      </c>
      <c r="BS468" t="s">
        <v>9660</v>
      </c>
      <c r="BT468" t="str">
        <f>HYPERLINK("https%3A%2F%2Fwww.webofscience.com%2Fwos%2Fwoscc%2Ffull-record%2FWOS:000576634400048","View Full Record in Web of Science")</f>
        <v>View Full Record in Web of Science</v>
      </c>
    </row>
    <row r="469" spans="1:72" x14ac:dyDescent="0.15">
      <c r="A469" t="s">
        <v>72</v>
      </c>
      <c r="B469" t="s">
        <v>9661</v>
      </c>
      <c r="C469" t="s">
        <v>74</v>
      </c>
      <c r="D469" t="s">
        <v>74</v>
      </c>
      <c r="E469" t="s">
        <v>74</v>
      </c>
      <c r="F469" t="s">
        <v>9662</v>
      </c>
      <c r="G469" t="s">
        <v>74</v>
      </c>
      <c r="H469" t="s">
        <v>74</v>
      </c>
      <c r="I469" t="s">
        <v>9663</v>
      </c>
      <c r="J469" t="s">
        <v>3687</v>
      </c>
      <c r="K469" t="s">
        <v>74</v>
      </c>
      <c r="L469" t="s">
        <v>74</v>
      </c>
      <c r="M469" t="s">
        <v>78</v>
      </c>
      <c r="N469" t="s">
        <v>79</v>
      </c>
      <c r="O469" t="s">
        <v>74</v>
      </c>
      <c r="P469" t="s">
        <v>74</v>
      </c>
      <c r="Q469" t="s">
        <v>74</v>
      </c>
      <c r="R469" t="s">
        <v>74</v>
      </c>
      <c r="S469" t="s">
        <v>74</v>
      </c>
      <c r="T469" t="s">
        <v>9664</v>
      </c>
      <c r="U469" t="s">
        <v>9665</v>
      </c>
      <c r="V469" t="s">
        <v>9666</v>
      </c>
      <c r="W469" t="s">
        <v>9667</v>
      </c>
      <c r="X469" t="s">
        <v>9668</v>
      </c>
      <c r="Y469" t="s">
        <v>9669</v>
      </c>
      <c r="Z469" t="s">
        <v>9670</v>
      </c>
      <c r="AA469" t="s">
        <v>9671</v>
      </c>
      <c r="AB469" t="s">
        <v>9672</v>
      </c>
      <c r="AC469" t="s">
        <v>9673</v>
      </c>
      <c r="AD469" t="s">
        <v>9674</v>
      </c>
      <c r="AE469" t="s">
        <v>9675</v>
      </c>
      <c r="AF469" t="s">
        <v>74</v>
      </c>
      <c r="AG469">
        <v>31</v>
      </c>
      <c r="AH469">
        <v>6</v>
      </c>
      <c r="AI469">
        <v>6</v>
      </c>
      <c r="AJ469">
        <v>1</v>
      </c>
      <c r="AK469">
        <v>9</v>
      </c>
      <c r="AL469" t="s">
        <v>1710</v>
      </c>
      <c r="AM469" t="s">
        <v>609</v>
      </c>
      <c r="AN469" t="s">
        <v>1711</v>
      </c>
      <c r="AO469" t="s">
        <v>3699</v>
      </c>
      <c r="AP469" t="s">
        <v>3700</v>
      </c>
      <c r="AQ469" t="s">
        <v>74</v>
      </c>
      <c r="AR469" t="s">
        <v>3701</v>
      </c>
      <c r="AS469" t="s">
        <v>3702</v>
      </c>
      <c r="AT469" t="s">
        <v>9656</v>
      </c>
      <c r="AU469">
        <v>2020</v>
      </c>
      <c r="AV469">
        <v>47</v>
      </c>
      <c r="AW469">
        <v>18</v>
      </c>
      <c r="AX469" t="s">
        <v>74</v>
      </c>
      <c r="AY469" t="s">
        <v>74</v>
      </c>
      <c r="AZ469" t="s">
        <v>74</v>
      </c>
      <c r="BA469" t="s">
        <v>74</v>
      </c>
      <c r="BB469" t="s">
        <v>74</v>
      </c>
      <c r="BC469" t="s">
        <v>74</v>
      </c>
      <c r="BD469" t="s">
        <v>9676</v>
      </c>
      <c r="BE469" t="s">
        <v>9677</v>
      </c>
      <c r="BF469" t="str">
        <f>HYPERLINK("http://dx.doi.org/10.1029/2020GL089335","http://dx.doi.org/10.1029/2020GL089335")</f>
        <v>http://dx.doi.org/10.1029/2020GL089335</v>
      </c>
      <c r="BG469" t="s">
        <v>74</v>
      </c>
      <c r="BH469" t="s">
        <v>74</v>
      </c>
      <c r="BI469">
        <v>10</v>
      </c>
      <c r="BJ469" t="s">
        <v>534</v>
      </c>
      <c r="BK469" t="s">
        <v>100</v>
      </c>
      <c r="BL469" t="s">
        <v>535</v>
      </c>
      <c r="BM469" t="s">
        <v>9659</v>
      </c>
      <c r="BN469" t="s">
        <v>74</v>
      </c>
      <c r="BO469" t="s">
        <v>564</v>
      </c>
      <c r="BP469" t="s">
        <v>74</v>
      </c>
      <c r="BQ469" t="s">
        <v>74</v>
      </c>
      <c r="BR469" t="s">
        <v>104</v>
      </c>
      <c r="BS469" t="s">
        <v>9678</v>
      </c>
      <c r="BT469" t="str">
        <f>HYPERLINK("https%3A%2F%2Fwww.webofscience.com%2Fwos%2Fwoscc%2Ffull-record%2FWOS:000576634400065","View Full Record in Web of Science")</f>
        <v>View Full Record in Web of Science</v>
      </c>
    </row>
    <row r="470" spans="1:72" x14ac:dyDescent="0.15">
      <c r="A470" t="s">
        <v>72</v>
      </c>
      <c r="B470" t="s">
        <v>9679</v>
      </c>
      <c r="C470" t="s">
        <v>74</v>
      </c>
      <c r="D470" t="s">
        <v>74</v>
      </c>
      <c r="E470" t="s">
        <v>74</v>
      </c>
      <c r="F470" t="s">
        <v>9680</v>
      </c>
      <c r="G470" t="s">
        <v>74</v>
      </c>
      <c r="H470" t="s">
        <v>74</v>
      </c>
      <c r="I470" t="s">
        <v>9681</v>
      </c>
      <c r="J470" t="s">
        <v>3687</v>
      </c>
      <c r="K470" t="s">
        <v>74</v>
      </c>
      <c r="L470" t="s">
        <v>74</v>
      </c>
      <c r="M470" t="s">
        <v>78</v>
      </c>
      <c r="N470" t="s">
        <v>79</v>
      </c>
      <c r="O470" t="s">
        <v>74</v>
      </c>
      <c r="P470" t="s">
        <v>74</v>
      </c>
      <c r="Q470" t="s">
        <v>74</v>
      </c>
      <c r="R470" t="s">
        <v>74</v>
      </c>
      <c r="S470" t="s">
        <v>74</v>
      </c>
      <c r="T470" t="s">
        <v>9682</v>
      </c>
      <c r="U470" t="s">
        <v>9683</v>
      </c>
      <c r="V470" t="s">
        <v>9684</v>
      </c>
      <c r="W470" t="s">
        <v>9685</v>
      </c>
      <c r="X470" t="s">
        <v>9686</v>
      </c>
      <c r="Y470" t="s">
        <v>9687</v>
      </c>
      <c r="Z470" t="s">
        <v>9688</v>
      </c>
      <c r="AA470" t="s">
        <v>9689</v>
      </c>
      <c r="AB470" t="s">
        <v>9690</v>
      </c>
      <c r="AC470" t="s">
        <v>9691</v>
      </c>
      <c r="AD470" t="s">
        <v>9692</v>
      </c>
      <c r="AE470" t="s">
        <v>9693</v>
      </c>
      <c r="AF470" t="s">
        <v>74</v>
      </c>
      <c r="AG470">
        <v>53</v>
      </c>
      <c r="AH470">
        <v>17</v>
      </c>
      <c r="AI470">
        <v>20</v>
      </c>
      <c r="AJ470">
        <v>4</v>
      </c>
      <c r="AK470">
        <v>33</v>
      </c>
      <c r="AL470" t="s">
        <v>1710</v>
      </c>
      <c r="AM470" t="s">
        <v>609</v>
      </c>
      <c r="AN470" t="s">
        <v>1711</v>
      </c>
      <c r="AO470" t="s">
        <v>3699</v>
      </c>
      <c r="AP470" t="s">
        <v>3700</v>
      </c>
      <c r="AQ470" t="s">
        <v>74</v>
      </c>
      <c r="AR470" t="s">
        <v>3701</v>
      </c>
      <c r="AS470" t="s">
        <v>3702</v>
      </c>
      <c r="AT470" t="s">
        <v>9656</v>
      </c>
      <c r="AU470">
        <v>2020</v>
      </c>
      <c r="AV470">
        <v>47</v>
      </c>
      <c r="AW470">
        <v>18</v>
      </c>
      <c r="AX470" t="s">
        <v>74</v>
      </c>
      <c r="AY470" t="s">
        <v>74</v>
      </c>
      <c r="AZ470" t="s">
        <v>74</v>
      </c>
      <c r="BA470" t="s">
        <v>74</v>
      </c>
      <c r="BB470" t="s">
        <v>74</v>
      </c>
      <c r="BC470" t="s">
        <v>74</v>
      </c>
      <c r="BD470" t="s">
        <v>9694</v>
      </c>
      <c r="BE470" t="s">
        <v>9695</v>
      </c>
      <c r="BF470" t="str">
        <f>HYPERLINK("http://dx.doi.org/10.1029/2020GL089416","http://dx.doi.org/10.1029/2020GL089416")</f>
        <v>http://dx.doi.org/10.1029/2020GL089416</v>
      </c>
      <c r="BG470" t="s">
        <v>74</v>
      </c>
      <c r="BH470" t="s">
        <v>74</v>
      </c>
      <c r="BI470">
        <v>10</v>
      </c>
      <c r="BJ470" t="s">
        <v>534</v>
      </c>
      <c r="BK470" t="s">
        <v>100</v>
      </c>
      <c r="BL470" t="s">
        <v>535</v>
      </c>
      <c r="BM470" t="s">
        <v>9659</v>
      </c>
      <c r="BN470" t="s">
        <v>74</v>
      </c>
      <c r="BO470" t="s">
        <v>1188</v>
      </c>
      <c r="BP470" t="s">
        <v>74</v>
      </c>
      <c r="BQ470" t="s">
        <v>74</v>
      </c>
      <c r="BR470" t="s">
        <v>104</v>
      </c>
      <c r="BS470" t="s">
        <v>9696</v>
      </c>
      <c r="BT470" t="str">
        <f>HYPERLINK("https%3A%2F%2Fwww.webofscience.com%2Fwos%2Fwoscc%2Ffull-record%2FWOS:000576634400049","View Full Record in Web of Science")</f>
        <v>View Full Record in Web of Science</v>
      </c>
    </row>
    <row r="471" spans="1:72" x14ac:dyDescent="0.15">
      <c r="A471" t="s">
        <v>72</v>
      </c>
      <c r="B471" t="s">
        <v>9697</v>
      </c>
      <c r="C471" t="s">
        <v>74</v>
      </c>
      <c r="D471" t="s">
        <v>74</v>
      </c>
      <c r="E471" t="s">
        <v>74</v>
      </c>
      <c r="F471" t="s">
        <v>9698</v>
      </c>
      <c r="G471" t="s">
        <v>74</v>
      </c>
      <c r="H471" t="s">
        <v>74</v>
      </c>
      <c r="I471" t="s">
        <v>9699</v>
      </c>
      <c r="J471" t="s">
        <v>3687</v>
      </c>
      <c r="K471" t="s">
        <v>74</v>
      </c>
      <c r="L471" t="s">
        <v>74</v>
      </c>
      <c r="M471" t="s">
        <v>78</v>
      </c>
      <c r="N471" t="s">
        <v>79</v>
      </c>
      <c r="O471" t="s">
        <v>74</v>
      </c>
      <c r="P471" t="s">
        <v>74</v>
      </c>
      <c r="Q471" t="s">
        <v>74</v>
      </c>
      <c r="R471" t="s">
        <v>74</v>
      </c>
      <c r="S471" t="s">
        <v>74</v>
      </c>
      <c r="T471" t="s">
        <v>9700</v>
      </c>
      <c r="U471" t="s">
        <v>9701</v>
      </c>
      <c r="V471" t="s">
        <v>9702</v>
      </c>
      <c r="W471" t="s">
        <v>9703</v>
      </c>
      <c r="X471" t="s">
        <v>9704</v>
      </c>
      <c r="Y471" t="s">
        <v>9705</v>
      </c>
      <c r="Z471" t="s">
        <v>9706</v>
      </c>
      <c r="AA471" t="s">
        <v>9707</v>
      </c>
      <c r="AB471" t="s">
        <v>9708</v>
      </c>
      <c r="AC471" t="s">
        <v>9709</v>
      </c>
      <c r="AD471" t="s">
        <v>9710</v>
      </c>
      <c r="AE471" t="s">
        <v>9711</v>
      </c>
      <c r="AF471" t="s">
        <v>74</v>
      </c>
      <c r="AG471">
        <v>91</v>
      </c>
      <c r="AH471">
        <v>13</v>
      </c>
      <c r="AI471">
        <v>15</v>
      </c>
      <c r="AJ471">
        <v>3</v>
      </c>
      <c r="AK471">
        <v>28</v>
      </c>
      <c r="AL471" t="s">
        <v>1710</v>
      </c>
      <c r="AM471" t="s">
        <v>609</v>
      </c>
      <c r="AN471" t="s">
        <v>1711</v>
      </c>
      <c r="AO471" t="s">
        <v>3699</v>
      </c>
      <c r="AP471" t="s">
        <v>3700</v>
      </c>
      <c r="AQ471" t="s">
        <v>74</v>
      </c>
      <c r="AR471" t="s">
        <v>3701</v>
      </c>
      <c r="AS471" t="s">
        <v>3702</v>
      </c>
      <c r="AT471" t="s">
        <v>9656</v>
      </c>
      <c r="AU471">
        <v>2020</v>
      </c>
      <c r="AV471">
        <v>47</v>
      </c>
      <c r="AW471">
        <v>18</v>
      </c>
      <c r="AX471" t="s">
        <v>74</v>
      </c>
      <c r="AY471" t="s">
        <v>74</v>
      </c>
      <c r="AZ471" t="s">
        <v>74</v>
      </c>
      <c r="BA471" t="s">
        <v>74</v>
      </c>
      <c r="BB471" t="s">
        <v>74</v>
      </c>
      <c r="BC471" t="s">
        <v>74</v>
      </c>
      <c r="BD471" t="s">
        <v>9712</v>
      </c>
      <c r="BE471" t="s">
        <v>9713</v>
      </c>
      <c r="BF471" t="str">
        <f>HYPERLINK("http://dx.doi.org/10.1029/2020GL089375","http://dx.doi.org/10.1029/2020GL089375")</f>
        <v>http://dx.doi.org/10.1029/2020GL089375</v>
      </c>
      <c r="BG471" t="s">
        <v>74</v>
      </c>
      <c r="BH471" t="s">
        <v>74</v>
      </c>
      <c r="BI471">
        <v>12</v>
      </c>
      <c r="BJ471" t="s">
        <v>534</v>
      </c>
      <c r="BK471" t="s">
        <v>100</v>
      </c>
      <c r="BL471" t="s">
        <v>535</v>
      </c>
      <c r="BM471" t="s">
        <v>9659</v>
      </c>
      <c r="BN471" t="s">
        <v>74</v>
      </c>
      <c r="BO471" t="s">
        <v>3779</v>
      </c>
      <c r="BP471" t="s">
        <v>74</v>
      </c>
      <c r="BQ471" t="s">
        <v>74</v>
      </c>
      <c r="BR471" t="s">
        <v>104</v>
      </c>
      <c r="BS471" t="s">
        <v>9714</v>
      </c>
      <c r="BT471" t="str">
        <f>HYPERLINK("https%3A%2F%2Fwww.webofscience.com%2Fwos%2Fwoscc%2Ffull-record%2FWOS:000576634400074","View Full Record in Web of Science")</f>
        <v>View Full Record in Web of Science</v>
      </c>
    </row>
    <row r="472" spans="1:72" x14ac:dyDescent="0.15">
      <c r="A472" t="s">
        <v>72</v>
      </c>
      <c r="B472" t="s">
        <v>9715</v>
      </c>
      <c r="C472" t="s">
        <v>74</v>
      </c>
      <c r="D472" t="s">
        <v>74</v>
      </c>
      <c r="E472" t="s">
        <v>74</v>
      </c>
      <c r="F472" t="s">
        <v>9716</v>
      </c>
      <c r="G472" t="s">
        <v>74</v>
      </c>
      <c r="H472" t="s">
        <v>74</v>
      </c>
      <c r="I472" t="s">
        <v>9717</v>
      </c>
      <c r="J472" t="s">
        <v>3687</v>
      </c>
      <c r="K472" t="s">
        <v>74</v>
      </c>
      <c r="L472" t="s">
        <v>74</v>
      </c>
      <c r="M472" t="s">
        <v>78</v>
      </c>
      <c r="N472" t="s">
        <v>79</v>
      </c>
      <c r="O472" t="s">
        <v>74</v>
      </c>
      <c r="P472" t="s">
        <v>74</v>
      </c>
      <c r="Q472" t="s">
        <v>74</v>
      </c>
      <c r="R472" t="s">
        <v>74</v>
      </c>
      <c r="S472" t="s">
        <v>74</v>
      </c>
      <c r="T472" t="s">
        <v>9718</v>
      </c>
      <c r="U472" t="s">
        <v>9719</v>
      </c>
      <c r="V472" t="s">
        <v>9720</v>
      </c>
      <c r="W472" t="s">
        <v>9721</v>
      </c>
      <c r="X472" t="s">
        <v>9722</v>
      </c>
      <c r="Y472" t="s">
        <v>9723</v>
      </c>
      <c r="Z472" t="s">
        <v>9724</v>
      </c>
      <c r="AA472" t="s">
        <v>9725</v>
      </c>
      <c r="AB472" t="s">
        <v>9726</v>
      </c>
      <c r="AC472" t="s">
        <v>9727</v>
      </c>
      <c r="AD472" t="s">
        <v>9728</v>
      </c>
      <c r="AE472" t="s">
        <v>9729</v>
      </c>
      <c r="AF472" t="s">
        <v>74</v>
      </c>
      <c r="AG472">
        <v>31</v>
      </c>
      <c r="AH472">
        <v>6</v>
      </c>
      <c r="AI472">
        <v>8</v>
      </c>
      <c r="AJ472">
        <v>3</v>
      </c>
      <c r="AK472">
        <v>10</v>
      </c>
      <c r="AL472" t="s">
        <v>1710</v>
      </c>
      <c r="AM472" t="s">
        <v>609</v>
      </c>
      <c r="AN472" t="s">
        <v>1711</v>
      </c>
      <c r="AO472" t="s">
        <v>3699</v>
      </c>
      <c r="AP472" t="s">
        <v>3700</v>
      </c>
      <c r="AQ472" t="s">
        <v>74</v>
      </c>
      <c r="AR472" t="s">
        <v>3701</v>
      </c>
      <c r="AS472" t="s">
        <v>3702</v>
      </c>
      <c r="AT472" t="s">
        <v>9656</v>
      </c>
      <c r="AU472">
        <v>2020</v>
      </c>
      <c r="AV472">
        <v>47</v>
      </c>
      <c r="AW472">
        <v>18</v>
      </c>
      <c r="AX472" t="s">
        <v>74</v>
      </c>
      <c r="AY472" t="s">
        <v>74</v>
      </c>
      <c r="AZ472" t="s">
        <v>74</v>
      </c>
      <c r="BA472" t="s">
        <v>74</v>
      </c>
      <c r="BB472" t="s">
        <v>74</v>
      </c>
      <c r="BC472" t="s">
        <v>74</v>
      </c>
      <c r="BD472" t="s">
        <v>9730</v>
      </c>
      <c r="BE472" t="s">
        <v>9731</v>
      </c>
      <c r="BF472" t="str">
        <f>HYPERLINK("http://dx.doi.org/10.1029/2020GL089700","http://dx.doi.org/10.1029/2020GL089700")</f>
        <v>http://dx.doi.org/10.1029/2020GL089700</v>
      </c>
      <c r="BG472" t="s">
        <v>74</v>
      </c>
      <c r="BH472" t="s">
        <v>74</v>
      </c>
      <c r="BI472">
        <v>9</v>
      </c>
      <c r="BJ472" t="s">
        <v>534</v>
      </c>
      <c r="BK472" t="s">
        <v>100</v>
      </c>
      <c r="BL472" t="s">
        <v>535</v>
      </c>
      <c r="BM472" t="s">
        <v>9659</v>
      </c>
      <c r="BN472" t="s">
        <v>74</v>
      </c>
      <c r="BO472" t="s">
        <v>74</v>
      </c>
      <c r="BP472" t="s">
        <v>74</v>
      </c>
      <c r="BQ472" t="s">
        <v>74</v>
      </c>
      <c r="BR472" t="s">
        <v>104</v>
      </c>
      <c r="BS472" t="s">
        <v>9732</v>
      </c>
      <c r="BT472" t="str">
        <f>HYPERLINK("https%3A%2F%2Fwww.webofscience.com%2Fwos%2Fwoscc%2Ffull-record%2FWOS:000576634400037","View Full Record in Web of Science")</f>
        <v>View Full Record in Web of Science</v>
      </c>
    </row>
    <row r="473" spans="1:72" x14ac:dyDescent="0.15">
      <c r="A473" t="s">
        <v>72</v>
      </c>
      <c r="B473" t="s">
        <v>9733</v>
      </c>
      <c r="C473" t="s">
        <v>74</v>
      </c>
      <c r="D473" t="s">
        <v>74</v>
      </c>
      <c r="E473" t="s">
        <v>74</v>
      </c>
      <c r="F473" t="s">
        <v>9734</v>
      </c>
      <c r="G473" t="s">
        <v>74</v>
      </c>
      <c r="H473" t="s">
        <v>74</v>
      </c>
      <c r="I473" t="s">
        <v>9735</v>
      </c>
      <c r="J473" t="s">
        <v>9736</v>
      </c>
      <c r="K473" t="s">
        <v>74</v>
      </c>
      <c r="L473" t="s">
        <v>74</v>
      </c>
      <c r="M473" t="s">
        <v>78</v>
      </c>
      <c r="N473" t="s">
        <v>7302</v>
      </c>
      <c r="O473" t="s">
        <v>74</v>
      </c>
      <c r="P473" t="s">
        <v>74</v>
      </c>
      <c r="Q473" t="s">
        <v>74</v>
      </c>
      <c r="R473" t="s">
        <v>74</v>
      </c>
      <c r="S473" t="s">
        <v>74</v>
      </c>
      <c r="T473" t="s">
        <v>9737</v>
      </c>
      <c r="U473" t="s">
        <v>9738</v>
      </c>
      <c r="V473" t="s">
        <v>9739</v>
      </c>
      <c r="W473" t="s">
        <v>9740</v>
      </c>
      <c r="X473" t="s">
        <v>9741</v>
      </c>
      <c r="Y473" t="s">
        <v>9742</v>
      </c>
      <c r="Z473" t="s">
        <v>9743</v>
      </c>
      <c r="AA473" t="s">
        <v>9744</v>
      </c>
      <c r="AB473" t="s">
        <v>9745</v>
      </c>
      <c r="AC473" t="s">
        <v>9746</v>
      </c>
      <c r="AD473" t="s">
        <v>9747</v>
      </c>
      <c r="AE473" t="s">
        <v>9748</v>
      </c>
      <c r="AF473" t="s">
        <v>74</v>
      </c>
      <c r="AG473">
        <v>38</v>
      </c>
      <c r="AH473">
        <v>0</v>
      </c>
      <c r="AI473">
        <v>0</v>
      </c>
      <c r="AJ473">
        <v>1</v>
      </c>
      <c r="AK473">
        <v>9</v>
      </c>
      <c r="AL473" t="s">
        <v>9749</v>
      </c>
      <c r="AM473" t="s">
        <v>9750</v>
      </c>
      <c r="AN473" t="s">
        <v>9751</v>
      </c>
      <c r="AO473" t="s">
        <v>9752</v>
      </c>
      <c r="AP473" t="s">
        <v>9753</v>
      </c>
      <c r="AQ473" t="s">
        <v>74</v>
      </c>
      <c r="AR473" t="s">
        <v>9754</v>
      </c>
      <c r="AS473" t="s">
        <v>9755</v>
      </c>
      <c r="AT473" t="s">
        <v>9656</v>
      </c>
      <c r="AU473">
        <v>2020</v>
      </c>
      <c r="AV473">
        <v>8</v>
      </c>
      <c r="AW473" t="s">
        <v>74</v>
      </c>
      <c r="AX473" t="s">
        <v>74</v>
      </c>
      <c r="AY473" t="s">
        <v>74</v>
      </c>
      <c r="AZ473" t="s">
        <v>74</v>
      </c>
      <c r="BA473" t="s">
        <v>74</v>
      </c>
      <c r="BB473" t="s">
        <v>74</v>
      </c>
      <c r="BC473" t="s">
        <v>74</v>
      </c>
      <c r="BD473" t="s">
        <v>9756</v>
      </c>
      <c r="BE473" t="s">
        <v>9757</v>
      </c>
      <c r="BF473" t="str">
        <f>HYPERLINK("http://dx.doi.org/10.3897/BDJ.8.e58013","http://dx.doi.org/10.3897/BDJ.8.e58013")</f>
        <v>http://dx.doi.org/10.3897/BDJ.8.e58013</v>
      </c>
      <c r="BG473" t="s">
        <v>74</v>
      </c>
      <c r="BH473" t="s">
        <v>74</v>
      </c>
      <c r="BI473">
        <v>14</v>
      </c>
      <c r="BJ473" t="s">
        <v>9758</v>
      </c>
      <c r="BK473" t="s">
        <v>100</v>
      </c>
      <c r="BL473" t="s">
        <v>9759</v>
      </c>
      <c r="BM473" t="s">
        <v>9760</v>
      </c>
      <c r="BN473">
        <v>33061780</v>
      </c>
      <c r="BO473" t="s">
        <v>2113</v>
      </c>
      <c r="BP473" t="s">
        <v>74</v>
      </c>
      <c r="BQ473" t="s">
        <v>74</v>
      </c>
      <c r="BR473" t="s">
        <v>104</v>
      </c>
      <c r="BS473" t="s">
        <v>9761</v>
      </c>
      <c r="BT473" t="str">
        <f>HYPERLINK("https%3A%2F%2Fwww.webofscience.com%2Fwos%2Fwoscc%2Ffull-record%2FWOS:000573697900001","View Full Record in Web of Science")</f>
        <v>View Full Record in Web of Science</v>
      </c>
    </row>
    <row r="474" spans="1:72" x14ac:dyDescent="0.15">
      <c r="A474" t="s">
        <v>72</v>
      </c>
      <c r="B474" t="s">
        <v>9762</v>
      </c>
      <c r="C474" t="s">
        <v>74</v>
      </c>
      <c r="D474" t="s">
        <v>74</v>
      </c>
      <c r="E474" t="s">
        <v>74</v>
      </c>
      <c r="F474" t="s">
        <v>9763</v>
      </c>
      <c r="G474" t="s">
        <v>74</v>
      </c>
      <c r="H474" t="s">
        <v>74</v>
      </c>
      <c r="I474" t="s">
        <v>9764</v>
      </c>
      <c r="J474" t="s">
        <v>9765</v>
      </c>
      <c r="K474" t="s">
        <v>74</v>
      </c>
      <c r="L474" t="s">
        <v>74</v>
      </c>
      <c r="M474" t="s">
        <v>78</v>
      </c>
      <c r="N474" t="s">
        <v>79</v>
      </c>
      <c r="O474" t="s">
        <v>74</v>
      </c>
      <c r="P474" t="s">
        <v>74</v>
      </c>
      <c r="Q474" t="s">
        <v>74</v>
      </c>
      <c r="R474" t="s">
        <v>74</v>
      </c>
      <c r="S474" t="s">
        <v>74</v>
      </c>
      <c r="T474" t="s">
        <v>74</v>
      </c>
      <c r="U474" t="s">
        <v>9766</v>
      </c>
      <c r="V474" t="s">
        <v>9767</v>
      </c>
      <c r="W474" t="s">
        <v>9768</v>
      </c>
      <c r="X474" t="s">
        <v>9769</v>
      </c>
      <c r="Y474" t="s">
        <v>9770</v>
      </c>
      <c r="Z474" t="s">
        <v>9771</v>
      </c>
      <c r="AA474" t="s">
        <v>9772</v>
      </c>
      <c r="AB474" t="s">
        <v>9773</v>
      </c>
      <c r="AC474" t="s">
        <v>9774</v>
      </c>
      <c r="AD474" t="s">
        <v>9775</v>
      </c>
      <c r="AE474" t="s">
        <v>9776</v>
      </c>
      <c r="AF474" t="s">
        <v>74</v>
      </c>
      <c r="AG474">
        <v>186</v>
      </c>
      <c r="AH474">
        <v>63</v>
      </c>
      <c r="AI474">
        <v>70</v>
      </c>
      <c r="AJ474">
        <v>2</v>
      </c>
      <c r="AK474">
        <v>9</v>
      </c>
      <c r="AL474" t="s">
        <v>91</v>
      </c>
      <c r="AM474" t="s">
        <v>92</v>
      </c>
      <c r="AN474" t="s">
        <v>93</v>
      </c>
      <c r="AO474" t="s">
        <v>9777</v>
      </c>
      <c r="AP474" t="s">
        <v>9778</v>
      </c>
      <c r="AQ474" t="s">
        <v>74</v>
      </c>
      <c r="AR474" t="s">
        <v>9779</v>
      </c>
      <c r="AS474" t="s">
        <v>9780</v>
      </c>
      <c r="AT474" t="s">
        <v>9656</v>
      </c>
      <c r="AU474">
        <v>2020</v>
      </c>
      <c r="AV474">
        <v>16</v>
      </c>
      <c r="AW474">
        <v>5</v>
      </c>
      <c r="AX474" t="s">
        <v>74</v>
      </c>
      <c r="AY474" t="s">
        <v>74</v>
      </c>
      <c r="AZ474" t="s">
        <v>74</v>
      </c>
      <c r="BA474" t="s">
        <v>74</v>
      </c>
      <c r="BB474">
        <v>1777</v>
      </c>
      <c r="BC474">
        <v>1805</v>
      </c>
      <c r="BD474" t="s">
        <v>74</v>
      </c>
      <c r="BE474" t="s">
        <v>9781</v>
      </c>
      <c r="BF474" t="str">
        <f>HYPERLINK("http://dx.doi.org/10.5194/cp-16-1777-2020","http://dx.doi.org/10.5194/cp-16-1777-2020")</f>
        <v>http://dx.doi.org/10.5194/cp-16-1777-2020</v>
      </c>
      <c r="BG474" t="s">
        <v>74</v>
      </c>
      <c r="BH474" t="s">
        <v>74</v>
      </c>
      <c r="BI474">
        <v>29</v>
      </c>
      <c r="BJ474" t="s">
        <v>3614</v>
      </c>
      <c r="BK474" t="s">
        <v>100</v>
      </c>
      <c r="BL474" t="s">
        <v>3615</v>
      </c>
      <c r="BM474" t="s">
        <v>9782</v>
      </c>
      <c r="BN474" t="s">
        <v>74</v>
      </c>
      <c r="BO474" t="s">
        <v>397</v>
      </c>
      <c r="BP474" t="s">
        <v>74</v>
      </c>
      <c r="BQ474" t="s">
        <v>74</v>
      </c>
      <c r="BR474" t="s">
        <v>104</v>
      </c>
      <c r="BS474" t="s">
        <v>9783</v>
      </c>
      <c r="BT474" t="str">
        <f>HYPERLINK("https%3A%2F%2Fwww.webofscience.com%2Fwos%2Fwoscc%2Ffull-record%2FWOS:000575864000001","View Full Record in Web of Science")</f>
        <v>View Full Record in Web of Science</v>
      </c>
    </row>
    <row r="475" spans="1:72" x14ac:dyDescent="0.15">
      <c r="A475" t="s">
        <v>72</v>
      </c>
      <c r="B475" t="s">
        <v>9784</v>
      </c>
      <c r="C475" t="s">
        <v>74</v>
      </c>
      <c r="D475" t="s">
        <v>74</v>
      </c>
      <c r="E475" t="s">
        <v>74</v>
      </c>
      <c r="F475" t="s">
        <v>9785</v>
      </c>
      <c r="G475" t="s">
        <v>74</v>
      </c>
      <c r="H475" t="s">
        <v>74</v>
      </c>
      <c r="I475" t="s">
        <v>9786</v>
      </c>
      <c r="J475" t="s">
        <v>9787</v>
      </c>
      <c r="K475" t="s">
        <v>74</v>
      </c>
      <c r="L475" t="s">
        <v>74</v>
      </c>
      <c r="M475" t="s">
        <v>78</v>
      </c>
      <c r="N475" t="s">
        <v>79</v>
      </c>
      <c r="O475" t="s">
        <v>74</v>
      </c>
      <c r="P475" t="s">
        <v>74</v>
      </c>
      <c r="Q475" t="s">
        <v>74</v>
      </c>
      <c r="R475" t="s">
        <v>74</v>
      </c>
      <c r="S475" t="s">
        <v>74</v>
      </c>
      <c r="T475" t="s">
        <v>9788</v>
      </c>
      <c r="U475" t="s">
        <v>9789</v>
      </c>
      <c r="V475" t="s">
        <v>9790</v>
      </c>
      <c r="W475" t="s">
        <v>9791</v>
      </c>
      <c r="X475" t="s">
        <v>9792</v>
      </c>
      <c r="Y475" t="s">
        <v>9793</v>
      </c>
      <c r="Z475" t="s">
        <v>9794</v>
      </c>
      <c r="AA475" t="s">
        <v>9795</v>
      </c>
      <c r="AB475" t="s">
        <v>9796</v>
      </c>
      <c r="AC475" t="s">
        <v>9797</v>
      </c>
      <c r="AD475" t="s">
        <v>9798</v>
      </c>
      <c r="AE475" t="s">
        <v>9799</v>
      </c>
      <c r="AF475" t="s">
        <v>74</v>
      </c>
      <c r="AG475">
        <v>71</v>
      </c>
      <c r="AH475">
        <v>12</v>
      </c>
      <c r="AI475">
        <v>13</v>
      </c>
      <c r="AJ475">
        <v>7</v>
      </c>
      <c r="AK475">
        <v>73</v>
      </c>
      <c r="AL475" t="s">
        <v>219</v>
      </c>
      <c r="AM475" t="s">
        <v>220</v>
      </c>
      <c r="AN475" t="s">
        <v>221</v>
      </c>
      <c r="AO475" t="s">
        <v>9800</v>
      </c>
      <c r="AP475" t="s">
        <v>9801</v>
      </c>
      <c r="AQ475" t="s">
        <v>74</v>
      </c>
      <c r="AR475" t="s">
        <v>9802</v>
      </c>
      <c r="AS475" t="s">
        <v>9803</v>
      </c>
      <c r="AT475" t="s">
        <v>252</v>
      </c>
      <c r="AU475">
        <v>2021</v>
      </c>
      <c r="AV475">
        <v>35</v>
      </c>
      <c r="AW475">
        <v>1</v>
      </c>
      <c r="AX475" t="s">
        <v>74</v>
      </c>
      <c r="AY475" t="s">
        <v>74</v>
      </c>
      <c r="AZ475" t="s">
        <v>74</v>
      </c>
      <c r="BA475" t="s">
        <v>74</v>
      </c>
      <c r="BB475">
        <v>255</v>
      </c>
      <c r="BC475">
        <v>265</v>
      </c>
      <c r="BD475" t="s">
        <v>74</v>
      </c>
      <c r="BE475" t="s">
        <v>9804</v>
      </c>
      <c r="BF475" t="str">
        <f>HYPERLINK("http://dx.doi.org/10.1111/1365-2435.13681","http://dx.doi.org/10.1111/1365-2435.13681")</f>
        <v>http://dx.doi.org/10.1111/1365-2435.13681</v>
      </c>
      <c r="BG475" t="s">
        <v>74</v>
      </c>
      <c r="BH475" t="s">
        <v>9526</v>
      </c>
      <c r="BI475">
        <v>11</v>
      </c>
      <c r="BJ475" t="s">
        <v>823</v>
      </c>
      <c r="BK475" t="s">
        <v>100</v>
      </c>
      <c r="BL475" t="s">
        <v>284</v>
      </c>
      <c r="BM475" t="s">
        <v>9805</v>
      </c>
      <c r="BN475" t="s">
        <v>74</v>
      </c>
      <c r="BO475" t="s">
        <v>8365</v>
      </c>
      <c r="BP475" t="s">
        <v>74</v>
      </c>
      <c r="BQ475" t="s">
        <v>74</v>
      </c>
      <c r="BR475" t="s">
        <v>104</v>
      </c>
      <c r="BS475" t="s">
        <v>9806</v>
      </c>
      <c r="BT475" t="str">
        <f>HYPERLINK("https%3A%2F%2Fwww.webofscience.com%2Fwos%2Fwoscc%2Ffull-record%2FWOS:000573170700001","View Full Record in Web of Science")</f>
        <v>View Full Record in Web of Science</v>
      </c>
    </row>
    <row r="476" spans="1:72" x14ac:dyDescent="0.15">
      <c r="A476" t="s">
        <v>72</v>
      </c>
      <c r="B476" t="s">
        <v>9807</v>
      </c>
      <c r="C476" t="s">
        <v>74</v>
      </c>
      <c r="D476" t="s">
        <v>74</v>
      </c>
      <c r="E476" t="s">
        <v>74</v>
      </c>
      <c r="F476" t="s">
        <v>9808</v>
      </c>
      <c r="G476" t="s">
        <v>74</v>
      </c>
      <c r="H476" t="s">
        <v>74</v>
      </c>
      <c r="I476" t="s">
        <v>9809</v>
      </c>
      <c r="J476" t="s">
        <v>2606</v>
      </c>
      <c r="K476" t="s">
        <v>74</v>
      </c>
      <c r="L476" t="s">
        <v>74</v>
      </c>
      <c r="M476" t="s">
        <v>78</v>
      </c>
      <c r="N476" t="s">
        <v>79</v>
      </c>
      <c r="O476" t="s">
        <v>74</v>
      </c>
      <c r="P476" t="s">
        <v>74</v>
      </c>
      <c r="Q476" t="s">
        <v>74</v>
      </c>
      <c r="R476" t="s">
        <v>74</v>
      </c>
      <c r="S476" t="s">
        <v>74</v>
      </c>
      <c r="T476" t="s">
        <v>9810</v>
      </c>
      <c r="U476" t="s">
        <v>9811</v>
      </c>
      <c r="V476" t="s">
        <v>9812</v>
      </c>
      <c r="W476" t="s">
        <v>9813</v>
      </c>
      <c r="X476" t="s">
        <v>9814</v>
      </c>
      <c r="Y476" t="s">
        <v>9815</v>
      </c>
      <c r="Z476" t="s">
        <v>9816</v>
      </c>
      <c r="AA476" t="s">
        <v>9817</v>
      </c>
      <c r="AB476" t="s">
        <v>9818</v>
      </c>
      <c r="AC476" t="s">
        <v>9819</v>
      </c>
      <c r="AD476" t="s">
        <v>9820</v>
      </c>
      <c r="AE476" t="s">
        <v>9821</v>
      </c>
      <c r="AF476" t="s">
        <v>74</v>
      </c>
      <c r="AG476">
        <v>68</v>
      </c>
      <c r="AH476">
        <v>12</v>
      </c>
      <c r="AI476">
        <v>13</v>
      </c>
      <c r="AJ476">
        <v>3</v>
      </c>
      <c r="AK476">
        <v>35</v>
      </c>
      <c r="AL476" t="s">
        <v>219</v>
      </c>
      <c r="AM476" t="s">
        <v>220</v>
      </c>
      <c r="AN476" t="s">
        <v>221</v>
      </c>
      <c r="AO476" t="s">
        <v>2619</v>
      </c>
      <c r="AP476" t="s">
        <v>2620</v>
      </c>
      <c r="AQ476" t="s">
        <v>74</v>
      </c>
      <c r="AR476" t="s">
        <v>2621</v>
      </c>
      <c r="AS476" t="s">
        <v>2622</v>
      </c>
      <c r="AT476" t="s">
        <v>1212</v>
      </c>
      <c r="AU476">
        <v>2020</v>
      </c>
      <c r="AV476">
        <v>89</v>
      </c>
      <c r="AW476">
        <v>11</v>
      </c>
      <c r="AX476" t="s">
        <v>74</v>
      </c>
      <c r="AY476" t="s">
        <v>74</v>
      </c>
      <c r="AZ476" t="s">
        <v>74</v>
      </c>
      <c r="BA476" t="s">
        <v>74</v>
      </c>
      <c r="BB476">
        <v>2692</v>
      </c>
      <c r="BC476">
        <v>2703</v>
      </c>
      <c r="BD476" t="s">
        <v>74</v>
      </c>
      <c r="BE476" t="s">
        <v>9822</v>
      </c>
      <c r="BF476" t="str">
        <f>HYPERLINK("http://dx.doi.org/10.1111/1365-2656.13333","http://dx.doi.org/10.1111/1365-2656.13333")</f>
        <v>http://dx.doi.org/10.1111/1365-2656.13333</v>
      </c>
      <c r="BG476" t="s">
        <v>74</v>
      </c>
      <c r="BH476" t="s">
        <v>9526</v>
      </c>
      <c r="BI476">
        <v>12</v>
      </c>
      <c r="BJ476" t="s">
        <v>2625</v>
      </c>
      <c r="BK476" t="s">
        <v>100</v>
      </c>
      <c r="BL476" t="s">
        <v>2626</v>
      </c>
      <c r="BM476" t="s">
        <v>9823</v>
      </c>
      <c r="BN476">
        <v>32895913</v>
      </c>
      <c r="BO476" t="s">
        <v>701</v>
      </c>
      <c r="BP476" t="s">
        <v>74</v>
      </c>
      <c r="BQ476" t="s">
        <v>74</v>
      </c>
      <c r="BR476" t="s">
        <v>104</v>
      </c>
      <c r="BS476" t="s">
        <v>9824</v>
      </c>
      <c r="BT476" t="str">
        <f>HYPERLINK("https%3A%2F%2Fwww.webofscience.com%2Fwos%2Fwoscc%2Ffull-record%2FWOS:000572990600001","View Full Record in Web of Science")</f>
        <v>View Full Record in Web of Science</v>
      </c>
    </row>
    <row r="477" spans="1:72" x14ac:dyDescent="0.15">
      <c r="A477" t="s">
        <v>72</v>
      </c>
      <c r="B477" t="s">
        <v>9825</v>
      </c>
      <c r="C477" t="s">
        <v>74</v>
      </c>
      <c r="D477" t="s">
        <v>74</v>
      </c>
      <c r="E477" t="s">
        <v>74</v>
      </c>
      <c r="F477" t="s">
        <v>9826</v>
      </c>
      <c r="G477" t="s">
        <v>74</v>
      </c>
      <c r="H477" t="s">
        <v>74</v>
      </c>
      <c r="I477" t="s">
        <v>9827</v>
      </c>
      <c r="J477" t="s">
        <v>9828</v>
      </c>
      <c r="K477" t="s">
        <v>74</v>
      </c>
      <c r="L477" t="s">
        <v>74</v>
      </c>
      <c r="M477" t="s">
        <v>78</v>
      </c>
      <c r="N477" t="s">
        <v>79</v>
      </c>
      <c r="O477" t="s">
        <v>74</v>
      </c>
      <c r="P477" t="s">
        <v>74</v>
      </c>
      <c r="Q477" t="s">
        <v>74</v>
      </c>
      <c r="R477" t="s">
        <v>74</v>
      </c>
      <c r="S477" t="s">
        <v>74</v>
      </c>
      <c r="T477" t="s">
        <v>9829</v>
      </c>
      <c r="U477" t="s">
        <v>9830</v>
      </c>
      <c r="V477" t="s">
        <v>9831</v>
      </c>
      <c r="W477" t="s">
        <v>9832</v>
      </c>
      <c r="X477" t="s">
        <v>9833</v>
      </c>
      <c r="Y477" t="s">
        <v>9834</v>
      </c>
      <c r="Z477" t="s">
        <v>9835</v>
      </c>
      <c r="AA477" t="s">
        <v>9836</v>
      </c>
      <c r="AB477" t="s">
        <v>9837</v>
      </c>
      <c r="AC477" t="s">
        <v>9838</v>
      </c>
      <c r="AD477" t="s">
        <v>9839</v>
      </c>
      <c r="AE477" t="s">
        <v>9840</v>
      </c>
      <c r="AF477" t="s">
        <v>74</v>
      </c>
      <c r="AG477">
        <v>28</v>
      </c>
      <c r="AH477">
        <v>1</v>
      </c>
      <c r="AI477">
        <v>1</v>
      </c>
      <c r="AJ477">
        <v>0</v>
      </c>
      <c r="AK477">
        <v>4</v>
      </c>
      <c r="AL477" t="s">
        <v>275</v>
      </c>
      <c r="AM477" t="s">
        <v>276</v>
      </c>
      <c r="AN477" t="s">
        <v>277</v>
      </c>
      <c r="AO477" t="s">
        <v>9841</v>
      </c>
      <c r="AP477" t="s">
        <v>9842</v>
      </c>
      <c r="AQ477" t="s">
        <v>74</v>
      </c>
      <c r="AR477" t="s">
        <v>9843</v>
      </c>
      <c r="AS477" t="s">
        <v>9844</v>
      </c>
      <c r="AT477" t="s">
        <v>9656</v>
      </c>
      <c r="AU477">
        <v>2020</v>
      </c>
      <c r="AV477">
        <v>384</v>
      </c>
      <c r="AW477">
        <v>27</v>
      </c>
      <c r="AX477" t="s">
        <v>74</v>
      </c>
      <c r="AY477" t="s">
        <v>74</v>
      </c>
      <c r="AZ477" t="s">
        <v>74</v>
      </c>
      <c r="BA477" t="s">
        <v>74</v>
      </c>
      <c r="BB477" t="s">
        <v>74</v>
      </c>
      <c r="BC477" t="s">
        <v>74</v>
      </c>
      <c r="BD477">
        <v>126689</v>
      </c>
      <c r="BE477" t="s">
        <v>9845</v>
      </c>
      <c r="BF477" t="str">
        <f>HYPERLINK("http://dx.doi.org/10.1016/j.physleta.2020.126689","http://dx.doi.org/10.1016/j.physleta.2020.126689")</f>
        <v>http://dx.doi.org/10.1016/j.physleta.2020.126689</v>
      </c>
      <c r="BG477" t="s">
        <v>74</v>
      </c>
      <c r="BH477" t="s">
        <v>74</v>
      </c>
      <c r="BI477">
        <v>7</v>
      </c>
      <c r="BJ477" t="s">
        <v>6105</v>
      </c>
      <c r="BK477" t="s">
        <v>100</v>
      </c>
      <c r="BL477" t="s">
        <v>6106</v>
      </c>
      <c r="BM477" t="s">
        <v>9846</v>
      </c>
      <c r="BN477" t="s">
        <v>74</v>
      </c>
      <c r="BO477" t="s">
        <v>304</v>
      </c>
      <c r="BP477" t="s">
        <v>74</v>
      </c>
      <c r="BQ477" t="s">
        <v>74</v>
      </c>
      <c r="BR477" t="s">
        <v>104</v>
      </c>
      <c r="BS477" t="s">
        <v>9847</v>
      </c>
      <c r="BT477" t="str">
        <f>HYPERLINK("https%3A%2F%2Fwww.webofscience.com%2Fwos%2Fwoscc%2Ffull-record%2FWOS:000559625200016","View Full Record in Web of Science")</f>
        <v>View Full Record in Web of Science</v>
      </c>
    </row>
    <row r="478" spans="1:72" x14ac:dyDescent="0.15">
      <c r="A478" t="s">
        <v>72</v>
      </c>
      <c r="B478" t="s">
        <v>9848</v>
      </c>
      <c r="C478" t="s">
        <v>74</v>
      </c>
      <c r="D478" t="s">
        <v>74</v>
      </c>
      <c r="E478" t="s">
        <v>74</v>
      </c>
      <c r="F478" t="s">
        <v>9849</v>
      </c>
      <c r="G478" t="s">
        <v>74</v>
      </c>
      <c r="H478" t="s">
        <v>74</v>
      </c>
      <c r="I478" t="s">
        <v>9850</v>
      </c>
      <c r="J478" t="s">
        <v>4067</v>
      </c>
      <c r="K478" t="s">
        <v>74</v>
      </c>
      <c r="L478" t="s">
        <v>74</v>
      </c>
      <c r="M478" t="s">
        <v>78</v>
      </c>
      <c r="N478" t="s">
        <v>79</v>
      </c>
      <c r="O478" t="s">
        <v>74</v>
      </c>
      <c r="P478" t="s">
        <v>74</v>
      </c>
      <c r="Q478" t="s">
        <v>74</v>
      </c>
      <c r="R478" t="s">
        <v>74</v>
      </c>
      <c r="S478" t="s">
        <v>74</v>
      </c>
      <c r="T478" t="s">
        <v>9851</v>
      </c>
      <c r="U478" t="s">
        <v>9852</v>
      </c>
      <c r="V478" t="s">
        <v>9853</v>
      </c>
      <c r="W478" t="s">
        <v>9854</v>
      </c>
      <c r="X478" t="s">
        <v>9855</v>
      </c>
      <c r="Y478" t="s">
        <v>9856</v>
      </c>
      <c r="Z478" t="s">
        <v>9857</v>
      </c>
      <c r="AA478" t="s">
        <v>9858</v>
      </c>
      <c r="AB478" t="s">
        <v>9859</v>
      </c>
      <c r="AC478" t="s">
        <v>9860</v>
      </c>
      <c r="AD478" t="s">
        <v>9861</v>
      </c>
      <c r="AE478" t="s">
        <v>9862</v>
      </c>
      <c r="AF478" t="s">
        <v>74</v>
      </c>
      <c r="AG478">
        <v>100</v>
      </c>
      <c r="AH478">
        <v>34</v>
      </c>
      <c r="AI478">
        <v>35</v>
      </c>
      <c r="AJ478">
        <v>1</v>
      </c>
      <c r="AK478">
        <v>19</v>
      </c>
      <c r="AL478" t="s">
        <v>1710</v>
      </c>
      <c r="AM478" t="s">
        <v>609</v>
      </c>
      <c r="AN478" t="s">
        <v>1711</v>
      </c>
      <c r="AO478" t="s">
        <v>4079</v>
      </c>
      <c r="AP478" t="s">
        <v>4080</v>
      </c>
      <c r="AQ478" t="s">
        <v>74</v>
      </c>
      <c r="AR478" t="s">
        <v>4081</v>
      </c>
      <c r="AS478" t="s">
        <v>4082</v>
      </c>
      <c r="AT478" t="s">
        <v>9863</v>
      </c>
      <c r="AU478">
        <v>2020</v>
      </c>
      <c r="AV478">
        <v>125</v>
      </c>
      <c r="AW478">
        <v>18</v>
      </c>
      <c r="AX478" t="s">
        <v>74</v>
      </c>
      <c r="AY478" t="s">
        <v>74</v>
      </c>
      <c r="AZ478" t="s">
        <v>74</v>
      </c>
      <c r="BA478" t="s">
        <v>74</v>
      </c>
      <c r="BB478" t="s">
        <v>74</v>
      </c>
      <c r="BC478" t="s">
        <v>74</v>
      </c>
      <c r="BD478" t="s">
        <v>9864</v>
      </c>
      <c r="BE478" t="s">
        <v>9865</v>
      </c>
      <c r="BF478" t="str">
        <f>HYPERLINK("http://dx.doi.org/10.1029/2020JD033335","http://dx.doi.org/10.1029/2020JD033335")</f>
        <v>http://dx.doi.org/10.1029/2020JD033335</v>
      </c>
      <c r="BG478" t="s">
        <v>74</v>
      </c>
      <c r="BH478" t="s">
        <v>74</v>
      </c>
      <c r="BI478">
        <v>28</v>
      </c>
      <c r="BJ478" t="s">
        <v>800</v>
      </c>
      <c r="BK478" t="s">
        <v>100</v>
      </c>
      <c r="BL478" t="s">
        <v>800</v>
      </c>
      <c r="BM478" t="s">
        <v>9866</v>
      </c>
      <c r="BN478" t="s">
        <v>74</v>
      </c>
      <c r="BO478" t="s">
        <v>74</v>
      </c>
      <c r="BP478" t="s">
        <v>74</v>
      </c>
      <c r="BQ478" t="s">
        <v>74</v>
      </c>
      <c r="BR478" t="s">
        <v>104</v>
      </c>
      <c r="BS478" t="s">
        <v>9867</v>
      </c>
      <c r="BT478" t="str">
        <f>HYPERLINK("https%3A%2F%2Fwww.webofscience.com%2Fwos%2Fwoscc%2Ffull-record%2FWOS:000576404200009","View Full Record in Web of Science")</f>
        <v>View Full Record in Web of Science</v>
      </c>
    </row>
    <row r="479" spans="1:72" x14ac:dyDescent="0.15">
      <c r="A479" t="s">
        <v>72</v>
      </c>
      <c r="B479" t="s">
        <v>9868</v>
      </c>
      <c r="C479" t="s">
        <v>74</v>
      </c>
      <c r="D479" t="s">
        <v>74</v>
      </c>
      <c r="E479" t="s">
        <v>74</v>
      </c>
      <c r="F479" t="s">
        <v>9869</v>
      </c>
      <c r="G479" t="s">
        <v>74</v>
      </c>
      <c r="H479" t="s">
        <v>74</v>
      </c>
      <c r="I479" t="s">
        <v>9870</v>
      </c>
      <c r="J479" t="s">
        <v>9871</v>
      </c>
      <c r="K479" t="s">
        <v>74</v>
      </c>
      <c r="L479" t="s">
        <v>74</v>
      </c>
      <c r="M479" t="s">
        <v>78</v>
      </c>
      <c r="N479" t="s">
        <v>79</v>
      </c>
      <c r="O479" t="s">
        <v>74</v>
      </c>
      <c r="P479" t="s">
        <v>74</v>
      </c>
      <c r="Q479" t="s">
        <v>74</v>
      </c>
      <c r="R479" t="s">
        <v>74</v>
      </c>
      <c r="S479" t="s">
        <v>74</v>
      </c>
      <c r="T479" t="s">
        <v>74</v>
      </c>
      <c r="U479" t="s">
        <v>9872</v>
      </c>
      <c r="V479" t="s">
        <v>9873</v>
      </c>
      <c r="W479" t="s">
        <v>9874</v>
      </c>
      <c r="X479" t="s">
        <v>9875</v>
      </c>
      <c r="Y479" t="s">
        <v>9876</v>
      </c>
      <c r="Z479" t="s">
        <v>9877</v>
      </c>
      <c r="AA479" t="s">
        <v>74</v>
      </c>
      <c r="AB479" t="s">
        <v>9878</v>
      </c>
      <c r="AC479" t="s">
        <v>1658</v>
      </c>
      <c r="AD479" t="s">
        <v>1659</v>
      </c>
      <c r="AE479" t="s">
        <v>9879</v>
      </c>
      <c r="AF479" t="s">
        <v>74</v>
      </c>
      <c r="AG479">
        <v>48</v>
      </c>
      <c r="AH479">
        <v>3</v>
      </c>
      <c r="AI479">
        <v>3</v>
      </c>
      <c r="AJ479">
        <v>0</v>
      </c>
      <c r="AK479">
        <v>4</v>
      </c>
      <c r="AL479" t="s">
        <v>219</v>
      </c>
      <c r="AM479" t="s">
        <v>220</v>
      </c>
      <c r="AN479" t="s">
        <v>221</v>
      </c>
      <c r="AO479" t="s">
        <v>9880</v>
      </c>
      <c r="AP479" t="s">
        <v>9881</v>
      </c>
      <c r="AQ479" t="s">
        <v>74</v>
      </c>
      <c r="AR479" t="s">
        <v>9882</v>
      </c>
      <c r="AS479" t="s">
        <v>9883</v>
      </c>
      <c r="AT479" t="s">
        <v>894</v>
      </c>
      <c r="AU479">
        <v>2020</v>
      </c>
      <c r="AV479">
        <v>55</v>
      </c>
      <c r="AW479">
        <v>8</v>
      </c>
      <c r="AX479" t="s">
        <v>74</v>
      </c>
      <c r="AY479" t="s">
        <v>74</v>
      </c>
      <c r="AZ479" t="s">
        <v>74</v>
      </c>
      <c r="BA479" t="s">
        <v>74</v>
      </c>
      <c r="BB479">
        <v>1884</v>
      </c>
      <c r="BC479">
        <v>1898</v>
      </c>
      <c r="BD479" t="s">
        <v>74</v>
      </c>
      <c r="BE479" t="s">
        <v>9884</v>
      </c>
      <c r="BF479" t="str">
        <f>HYPERLINK("http://dx.doi.org/10.1111/maps.13553","http://dx.doi.org/10.1111/maps.13553")</f>
        <v>http://dx.doi.org/10.1111/maps.13553</v>
      </c>
      <c r="BG479" t="s">
        <v>74</v>
      </c>
      <c r="BH479" t="s">
        <v>9526</v>
      </c>
      <c r="BI479">
        <v>15</v>
      </c>
      <c r="BJ479" t="s">
        <v>1361</v>
      </c>
      <c r="BK479" t="s">
        <v>100</v>
      </c>
      <c r="BL479" t="s">
        <v>1361</v>
      </c>
      <c r="BM479" t="s">
        <v>9885</v>
      </c>
      <c r="BN479" t="s">
        <v>74</v>
      </c>
      <c r="BO479" t="s">
        <v>74</v>
      </c>
      <c r="BP479" t="s">
        <v>74</v>
      </c>
      <c r="BQ479" t="s">
        <v>74</v>
      </c>
      <c r="BR479" t="s">
        <v>104</v>
      </c>
      <c r="BS479" t="s">
        <v>9886</v>
      </c>
      <c r="BT479" t="str">
        <f>HYPERLINK("https%3A%2F%2Fwww.webofscience.com%2Fwos%2Fwoscc%2Ffull-record%2FWOS:000572676500001","View Full Record in Web of Science")</f>
        <v>View Full Record in Web of Science</v>
      </c>
    </row>
    <row r="480" spans="1:72" x14ac:dyDescent="0.15">
      <c r="A480" t="s">
        <v>72</v>
      </c>
      <c r="B480" t="s">
        <v>9887</v>
      </c>
      <c r="C480" t="s">
        <v>74</v>
      </c>
      <c r="D480" t="s">
        <v>74</v>
      </c>
      <c r="E480" t="s">
        <v>74</v>
      </c>
      <c r="F480" t="s">
        <v>9888</v>
      </c>
      <c r="G480" t="s">
        <v>74</v>
      </c>
      <c r="H480" t="s">
        <v>74</v>
      </c>
      <c r="I480" t="s">
        <v>9889</v>
      </c>
      <c r="J480" t="s">
        <v>4350</v>
      </c>
      <c r="K480" t="s">
        <v>74</v>
      </c>
      <c r="L480" t="s">
        <v>74</v>
      </c>
      <c r="M480" t="s">
        <v>78</v>
      </c>
      <c r="N480" t="s">
        <v>79</v>
      </c>
      <c r="O480" t="s">
        <v>74</v>
      </c>
      <c r="P480" t="s">
        <v>74</v>
      </c>
      <c r="Q480" t="s">
        <v>74</v>
      </c>
      <c r="R480" t="s">
        <v>74</v>
      </c>
      <c r="S480" t="s">
        <v>74</v>
      </c>
      <c r="T480" t="s">
        <v>9890</v>
      </c>
      <c r="U480" t="s">
        <v>9891</v>
      </c>
      <c r="V480" t="s">
        <v>9892</v>
      </c>
      <c r="W480" t="s">
        <v>9893</v>
      </c>
      <c r="X480" t="s">
        <v>2853</v>
      </c>
      <c r="Y480" t="s">
        <v>9894</v>
      </c>
      <c r="Z480" t="s">
        <v>9895</v>
      </c>
      <c r="AA480" t="s">
        <v>9896</v>
      </c>
      <c r="AB480" t="s">
        <v>9897</v>
      </c>
      <c r="AC480" t="s">
        <v>74</v>
      </c>
      <c r="AD480" t="s">
        <v>74</v>
      </c>
      <c r="AE480" t="s">
        <v>74</v>
      </c>
      <c r="AF480" t="s">
        <v>74</v>
      </c>
      <c r="AG480">
        <v>68</v>
      </c>
      <c r="AH480">
        <v>25</v>
      </c>
      <c r="AI480">
        <v>29</v>
      </c>
      <c r="AJ480">
        <v>4</v>
      </c>
      <c r="AK480">
        <v>43</v>
      </c>
      <c r="AL480" t="s">
        <v>482</v>
      </c>
      <c r="AM480" t="s">
        <v>554</v>
      </c>
      <c r="AN480" t="s">
        <v>555</v>
      </c>
      <c r="AO480" t="s">
        <v>4363</v>
      </c>
      <c r="AP480" t="s">
        <v>4364</v>
      </c>
      <c r="AQ480" t="s">
        <v>74</v>
      </c>
      <c r="AR480" t="s">
        <v>4350</v>
      </c>
      <c r="AS480" t="s">
        <v>4365</v>
      </c>
      <c r="AT480" t="s">
        <v>462</v>
      </c>
      <c r="AU480">
        <v>2021</v>
      </c>
      <c r="AV480">
        <v>50</v>
      </c>
      <c r="AW480">
        <v>3</v>
      </c>
      <c r="AX480" t="s">
        <v>74</v>
      </c>
      <c r="AY480" t="s">
        <v>74</v>
      </c>
      <c r="AZ480" t="s">
        <v>489</v>
      </c>
      <c r="BA480" t="s">
        <v>74</v>
      </c>
      <c r="BB480">
        <v>560</v>
      </c>
      <c r="BC480">
        <v>571</v>
      </c>
      <c r="BD480" t="s">
        <v>74</v>
      </c>
      <c r="BE480" t="s">
        <v>9898</v>
      </c>
      <c r="BF480" t="str">
        <f>HYPERLINK("http://dx.doi.org/10.1007/s13280-020-01386-w","http://dx.doi.org/10.1007/s13280-020-01386-w")</f>
        <v>http://dx.doi.org/10.1007/s13280-020-01386-w</v>
      </c>
      <c r="BG480" t="s">
        <v>74</v>
      </c>
      <c r="BH480" t="s">
        <v>9526</v>
      </c>
      <c r="BI480">
        <v>12</v>
      </c>
      <c r="BJ480" t="s">
        <v>945</v>
      </c>
      <c r="BK480" t="s">
        <v>100</v>
      </c>
      <c r="BL480" t="s">
        <v>946</v>
      </c>
      <c r="BM480" t="s">
        <v>4367</v>
      </c>
      <c r="BN480">
        <v>32979187</v>
      </c>
      <c r="BO480" t="s">
        <v>775</v>
      </c>
      <c r="BP480" t="s">
        <v>74</v>
      </c>
      <c r="BQ480" t="s">
        <v>74</v>
      </c>
      <c r="BR480" t="s">
        <v>104</v>
      </c>
      <c r="BS480" t="s">
        <v>9899</v>
      </c>
      <c r="BT480" t="str">
        <f>HYPERLINK("https%3A%2F%2Fwww.webofscience.com%2Fwos%2Fwoscc%2Ffull-record%2FWOS:000572978800002","View Full Record in Web of Science")</f>
        <v>View Full Record in Web of Science</v>
      </c>
    </row>
    <row r="481" spans="1:72" x14ac:dyDescent="0.15">
      <c r="A481" t="s">
        <v>72</v>
      </c>
      <c r="B481" t="s">
        <v>9900</v>
      </c>
      <c r="C481" t="s">
        <v>74</v>
      </c>
      <c r="D481" t="s">
        <v>74</v>
      </c>
      <c r="E481" t="s">
        <v>74</v>
      </c>
      <c r="F481" t="s">
        <v>9901</v>
      </c>
      <c r="G481" t="s">
        <v>74</v>
      </c>
      <c r="H481" t="s">
        <v>74</v>
      </c>
      <c r="I481" t="s">
        <v>9902</v>
      </c>
      <c r="J481" t="s">
        <v>853</v>
      </c>
      <c r="K481" t="s">
        <v>74</v>
      </c>
      <c r="L481" t="s">
        <v>74</v>
      </c>
      <c r="M481" t="s">
        <v>78</v>
      </c>
      <c r="N481" t="s">
        <v>79</v>
      </c>
      <c r="O481" t="s">
        <v>74</v>
      </c>
      <c r="P481" t="s">
        <v>74</v>
      </c>
      <c r="Q481" t="s">
        <v>74</v>
      </c>
      <c r="R481" t="s">
        <v>74</v>
      </c>
      <c r="S481" t="s">
        <v>74</v>
      </c>
      <c r="T481" t="s">
        <v>9903</v>
      </c>
      <c r="U481" t="s">
        <v>9904</v>
      </c>
      <c r="V481" t="s">
        <v>9905</v>
      </c>
      <c r="W481" t="s">
        <v>9906</v>
      </c>
      <c r="X481" t="s">
        <v>9907</v>
      </c>
      <c r="Y481" t="s">
        <v>9908</v>
      </c>
      <c r="Z481" t="s">
        <v>9909</v>
      </c>
      <c r="AA481" t="s">
        <v>9910</v>
      </c>
      <c r="AB481" t="s">
        <v>9911</v>
      </c>
      <c r="AC481" t="s">
        <v>9912</v>
      </c>
      <c r="AD481" t="s">
        <v>9913</v>
      </c>
      <c r="AE481" t="s">
        <v>9914</v>
      </c>
      <c r="AF481" t="s">
        <v>74</v>
      </c>
      <c r="AG481">
        <v>68</v>
      </c>
      <c r="AH481">
        <v>1</v>
      </c>
      <c r="AI481">
        <v>2</v>
      </c>
      <c r="AJ481">
        <v>2</v>
      </c>
      <c r="AK481">
        <v>14</v>
      </c>
      <c r="AL481" t="s">
        <v>866</v>
      </c>
      <c r="AM481" t="s">
        <v>867</v>
      </c>
      <c r="AN481" t="s">
        <v>868</v>
      </c>
      <c r="AO481" t="s">
        <v>869</v>
      </c>
      <c r="AP481" t="s">
        <v>74</v>
      </c>
      <c r="AQ481" t="s">
        <v>74</v>
      </c>
      <c r="AR481" t="s">
        <v>870</v>
      </c>
      <c r="AS481" t="s">
        <v>871</v>
      </c>
      <c r="AT481" t="s">
        <v>9915</v>
      </c>
      <c r="AU481">
        <v>2020</v>
      </c>
      <c r="AV481">
        <v>8</v>
      </c>
      <c r="AW481" t="s">
        <v>74</v>
      </c>
      <c r="AX481" t="s">
        <v>74</v>
      </c>
      <c r="AY481" t="s">
        <v>74</v>
      </c>
      <c r="AZ481" t="s">
        <v>74</v>
      </c>
      <c r="BA481" t="s">
        <v>74</v>
      </c>
      <c r="BB481" t="s">
        <v>74</v>
      </c>
      <c r="BC481" t="s">
        <v>74</v>
      </c>
      <c r="BD481">
        <v>521668</v>
      </c>
      <c r="BE481" t="s">
        <v>9916</v>
      </c>
      <c r="BF481" t="str">
        <f>HYPERLINK("http://dx.doi.org/10.3389/fevo.2020.521668","http://dx.doi.org/10.3389/fevo.2020.521668")</f>
        <v>http://dx.doi.org/10.3389/fevo.2020.521668</v>
      </c>
      <c r="BG481" t="s">
        <v>74</v>
      </c>
      <c r="BH481" t="s">
        <v>74</v>
      </c>
      <c r="BI481">
        <v>18</v>
      </c>
      <c r="BJ481" t="s">
        <v>823</v>
      </c>
      <c r="BK481" t="s">
        <v>100</v>
      </c>
      <c r="BL481" t="s">
        <v>284</v>
      </c>
      <c r="BM481" t="s">
        <v>9917</v>
      </c>
      <c r="BN481" t="s">
        <v>74</v>
      </c>
      <c r="BO481" t="s">
        <v>332</v>
      </c>
      <c r="BP481" t="s">
        <v>74</v>
      </c>
      <c r="BQ481" t="s">
        <v>74</v>
      </c>
      <c r="BR481" t="s">
        <v>104</v>
      </c>
      <c r="BS481" t="s">
        <v>9918</v>
      </c>
      <c r="BT481" t="str">
        <f>HYPERLINK("https%3A%2F%2Fwww.webofscience.com%2Fwos%2Fwoscc%2Ffull-record%2FWOS:000576665700001","View Full Record in Web of Science")</f>
        <v>View Full Record in Web of Science</v>
      </c>
    </row>
    <row r="482" spans="1:72" x14ac:dyDescent="0.15">
      <c r="A482" t="s">
        <v>72</v>
      </c>
      <c r="B482" t="s">
        <v>9919</v>
      </c>
      <c r="C482" t="s">
        <v>74</v>
      </c>
      <c r="D482" t="s">
        <v>74</v>
      </c>
      <c r="E482" t="s">
        <v>74</v>
      </c>
      <c r="F482" t="s">
        <v>9920</v>
      </c>
      <c r="G482" t="s">
        <v>74</v>
      </c>
      <c r="H482" t="s">
        <v>74</v>
      </c>
      <c r="I482" t="s">
        <v>9921</v>
      </c>
      <c r="J482" t="s">
        <v>901</v>
      </c>
      <c r="K482" t="s">
        <v>74</v>
      </c>
      <c r="L482" t="s">
        <v>74</v>
      </c>
      <c r="M482" t="s">
        <v>78</v>
      </c>
      <c r="N482" t="s">
        <v>79</v>
      </c>
      <c r="O482" t="s">
        <v>74</v>
      </c>
      <c r="P482" t="s">
        <v>74</v>
      </c>
      <c r="Q482" t="s">
        <v>74</v>
      </c>
      <c r="R482" t="s">
        <v>74</v>
      </c>
      <c r="S482" t="s">
        <v>74</v>
      </c>
      <c r="T482" t="s">
        <v>9922</v>
      </c>
      <c r="U482" t="s">
        <v>9923</v>
      </c>
      <c r="V482" t="s">
        <v>9924</v>
      </c>
      <c r="W482" t="s">
        <v>9925</v>
      </c>
      <c r="X482" t="s">
        <v>9926</v>
      </c>
      <c r="Y482" t="s">
        <v>9927</v>
      </c>
      <c r="Z482" t="s">
        <v>9928</v>
      </c>
      <c r="AA482" t="s">
        <v>9929</v>
      </c>
      <c r="AB482" t="s">
        <v>9930</v>
      </c>
      <c r="AC482" t="s">
        <v>9931</v>
      </c>
      <c r="AD482" t="s">
        <v>9932</v>
      </c>
      <c r="AE482" t="s">
        <v>9933</v>
      </c>
      <c r="AF482" t="s">
        <v>74</v>
      </c>
      <c r="AG482">
        <v>49</v>
      </c>
      <c r="AH482">
        <v>16</v>
      </c>
      <c r="AI482">
        <v>17</v>
      </c>
      <c r="AJ482">
        <v>4</v>
      </c>
      <c r="AK482">
        <v>39</v>
      </c>
      <c r="AL482" t="s">
        <v>866</v>
      </c>
      <c r="AM482" t="s">
        <v>867</v>
      </c>
      <c r="AN482" t="s">
        <v>868</v>
      </c>
      <c r="AO482" t="s">
        <v>74</v>
      </c>
      <c r="AP482" t="s">
        <v>914</v>
      </c>
      <c r="AQ482" t="s">
        <v>74</v>
      </c>
      <c r="AR482" t="s">
        <v>915</v>
      </c>
      <c r="AS482" t="s">
        <v>916</v>
      </c>
      <c r="AT482" t="s">
        <v>9915</v>
      </c>
      <c r="AU482">
        <v>2020</v>
      </c>
      <c r="AV482">
        <v>7</v>
      </c>
      <c r="AW482" t="s">
        <v>74</v>
      </c>
      <c r="AX482" t="s">
        <v>74</v>
      </c>
      <c r="AY482" t="s">
        <v>74</v>
      </c>
      <c r="AZ482" t="s">
        <v>74</v>
      </c>
      <c r="BA482" t="s">
        <v>74</v>
      </c>
      <c r="BB482" t="s">
        <v>74</v>
      </c>
      <c r="BC482" t="s">
        <v>74</v>
      </c>
      <c r="BD482">
        <v>567002</v>
      </c>
      <c r="BE482" t="s">
        <v>9934</v>
      </c>
      <c r="BF482" t="str">
        <f>HYPERLINK("http://dx.doi.org/10.3389/fmars.2020.567002","http://dx.doi.org/10.3389/fmars.2020.567002")</f>
        <v>http://dx.doi.org/10.3389/fmars.2020.567002</v>
      </c>
      <c r="BG482" t="s">
        <v>74</v>
      </c>
      <c r="BH482" t="s">
        <v>74</v>
      </c>
      <c r="BI482">
        <v>22</v>
      </c>
      <c r="BJ482" t="s">
        <v>918</v>
      </c>
      <c r="BK482" t="s">
        <v>100</v>
      </c>
      <c r="BL482" t="s">
        <v>919</v>
      </c>
      <c r="BM482" t="s">
        <v>9935</v>
      </c>
      <c r="BN482" t="s">
        <v>74</v>
      </c>
      <c r="BO482" t="s">
        <v>332</v>
      </c>
      <c r="BP482" t="s">
        <v>74</v>
      </c>
      <c r="BQ482" t="s">
        <v>74</v>
      </c>
      <c r="BR482" t="s">
        <v>104</v>
      </c>
      <c r="BS482" t="s">
        <v>9936</v>
      </c>
      <c r="BT482" t="str">
        <f>HYPERLINK("https%3A%2F%2Fwww.webofscience.com%2Fwos%2Fwoscc%2Ffull-record%2FWOS:000575585600001","View Full Record in Web of Science")</f>
        <v>View Full Record in Web of Science</v>
      </c>
    </row>
    <row r="483" spans="1:72" x14ac:dyDescent="0.15">
      <c r="A483" t="s">
        <v>72</v>
      </c>
      <c r="B483" t="s">
        <v>9937</v>
      </c>
      <c r="C483" t="s">
        <v>74</v>
      </c>
      <c r="D483" t="s">
        <v>74</v>
      </c>
      <c r="E483" t="s">
        <v>74</v>
      </c>
      <c r="F483" t="s">
        <v>9938</v>
      </c>
      <c r="G483" t="s">
        <v>74</v>
      </c>
      <c r="H483" t="s">
        <v>74</v>
      </c>
      <c r="I483" t="s">
        <v>9939</v>
      </c>
      <c r="J483" t="s">
        <v>1063</v>
      </c>
      <c r="K483" t="s">
        <v>74</v>
      </c>
      <c r="L483" t="s">
        <v>74</v>
      </c>
      <c r="M483" t="s">
        <v>78</v>
      </c>
      <c r="N483" t="s">
        <v>79</v>
      </c>
      <c r="O483" t="s">
        <v>74</v>
      </c>
      <c r="P483" t="s">
        <v>74</v>
      </c>
      <c r="Q483" t="s">
        <v>74</v>
      </c>
      <c r="R483" t="s">
        <v>74</v>
      </c>
      <c r="S483" t="s">
        <v>74</v>
      </c>
      <c r="T483" t="s">
        <v>9940</v>
      </c>
      <c r="U483" t="s">
        <v>9941</v>
      </c>
      <c r="V483" t="s">
        <v>9942</v>
      </c>
      <c r="W483" t="s">
        <v>9943</v>
      </c>
      <c r="X483" t="s">
        <v>9944</v>
      </c>
      <c r="Y483" t="s">
        <v>9945</v>
      </c>
      <c r="Z483" t="s">
        <v>9946</v>
      </c>
      <c r="AA483" t="s">
        <v>9947</v>
      </c>
      <c r="AB483" t="s">
        <v>9948</v>
      </c>
      <c r="AC483" t="s">
        <v>9949</v>
      </c>
      <c r="AD483" t="s">
        <v>9950</v>
      </c>
      <c r="AE483" t="s">
        <v>9951</v>
      </c>
      <c r="AF483" t="s">
        <v>74</v>
      </c>
      <c r="AG483">
        <v>129</v>
      </c>
      <c r="AH483">
        <v>6</v>
      </c>
      <c r="AI483">
        <v>6</v>
      </c>
      <c r="AJ483">
        <v>4</v>
      </c>
      <c r="AK483">
        <v>20</v>
      </c>
      <c r="AL483" t="s">
        <v>482</v>
      </c>
      <c r="AM483" t="s">
        <v>483</v>
      </c>
      <c r="AN483" t="s">
        <v>484</v>
      </c>
      <c r="AO483" t="s">
        <v>1075</v>
      </c>
      <c r="AP483" t="s">
        <v>1076</v>
      </c>
      <c r="AQ483" t="s">
        <v>74</v>
      </c>
      <c r="AR483" t="s">
        <v>1077</v>
      </c>
      <c r="AS483" t="s">
        <v>1078</v>
      </c>
      <c r="AT483" t="s">
        <v>1212</v>
      </c>
      <c r="AU483">
        <v>2020</v>
      </c>
      <c r="AV483">
        <v>43</v>
      </c>
      <c r="AW483">
        <v>11</v>
      </c>
      <c r="AX483" t="s">
        <v>74</v>
      </c>
      <c r="AY483" t="s">
        <v>74</v>
      </c>
      <c r="AZ483" t="s">
        <v>74</v>
      </c>
      <c r="BA483" t="s">
        <v>74</v>
      </c>
      <c r="BB483">
        <v>1873</v>
      </c>
      <c r="BC483">
        <v>1885</v>
      </c>
      <c r="BD483" t="s">
        <v>74</v>
      </c>
      <c r="BE483" t="s">
        <v>9952</v>
      </c>
      <c r="BF483" t="str">
        <f>HYPERLINK("http://dx.doi.org/10.1007/s00300-020-02751-x","http://dx.doi.org/10.1007/s00300-020-02751-x")</f>
        <v>http://dx.doi.org/10.1007/s00300-020-02751-x</v>
      </c>
      <c r="BG483" t="s">
        <v>74</v>
      </c>
      <c r="BH483" t="s">
        <v>9526</v>
      </c>
      <c r="BI483">
        <v>13</v>
      </c>
      <c r="BJ483" t="s">
        <v>1080</v>
      </c>
      <c r="BK483" t="s">
        <v>100</v>
      </c>
      <c r="BL483" t="s">
        <v>256</v>
      </c>
      <c r="BM483" t="s">
        <v>9540</v>
      </c>
      <c r="BN483" t="s">
        <v>74</v>
      </c>
      <c r="BO483" t="s">
        <v>701</v>
      </c>
      <c r="BP483" t="s">
        <v>74</v>
      </c>
      <c r="BQ483" t="s">
        <v>74</v>
      </c>
      <c r="BR483" t="s">
        <v>104</v>
      </c>
      <c r="BS483" t="s">
        <v>9953</v>
      </c>
      <c r="BT483" t="str">
        <f>HYPERLINK("https%3A%2F%2Fwww.webofscience.com%2Fwos%2Fwoscc%2Ffull-record%2FWOS:000572697300001","View Full Record in Web of Science")</f>
        <v>View Full Record in Web of Science</v>
      </c>
    </row>
    <row r="484" spans="1:72" x14ac:dyDescent="0.15">
      <c r="A484" t="s">
        <v>72</v>
      </c>
      <c r="B484" t="s">
        <v>9954</v>
      </c>
      <c r="C484" t="s">
        <v>74</v>
      </c>
      <c r="D484" t="s">
        <v>74</v>
      </c>
      <c r="E484" t="s">
        <v>74</v>
      </c>
      <c r="F484" t="s">
        <v>9955</v>
      </c>
      <c r="G484" t="s">
        <v>74</v>
      </c>
      <c r="H484" t="s">
        <v>74</v>
      </c>
      <c r="I484" t="s">
        <v>9956</v>
      </c>
      <c r="J484" t="s">
        <v>9957</v>
      </c>
      <c r="K484" t="s">
        <v>74</v>
      </c>
      <c r="L484" t="s">
        <v>74</v>
      </c>
      <c r="M484" t="s">
        <v>78</v>
      </c>
      <c r="N484" t="s">
        <v>79</v>
      </c>
      <c r="O484" t="s">
        <v>74</v>
      </c>
      <c r="P484" t="s">
        <v>74</v>
      </c>
      <c r="Q484" t="s">
        <v>74</v>
      </c>
      <c r="R484" t="s">
        <v>74</v>
      </c>
      <c r="S484" t="s">
        <v>74</v>
      </c>
      <c r="T484" t="s">
        <v>9958</v>
      </c>
      <c r="U484" t="s">
        <v>9959</v>
      </c>
      <c r="V484" t="s">
        <v>9960</v>
      </c>
      <c r="W484" t="s">
        <v>9961</v>
      </c>
      <c r="X484" t="s">
        <v>9962</v>
      </c>
      <c r="Y484" t="s">
        <v>9963</v>
      </c>
      <c r="Z484" t="s">
        <v>9964</v>
      </c>
      <c r="AA484" t="s">
        <v>9965</v>
      </c>
      <c r="AB484" t="s">
        <v>9966</v>
      </c>
      <c r="AC484" t="s">
        <v>9967</v>
      </c>
      <c r="AD484" t="s">
        <v>9968</v>
      </c>
      <c r="AE484" t="s">
        <v>9969</v>
      </c>
      <c r="AF484" t="s">
        <v>74</v>
      </c>
      <c r="AG484">
        <v>32</v>
      </c>
      <c r="AH484">
        <v>13</v>
      </c>
      <c r="AI484">
        <v>15</v>
      </c>
      <c r="AJ484">
        <v>2</v>
      </c>
      <c r="AK484">
        <v>34</v>
      </c>
      <c r="AL484" t="s">
        <v>9970</v>
      </c>
      <c r="AM484" t="s">
        <v>7944</v>
      </c>
      <c r="AN484" t="s">
        <v>9971</v>
      </c>
      <c r="AO484" t="s">
        <v>9972</v>
      </c>
      <c r="AP484" t="s">
        <v>9973</v>
      </c>
      <c r="AQ484" t="s">
        <v>74</v>
      </c>
      <c r="AR484" t="s">
        <v>9957</v>
      </c>
      <c r="AS484" t="s">
        <v>9974</v>
      </c>
      <c r="AT484" t="s">
        <v>1212</v>
      </c>
      <c r="AU484">
        <v>2020</v>
      </c>
      <c r="AV484">
        <v>24</v>
      </c>
      <c r="AW484">
        <v>6</v>
      </c>
      <c r="AX484" t="s">
        <v>74</v>
      </c>
      <c r="AY484" t="s">
        <v>74</v>
      </c>
      <c r="AZ484" t="s">
        <v>74</v>
      </c>
      <c r="BA484" t="s">
        <v>74</v>
      </c>
      <c r="BB484">
        <v>821</v>
      </c>
      <c r="BC484">
        <v>829</v>
      </c>
      <c r="BD484" t="s">
        <v>74</v>
      </c>
      <c r="BE484" t="s">
        <v>9975</v>
      </c>
      <c r="BF484" t="str">
        <f>HYPERLINK("http://dx.doi.org/10.1007/s00792-020-01197-7","http://dx.doi.org/10.1007/s00792-020-01197-7")</f>
        <v>http://dx.doi.org/10.1007/s00792-020-01197-7</v>
      </c>
      <c r="BG484" t="s">
        <v>74</v>
      </c>
      <c r="BH484" t="s">
        <v>9526</v>
      </c>
      <c r="BI484">
        <v>9</v>
      </c>
      <c r="BJ484" t="s">
        <v>9976</v>
      </c>
      <c r="BK484" t="s">
        <v>100</v>
      </c>
      <c r="BL484" t="s">
        <v>9976</v>
      </c>
      <c r="BM484" t="s">
        <v>9977</v>
      </c>
      <c r="BN484">
        <v>32974723</v>
      </c>
      <c r="BO484" t="s">
        <v>74</v>
      </c>
      <c r="BP484" t="s">
        <v>74</v>
      </c>
      <c r="BQ484" t="s">
        <v>74</v>
      </c>
      <c r="BR484" t="s">
        <v>104</v>
      </c>
      <c r="BS484" t="s">
        <v>9978</v>
      </c>
      <c r="BT484" t="str">
        <f>HYPERLINK("https%3A%2F%2Fwww.webofscience.com%2Fwos%2Fwoscc%2Ffull-record%2FWOS:000572587400001","View Full Record in Web of Science")</f>
        <v>View Full Record in Web of Science</v>
      </c>
    </row>
    <row r="485" spans="1:72" x14ac:dyDescent="0.15">
      <c r="A485" t="s">
        <v>72</v>
      </c>
      <c r="B485" t="s">
        <v>9979</v>
      </c>
      <c r="C485" t="s">
        <v>74</v>
      </c>
      <c r="D485" t="s">
        <v>74</v>
      </c>
      <c r="E485" t="s">
        <v>74</v>
      </c>
      <c r="F485" t="s">
        <v>9980</v>
      </c>
      <c r="G485" t="s">
        <v>74</v>
      </c>
      <c r="H485" t="s">
        <v>74</v>
      </c>
      <c r="I485" t="s">
        <v>9981</v>
      </c>
      <c r="J485" t="s">
        <v>901</v>
      </c>
      <c r="K485" t="s">
        <v>74</v>
      </c>
      <c r="L485" t="s">
        <v>74</v>
      </c>
      <c r="M485" t="s">
        <v>78</v>
      </c>
      <c r="N485" t="s">
        <v>79</v>
      </c>
      <c r="O485" t="s">
        <v>74</v>
      </c>
      <c r="P485" t="s">
        <v>74</v>
      </c>
      <c r="Q485" t="s">
        <v>74</v>
      </c>
      <c r="R485" t="s">
        <v>74</v>
      </c>
      <c r="S485" t="s">
        <v>74</v>
      </c>
      <c r="T485" t="s">
        <v>9982</v>
      </c>
      <c r="U485" t="s">
        <v>9983</v>
      </c>
      <c r="V485" t="s">
        <v>9984</v>
      </c>
      <c r="W485" t="s">
        <v>9985</v>
      </c>
      <c r="X485" t="s">
        <v>9986</v>
      </c>
      <c r="Y485" t="s">
        <v>9987</v>
      </c>
      <c r="Z485" t="s">
        <v>9988</v>
      </c>
      <c r="AA485" t="s">
        <v>9989</v>
      </c>
      <c r="AB485" t="s">
        <v>9990</v>
      </c>
      <c r="AC485" t="s">
        <v>9991</v>
      </c>
      <c r="AD485" t="s">
        <v>9992</v>
      </c>
      <c r="AE485" t="s">
        <v>9993</v>
      </c>
      <c r="AF485" t="s">
        <v>74</v>
      </c>
      <c r="AG485">
        <v>81</v>
      </c>
      <c r="AH485">
        <v>9</v>
      </c>
      <c r="AI485">
        <v>9</v>
      </c>
      <c r="AJ485">
        <v>0</v>
      </c>
      <c r="AK485">
        <v>5</v>
      </c>
      <c r="AL485" t="s">
        <v>866</v>
      </c>
      <c r="AM485" t="s">
        <v>867</v>
      </c>
      <c r="AN485" t="s">
        <v>868</v>
      </c>
      <c r="AO485" t="s">
        <v>74</v>
      </c>
      <c r="AP485" t="s">
        <v>914</v>
      </c>
      <c r="AQ485" t="s">
        <v>74</v>
      </c>
      <c r="AR485" t="s">
        <v>915</v>
      </c>
      <c r="AS485" t="s">
        <v>916</v>
      </c>
      <c r="AT485" t="s">
        <v>9994</v>
      </c>
      <c r="AU485">
        <v>2020</v>
      </c>
      <c r="AV485">
        <v>7</v>
      </c>
      <c r="AW485" t="s">
        <v>74</v>
      </c>
      <c r="AX485" t="s">
        <v>74</v>
      </c>
      <c r="AY485" t="s">
        <v>74</v>
      </c>
      <c r="AZ485" t="s">
        <v>74</v>
      </c>
      <c r="BA485" t="s">
        <v>74</v>
      </c>
      <c r="BB485" t="s">
        <v>74</v>
      </c>
      <c r="BC485" t="s">
        <v>74</v>
      </c>
      <c r="BD485">
        <v>517901</v>
      </c>
      <c r="BE485" t="s">
        <v>9995</v>
      </c>
      <c r="BF485" t="str">
        <f>HYPERLINK("http://dx.doi.org/10.3389/fmars.2020.517901","http://dx.doi.org/10.3389/fmars.2020.517901")</f>
        <v>http://dx.doi.org/10.3389/fmars.2020.517901</v>
      </c>
      <c r="BG485" t="s">
        <v>74</v>
      </c>
      <c r="BH485" t="s">
        <v>74</v>
      </c>
      <c r="BI485">
        <v>12</v>
      </c>
      <c r="BJ485" t="s">
        <v>918</v>
      </c>
      <c r="BK485" t="s">
        <v>100</v>
      </c>
      <c r="BL485" t="s">
        <v>919</v>
      </c>
      <c r="BM485" t="s">
        <v>9996</v>
      </c>
      <c r="BN485" t="s">
        <v>74</v>
      </c>
      <c r="BO485" t="s">
        <v>2113</v>
      </c>
      <c r="BP485" t="s">
        <v>74</v>
      </c>
      <c r="BQ485" t="s">
        <v>74</v>
      </c>
      <c r="BR485" t="s">
        <v>104</v>
      </c>
      <c r="BS485" t="s">
        <v>9997</v>
      </c>
      <c r="BT485" t="str">
        <f>HYPERLINK("https%3A%2F%2Fwww.webofscience.com%2Fwos%2Fwoscc%2Ffull-record%2FWOS:000575578600001","View Full Record in Web of Science")</f>
        <v>View Full Record in Web of Science</v>
      </c>
    </row>
    <row r="486" spans="1:72" x14ac:dyDescent="0.15">
      <c r="A486" t="s">
        <v>72</v>
      </c>
      <c r="B486" t="s">
        <v>9998</v>
      </c>
      <c r="C486" t="s">
        <v>74</v>
      </c>
      <c r="D486" t="s">
        <v>74</v>
      </c>
      <c r="E486" t="s">
        <v>74</v>
      </c>
      <c r="F486" t="s">
        <v>9999</v>
      </c>
      <c r="G486" t="s">
        <v>74</v>
      </c>
      <c r="H486" t="s">
        <v>74</v>
      </c>
      <c r="I486" t="s">
        <v>10000</v>
      </c>
      <c r="J486" t="s">
        <v>901</v>
      </c>
      <c r="K486" t="s">
        <v>74</v>
      </c>
      <c r="L486" t="s">
        <v>74</v>
      </c>
      <c r="M486" t="s">
        <v>78</v>
      </c>
      <c r="N486" t="s">
        <v>79</v>
      </c>
      <c r="O486" t="s">
        <v>74</v>
      </c>
      <c r="P486" t="s">
        <v>74</v>
      </c>
      <c r="Q486" t="s">
        <v>74</v>
      </c>
      <c r="R486" t="s">
        <v>74</v>
      </c>
      <c r="S486" t="s">
        <v>74</v>
      </c>
      <c r="T486" t="s">
        <v>10001</v>
      </c>
      <c r="U486" t="s">
        <v>10002</v>
      </c>
      <c r="V486" t="s">
        <v>74</v>
      </c>
      <c r="W486" t="s">
        <v>10003</v>
      </c>
      <c r="X486" t="s">
        <v>10004</v>
      </c>
      <c r="Y486" t="s">
        <v>10005</v>
      </c>
      <c r="Z486" t="s">
        <v>10006</v>
      </c>
      <c r="AA486" t="s">
        <v>10007</v>
      </c>
      <c r="AB486" t="s">
        <v>10008</v>
      </c>
      <c r="AC486" t="s">
        <v>10009</v>
      </c>
      <c r="AD486" t="s">
        <v>10010</v>
      </c>
      <c r="AE486" t="s">
        <v>10011</v>
      </c>
      <c r="AF486" t="s">
        <v>74</v>
      </c>
      <c r="AG486">
        <v>30</v>
      </c>
      <c r="AH486">
        <v>34</v>
      </c>
      <c r="AI486">
        <v>35</v>
      </c>
      <c r="AJ486">
        <v>11</v>
      </c>
      <c r="AK486">
        <v>32</v>
      </c>
      <c r="AL486" t="s">
        <v>866</v>
      </c>
      <c r="AM486" t="s">
        <v>867</v>
      </c>
      <c r="AN486" t="s">
        <v>868</v>
      </c>
      <c r="AO486" t="s">
        <v>74</v>
      </c>
      <c r="AP486" t="s">
        <v>914</v>
      </c>
      <c r="AQ486" t="s">
        <v>74</v>
      </c>
      <c r="AR486" t="s">
        <v>915</v>
      </c>
      <c r="AS486" t="s">
        <v>916</v>
      </c>
      <c r="AT486" t="s">
        <v>9994</v>
      </c>
      <c r="AU486">
        <v>2020</v>
      </c>
      <c r="AV486">
        <v>7</v>
      </c>
      <c r="AW486" t="s">
        <v>74</v>
      </c>
      <c r="AX486" t="s">
        <v>74</v>
      </c>
      <c r="AY486" t="s">
        <v>74</v>
      </c>
      <c r="AZ486" t="s">
        <v>74</v>
      </c>
      <c r="BA486" t="s">
        <v>74</v>
      </c>
      <c r="BB486" t="s">
        <v>74</v>
      </c>
      <c r="BC486" t="s">
        <v>74</v>
      </c>
      <c r="BD486">
        <v>554573</v>
      </c>
      <c r="BE486" t="s">
        <v>10012</v>
      </c>
      <c r="BF486" t="str">
        <f>HYPERLINK("http://dx.doi.org/10.3389/fmars.2020.554573","http://dx.doi.org/10.3389/fmars.2020.554573")</f>
        <v>http://dx.doi.org/10.3389/fmars.2020.554573</v>
      </c>
      <c r="BG486" t="s">
        <v>74</v>
      </c>
      <c r="BH486" t="s">
        <v>74</v>
      </c>
      <c r="BI486">
        <v>5</v>
      </c>
      <c r="BJ486" t="s">
        <v>918</v>
      </c>
      <c r="BK486" t="s">
        <v>100</v>
      </c>
      <c r="BL486" t="s">
        <v>919</v>
      </c>
      <c r="BM486" t="s">
        <v>10013</v>
      </c>
      <c r="BN486" t="s">
        <v>74</v>
      </c>
      <c r="BO486" t="s">
        <v>397</v>
      </c>
      <c r="BP486" t="s">
        <v>74</v>
      </c>
      <c r="BQ486" t="s">
        <v>74</v>
      </c>
      <c r="BR486" t="s">
        <v>104</v>
      </c>
      <c r="BS486" t="s">
        <v>10014</v>
      </c>
      <c r="BT486" t="str">
        <f>HYPERLINK("https%3A%2F%2Fwww.webofscience.com%2Fwos%2Fwoscc%2Ffull-record%2FWOS:000575577400001","View Full Record in Web of Science")</f>
        <v>View Full Record in Web of Science</v>
      </c>
    </row>
    <row r="487" spans="1:72" x14ac:dyDescent="0.15">
      <c r="A487" t="s">
        <v>72</v>
      </c>
      <c r="B487" t="s">
        <v>10015</v>
      </c>
      <c r="C487" t="s">
        <v>74</v>
      </c>
      <c r="D487" t="s">
        <v>74</v>
      </c>
      <c r="E487" t="s">
        <v>74</v>
      </c>
      <c r="F487" t="s">
        <v>10016</v>
      </c>
      <c r="G487" t="s">
        <v>74</v>
      </c>
      <c r="H487" t="s">
        <v>74</v>
      </c>
      <c r="I487" t="s">
        <v>10017</v>
      </c>
      <c r="J487" t="s">
        <v>10018</v>
      </c>
      <c r="K487" t="s">
        <v>74</v>
      </c>
      <c r="L487" t="s">
        <v>74</v>
      </c>
      <c r="M487" t="s">
        <v>78</v>
      </c>
      <c r="N487" t="s">
        <v>79</v>
      </c>
      <c r="O487" t="s">
        <v>74</v>
      </c>
      <c r="P487" t="s">
        <v>74</v>
      </c>
      <c r="Q487" t="s">
        <v>74</v>
      </c>
      <c r="R487" t="s">
        <v>74</v>
      </c>
      <c r="S487" t="s">
        <v>74</v>
      </c>
      <c r="T487" t="s">
        <v>10019</v>
      </c>
      <c r="U487" t="s">
        <v>10020</v>
      </c>
      <c r="V487" t="s">
        <v>10021</v>
      </c>
      <c r="W487" t="s">
        <v>10022</v>
      </c>
      <c r="X487" t="s">
        <v>10023</v>
      </c>
      <c r="Y487" t="s">
        <v>10024</v>
      </c>
      <c r="Z487" t="s">
        <v>10025</v>
      </c>
      <c r="AA487" t="s">
        <v>10026</v>
      </c>
      <c r="AB487" t="s">
        <v>10027</v>
      </c>
      <c r="AC487" t="s">
        <v>10028</v>
      </c>
      <c r="AD487" t="s">
        <v>10029</v>
      </c>
      <c r="AE487" t="s">
        <v>10028</v>
      </c>
      <c r="AF487" t="s">
        <v>74</v>
      </c>
      <c r="AG487">
        <v>67</v>
      </c>
      <c r="AH487">
        <v>103</v>
      </c>
      <c r="AI487">
        <v>110</v>
      </c>
      <c r="AJ487">
        <v>2</v>
      </c>
      <c r="AK487">
        <v>27</v>
      </c>
      <c r="AL487" t="s">
        <v>219</v>
      </c>
      <c r="AM487" t="s">
        <v>220</v>
      </c>
      <c r="AN487" t="s">
        <v>221</v>
      </c>
      <c r="AO487" t="s">
        <v>10030</v>
      </c>
      <c r="AP487" t="s">
        <v>10031</v>
      </c>
      <c r="AQ487" t="s">
        <v>74</v>
      </c>
      <c r="AR487" t="s">
        <v>10032</v>
      </c>
      <c r="AS487" t="s">
        <v>10033</v>
      </c>
      <c r="AT487" t="s">
        <v>1212</v>
      </c>
      <c r="AU487">
        <v>2020</v>
      </c>
      <c r="AV487">
        <v>11</v>
      </c>
      <c r="AW487">
        <v>11</v>
      </c>
      <c r="AX487" t="s">
        <v>74</v>
      </c>
      <c r="AY487" t="s">
        <v>74</v>
      </c>
      <c r="AZ487" t="s">
        <v>74</v>
      </c>
      <c r="BA487" t="s">
        <v>74</v>
      </c>
      <c r="BB487">
        <v>1401</v>
      </c>
      <c r="BC487">
        <v>1409</v>
      </c>
      <c r="BD487" t="s">
        <v>74</v>
      </c>
      <c r="BE487" t="s">
        <v>10034</v>
      </c>
      <c r="BF487" t="str">
        <f>HYPERLINK("http://dx.doi.org/10.1111/2041-210X.13470","http://dx.doi.org/10.1111/2041-210X.13470")</f>
        <v>http://dx.doi.org/10.1111/2041-210X.13470</v>
      </c>
      <c r="BG487" t="s">
        <v>74</v>
      </c>
      <c r="BH487" t="s">
        <v>9526</v>
      </c>
      <c r="BI487">
        <v>9</v>
      </c>
      <c r="BJ487" t="s">
        <v>823</v>
      </c>
      <c r="BK487" t="s">
        <v>100</v>
      </c>
      <c r="BL487" t="s">
        <v>284</v>
      </c>
      <c r="BM487" t="s">
        <v>10035</v>
      </c>
      <c r="BN487" t="s">
        <v>74</v>
      </c>
      <c r="BO487" t="s">
        <v>3779</v>
      </c>
      <c r="BP487" t="s">
        <v>74</v>
      </c>
      <c r="BQ487" t="s">
        <v>74</v>
      </c>
      <c r="BR487" t="s">
        <v>104</v>
      </c>
      <c r="BS487" t="s">
        <v>10036</v>
      </c>
      <c r="BT487" t="str">
        <f>HYPERLINK("https%3A%2F%2Fwww.webofscience.com%2Fwos%2Fwoscc%2Ffull-record%2FWOS:000572262800001","View Full Record in Web of Science")</f>
        <v>View Full Record in Web of Science</v>
      </c>
    </row>
    <row r="488" spans="1:72" x14ac:dyDescent="0.15">
      <c r="A488" t="s">
        <v>72</v>
      </c>
      <c r="B488" t="s">
        <v>10037</v>
      </c>
      <c r="C488" t="s">
        <v>74</v>
      </c>
      <c r="D488" t="s">
        <v>74</v>
      </c>
      <c r="E488" t="s">
        <v>74</v>
      </c>
      <c r="F488" t="s">
        <v>10038</v>
      </c>
      <c r="G488" t="s">
        <v>74</v>
      </c>
      <c r="H488" t="s">
        <v>74</v>
      </c>
      <c r="I488" t="s">
        <v>10039</v>
      </c>
      <c r="J488" t="s">
        <v>3480</v>
      </c>
      <c r="K488" t="s">
        <v>74</v>
      </c>
      <c r="L488" t="s">
        <v>74</v>
      </c>
      <c r="M488" t="s">
        <v>78</v>
      </c>
      <c r="N488" t="s">
        <v>79</v>
      </c>
      <c r="O488" t="s">
        <v>74</v>
      </c>
      <c r="P488" t="s">
        <v>74</v>
      </c>
      <c r="Q488" t="s">
        <v>74</v>
      </c>
      <c r="R488" t="s">
        <v>74</v>
      </c>
      <c r="S488" t="s">
        <v>74</v>
      </c>
      <c r="T488" t="s">
        <v>74</v>
      </c>
      <c r="U488" t="s">
        <v>10040</v>
      </c>
      <c r="V488" t="s">
        <v>10041</v>
      </c>
      <c r="W488" t="s">
        <v>10042</v>
      </c>
      <c r="X488" t="s">
        <v>10043</v>
      </c>
      <c r="Y488" t="s">
        <v>10044</v>
      </c>
      <c r="Z488" t="s">
        <v>10045</v>
      </c>
      <c r="AA488" t="s">
        <v>10046</v>
      </c>
      <c r="AB488" t="s">
        <v>10047</v>
      </c>
      <c r="AC488" t="s">
        <v>74</v>
      </c>
      <c r="AD488" t="s">
        <v>74</v>
      </c>
      <c r="AE488" t="s">
        <v>74</v>
      </c>
      <c r="AF488" t="s">
        <v>74</v>
      </c>
      <c r="AG488">
        <v>68</v>
      </c>
      <c r="AH488">
        <v>101</v>
      </c>
      <c r="AI488">
        <v>107</v>
      </c>
      <c r="AJ488">
        <v>6</v>
      </c>
      <c r="AK488">
        <v>81</v>
      </c>
      <c r="AL488" t="s">
        <v>413</v>
      </c>
      <c r="AM488" t="s">
        <v>322</v>
      </c>
      <c r="AN488" t="s">
        <v>323</v>
      </c>
      <c r="AO488" t="s">
        <v>3484</v>
      </c>
      <c r="AP488" t="s">
        <v>3485</v>
      </c>
      <c r="AQ488" t="s">
        <v>74</v>
      </c>
      <c r="AR488" t="s">
        <v>3480</v>
      </c>
      <c r="AS488" t="s">
        <v>3486</v>
      </c>
      <c r="AT488" t="s">
        <v>9994</v>
      </c>
      <c r="AU488">
        <v>2020</v>
      </c>
      <c r="AV488">
        <v>585</v>
      </c>
      <c r="AW488">
        <v>7826</v>
      </c>
      <c r="AX488" t="s">
        <v>74</v>
      </c>
      <c r="AY488" t="s">
        <v>74</v>
      </c>
      <c r="AZ488" t="s">
        <v>74</v>
      </c>
      <c r="BA488" t="s">
        <v>74</v>
      </c>
      <c r="BB488">
        <v>538</v>
      </c>
      <c r="BC488" t="s">
        <v>614</v>
      </c>
      <c r="BD488" t="s">
        <v>74</v>
      </c>
      <c r="BE488" t="s">
        <v>10048</v>
      </c>
      <c r="BF488" t="str">
        <f>HYPERLINK("http://dx.doi.org/10.1038/s41586-020-2727-5","http://dx.doi.org/10.1038/s41586-020-2727-5")</f>
        <v>http://dx.doi.org/10.1038/s41586-020-2727-5</v>
      </c>
      <c r="BG488" t="s">
        <v>74</v>
      </c>
      <c r="BH488" t="s">
        <v>74</v>
      </c>
      <c r="BI488">
        <v>16</v>
      </c>
      <c r="BJ488" t="s">
        <v>329</v>
      </c>
      <c r="BK488" t="s">
        <v>100</v>
      </c>
      <c r="BL488" t="s">
        <v>330</v>
      </c>
      <c r="BM488" t="s">
        <v>10049</v>
      </c>
      <c r="BN488">
        <v>32968257</v>
      </c>
      <c r="BO488" t="s">
        <v>701</v>
      </c>
      <c r="BP488" t="s">
        <v>417</v>
      </c>
      <c r="BQ488" t="s">
        <v>418</v>
      </c>
      <c r="BR488" t="s">
        <v>104</v>
      </c>
      <c r="BS488" t="s">
        <v>10050</v>
      </c>
      <c r="BT488" t="str">
        <f>HYPERLINK("https%3A%2F%2Fwww.webofscience.com%2Fwos%2Fwoscc%2Ffull-record%2FWOS:000572556300018","View Full Record in Web of Science")</f>
        <v>View Full Record in Web of Science</v>
      </c>
    </row>
    <row r="489" spans="1:72" x14ac:dyDescent="0.15">
      <c r="A489" t="s">
        <v>72</v>
      </c>
      <c r="B489" t="s">
        <v>10051</v>
      </c>
      <c r="C489" t="s">
        <v>74</v>
      </c>
      <c r="D489" t="s">
        <v>74</v>
      </c>
      <c r="E489" t="s">
        <v>74</v>
      </c>
      <c r="F489" t="s">
        <v>10052</v>
      </c>
      <c r="G489" t="s">
        <v>74</v>
      </c>
      <c r="H489" t="s">
        <v>10053</v>
      </c>
      <c r="I489" t="s">
        <v>10054</v>
      </c>
      <c r="J489" t="s">
        <v>10055</v>
      </c>
      <c r="K489" t="s">
        <v>74</v>
      </c>
      <c r="L489" t="s">
        <v>74</v>
      </c>
      <c r="M489" t="s">
        <v>78</v>
      </c>
      <c r="N489" t="s">
        <v>7302</v>
      </c>
      <c r="O489" t="s">
        <v>74</v>
      </c>
      <c r="P489" t="s">
        <v>74</v>
      </c>
      <c r="Q489" t="s">
        <v>74</v>
      </c>
      <c r="R489" t="s">
        <v>74</v>
      </c>
      <c r="S489" t="s">
        <v>74</v>
      </c>
      <c r="T489" t="s">
        <v>74</v>
      </c>
      <c r="U489" t="s">
        <v>10056</v>
      </c>
      <c r="V489" t="s">
        <v>10057</v>
      </c>
      <c r="W489" t="s">
        <v>10058</v>
      </c>
      <c r="X489" t="s">
        <v>10059</v>
      </c>
      <c r="Y489" t="s">
        <v>10060</v>
      </c>
      <c r="Z489" t="s">
        <v>10061</v>
      </c>
      <c r="AA489" t="s">
        <v>10062</v>
      </c>
      <c r="AB489" t="s">
        <v>10063</v>
      </c>
      <c r="AC489" t="s">
        <v>10064</v>
      </c>
      <c r="AD489" t="s">
        <v>10065</v>
      </c>
      <c r="AE489" t="s">
        <v>10066</v>
      </c>
      <c r="AF489" t="s">
        <v>74</v>
      </c>
      <c r="AG489">
        <v>122</v>
      </c>
      <c r="AH489">
        <v>41</v>
      </c>
      <c r="AI489">
        <v>45</v>
      </c>
      <c r="AJ489">
        <v>12</v>
      </c>
      <c r="AK489">
        <v>35</v>
      </c>
      <c r="AL489" t="s">
        <v>91</v>
      </c>
      <c r="AM489" t="s">
        <v>92</v>
      </c>
      <c r="AN489" t="s">
        <v>93</v>
      </c>
      <c r="AO489" t="s">
        <v>10067</v>
      </c>
      <c r="AP489" t="s">
        <v>10068</v>
      </c>
      <c r="AQ489" t="s">
        <v>74</v>
      </c>
      <c r="AR489" t="s">
        <v>10069</v>
      </c>
      <c r="AS489" t="s">
        <v>10070</v>
      </c>
      <c r="AT489" t="s">
        <v>10071</v>
      </c>
      <c r="AU489">
        <v>2020</v>
      </c>
      <c r="AV489">
        <v>12</v>
      </c>
      <c r="AW489">
        <v>3</v>
      </c>
      <c r="AX489" t="s">
        <v>74</v>
      </c>
      <c r="AY489" t="s">
        <v>74</v>
      </c>
      <c r="AZ489" t="s">
        <v>74</v>
      </c>
      <c r="BA489" t="s">
        <v>74</v>
      </c>
      <c r="BB489">
        <v>2261</v>
      </c>
      <c r="BC489">
        <v>2288</v>
      </c>
      <c r="BD489" t="s">
        <v>74</v>
      </c>
      <c r="BE489" t="s">
        <v>10072</v>
      </c>
      <c r="BF489" t="str">
        <f>HYPERLINK("http://dx.doi.org/10.5194/essd-12-2261-2020","http://dx.doi.org/10.5194/essd-12-2261-2020")</f>
        <v>http://dx.doi.org/10.5194/essd-12-2261-2020</v>
      </c>
      <c r="BG489" t="s">
        <v>74</v>
      </c>
      <c r="BH489" t="s">
        <v>74</v>
      </c>
      <c r="BI489">
        <v>28</v>
      </c>
      <c r="BJ489" t="s">
        <v>3614</v>
      </c>
      <c r="BK489" t="s">
        <v>100</v>
      </c>
      <c r="BL489" t="s">
        <v>3615</v>
      </c>
      <c r="BM489" t="s">
        <v>10073</v>
      </c>
      <c r="BN489" t="s">
        <v>74</v>
      </c>
      <c r="BO489" t="s">
        <v>152</v>
      </c>
      <c r="BP489" t="s">
        <v>74</v>
      </c>
      <c r="BQ489" t="s">
        <v>74</v>
      </c>
      <c r="BR489" t="s">
        <v>104</v>
      </c>
      <c r="BS489" t="s">
        <v>10074</v>
      </c>
      <c r="BT489" t="str">
        <f>HYPERLINK("https%3A%2F%2Fwww.webofscience.com%2Fwos%2Fwoscc%2Ffull-record%2FWOS:000575404300001","View Full Record in Web of Science")</f>
        <v>View Full Record in Web of Science</v>
      </c>
    </row>
    <row r="490" spans="1:72" x14ac:dyDescent="0.15">
      <c r="A490" t="s">
        <v>72</v>
      </c>
      <c r="B490" t="s">
        <v>10075</v>
      </c>
      <c r="C490" t="s">
        <v>74</v>
      </c>
      <c r="D490" t="s">
        <v>74</v>
      </c>
      <c r="E490" t="s">
        <v>74</v>
      </c>
      <c r="F490" t="s">
        <v>10076</v>
      </c>
      <c r="G490" t="s">
        <v>74</v>
      </c>
      <c r="H490" t="s">
        <v>74</v>
      </c>
      <c r="I490" t="s">
        <v>10077</v>
      </c>
      <c r="J490" t="s">
        <v>5798</v>
      </c>
      <c r="K490" t="s">
        <v>74</v>
      </c>
      <c r="L490" t="s">
        <v>74</v>
      </c>
      <c r="M490" t="s">
        <v>78</v>
      </c>
      <c r="N490" t="s">
        <v>79</v>
      </c>
      <c r="O490" t="s">
        <v>74</v>
      </c>
      <c r="P490" t="s">
        <v>74</v>
      </c>
      <c r="Q490" t="s">
        <v>74</v>
      </c>
      <c r="R490" t="s">
        <v>74</v>
      </c>
      <c r="S490" t="s">
        <v>74</v>
      </c>
      <c r="T490" t="s">
        <v>74</v>
      </c>
      <c r="U490" t="s">
        <v>10078</v>
      </c>
      <c r="V490" t="s">
        <v>10079</v>
      </c>
      <c r="W490" t="s">
        <v>10080</v>
      </c>
      <c r="X490" t="s">
        <v>10081</v>
      </c>
      <c r="Y490" t="s">
        <v>10082</v>
      </c>
      <c r="Z490" t="s">
        <v>10083</v>
      </c>
      <c r="AA490" t="s">
        <v>10084</v>
      </c>
      <c r="AB490" t="s">
        <v>10085</v>
      </c>
      <c r="AC490" t="s">
        <v>10086</v>
      </c>
      <c r="AD490" t="s">
        <v>10086</v>
      </c>
      <c r="AE490" t="s">
        <v>10087</v>
      </c>
      <c r="AF490" t="s">
        <v>74</v>
      </c>
      <c r="AG490">
        <v>61</v>
      </c>
      <c r="AH490">
        <v>6</v>
      </c>
      <c r="AI490">
        <v>6</v>
      </c>
      <c r="AJ490">
        <v>1</v>
      </c>
      <c r="AK490">
        <v>3</v>
      </c>
      <c r="AL490" t="s">
        <v>5807</v>
      </c>
      <c r="AM490" t="s">
        <v>4984</v>
      </c>
      <c r="AN490" t="s">
        <v>5808</v>
      </c>
      <c r="AO490" t="s">
        <v>5809</v>
      </c>
      <c r="AP490" t="s">
        <v>74</v>
      </c>
      <c r="AQ490" t="s">
        <v>74</v>
      </c>
      <c r="AR490" t="s">
        <v>5798</v>
      </c>
      <c r="AS490" t="s">
        <v>5810</v>
      </c>
      <c r="AT490" t="s">
        <v>10071</v>
      </c>
      <c r="AU490">
        <v>2020</v>
      </c>
      <c r="AV490">
        <v>15</v>
      </c>
      <c r="AW490">
        <v>9</v>
      </c>
      <c r="AX490" t="s">
        <v>74</v>
      </c>
      <c r="AY490" t="s">
        <v>74</v>
      </c>
      <c r="AZ490" t="s">
        <v>74</v>
      </c>
      <c r="BA490" t="s">
        <v>74</v>
      </c>
      <c r="BB490" t="s">
        <v>74</v>
      </c>
      <c r="BC490" t="s">
        <v>74</v>
      </c>
      <c r="BD490" t="s">
        <v>10088</v>
      </c>
      <c r="BE490" t="s">
        <v>10089</v>
      </c>
      <c r="BF490" t="str">
        <f>HYPERLINK("http://dx.doi.org/10.1371/journal.pone.0239158","http://dx.doi.org/10.1371/journal.pone.0239158")</f>
        <v>http://dx.doi.org/10.1371/journal.pone.0239158</v>
      </c>
      <c r="BG490" t="s">
        <v>74</v>
      </c>
      <c r="BH490" t="s">
        <v>74</v>
      </c>
      <c r="BI490">
        <v>15</v>
      </c>
      <c r="BJ490" t="s">
        <v>329</v>
      </c>
      <c r="BK490" t="s">
        <v>100</v>
      </c>
      <c r="BL490" t="s">
        <v>330</v>
      </c>
      <c r="BM490" t="s">
        <v>10090</v>
      </c>
      <c r="BN490">
        <v>32966338</v>
      </c>
      <c r="BO490" t="s">
        <v>2113</v>
      </c>
      <c r="BP490" t="s">
        <v>74</v>
      </c>
      <c r="BQ490" t="s">
        <v>74</v>
      </c>
      <c r="BR490" t="s">
        <v>104</v>
      </c>
      <c r="BS490" t="s">
        <v>10091</v>
      </c>
      <c r="BT490" t="str">
        <f>HYPERLINK("https%3A%2F%2Fwww.webofscience.com%2Fwos%2Fwoscc%2Ffull-record%2FWOS:000575688700065","View Full Record in Web of Science")</f>
        <v>View Full Record in Web of Science</v>
      </c>
    </row>
    <row r="491" spans="1:72" x14ac:dyDescent="0.15">
      <c r="A491" t="s">
        <v>72</v>
      </c>
      <c r="B491" t="s">
        <v>10092</v>
      </c>
      <c r="C491" t="s">
        <v>74</v>
      </c>
      <c r="D491" t="s">
        <v>74</v>
      </c>
      <c r="E491" t="s">
        <v>74</v>
      </c>
      <c r="F491" t="s">
        <v>10093</v>
      </c>
      <c r="G491" t="s">
        <v>74</v>
      </c>
      <c r="H491" t="s">
        <v>74</v>
      </c>
      <c r="I491" t="s">
        <v>10094</v>
      </c>
      <c r="J491" t="s">
        <v>10095</v>
      </c>
      <c r="K491" t="s">
        <v>74</v>
      </c>
      <c r="L491" t="s">
        <v>74</v>
      </c>
      <c r="M491" t="s">
        <v>78</v>
      </c>
      <c r="N491" t="s">
        <v>79</v>
      </c>
      <c r="O491" t="s">
        <v>74</v>
      </c>
      <c r="P491" t="s">
        <v>74</v>
      </c>
      <c r="Q491" t="s">
        <v>74</v>
      </c>
      <c r="R491" t="s">
        <v>74</v>
      </c>
      <c r="S491" t="s">
        <v>74</v>
      </c>
      <c r="T491" t="s">
        <v>10096</v>
      </c>
      <c r="U491" t="s">
        <v>10097</v>
      </c>
      <c r="V491" t="s">
        <v>10098</v>
      </c>
      <c r="W491" t="s">
        <v>10099</v>
      </c>
      <c r="X491" t="s">
        <v>10100</v>
      </c>
      <c r="Y491" t="s">
        <v>10101</v>
      </c>
      <c r="Z491" t="s">
        <v>10102</v>
      </c>
      <c r="AA491" t="s">
        <v>10103</v>
      </c>
      <c r="AB491" t="s">
        <v>10104</v>
      </c>
      <c r="AC491" t="s">
        <v>74</v>
      </c>
      <c r="AD491" t="s">
        <v>74</v>
      </c>
      <c r="AE491" t="s">
        <v>74</v>
      </c>
      <c r="AF491" t="s">
        <v>74</v>
      </c>
      <c r="AG491">
        <v>70</v>
      </c>
      <c r="AH491">
        <v>7</v>
      </c>
      <c r="AI491">
        <v>7</v>
      </c>
      <c r="AJ491">
        <v>6</v>
      </c>
      <c r="AK491">
        <v>90</v>
      </c>
      <c r="AL491" t="s">
        <v>219</v>
      </c>
      <c r="AM491" t="s">
        <v>220</v>
      </c>
      <c r="AN491" t="s">
        <v>221</v>
      </c>
      <c r="AO491" t="s">
        <v>10105</v>
      </c>
      <c r="AP491" t="s">
        <v>10106</v>
      </c>
      <c r="AQ491" t="s">
        <v>74</v>
      </c>
      <c r="AR491" t="s">
        <v>10107</v>
      </c>
      <c r="AS491" t="s">
        <v>10108</v>
      </c>
      <c r="AT491" t="s">
        <v>720</v>
      </c>
      <c r="AU491">
        <v>2020</v>
      </c>
      <c r="AV491">
        <v>41</v>
      </c>
      <c r="AW491">
        <v>6</v>
      </c>
      <c r="AX491" t="s">
        <v>74</v>
      </c>
      <c r="AY491" t="s">
        <v>74</v>
      </c>
      <c r="AZ491" t="s">
        <v>74</v>
      </c>
      <c r="BA491" t="s">
        <v>74</v>
      </c>
      <c r="BB491" t="s">
        <v>74</v>
      </c>
      <c r="BC491" t="s">
        <v>74</v>
      </c>
      <c r="BD491" t="s">
        <v>10109</v>
      </c>
      <c r="BE491" t="s">
        <v>10110</v>
      </c>
      <c r="BF491" t="str">
        <f>HYPERLINK("http://dx.doi.org/10.1111/maec.12616","http://dx.doi.org/10.1111/maec.12616")</f>
        <v>http://dx.doi.org/10.1111/maec.12616</v>
      </c>
      <c r="BG491" t="s">
        <v>74</v>
      </c>
      <c r="BH491" t="s">
        <v>9526</v>
      </c>
      <c r="BI491">
        <v>9</v>
      </c>
      <c r="BJ491" t="s">
        <v>9597</v>
      </c>
      <c r="BK491" t="s">
        <v>100</v>
      </c>
      <c r="BL491" t="s">
        <v>9597</v>
      </c>
      <c r="BM491" t="s">
        <v>10111</v>
      </c>
      <c r="BN491" t="s">
        <v>74</v>
      </c>
      <c r="BO491" t="s">
        <v>74</v>
      </c>
      <c r="BP491" t="s">
        <v>74</v>
      </c>
      <c r="BQ491" t="s">
        <v>74</v>
      </c>
      <c r="BR491" t="s">
        <v>104</v>
      </c>
      <c r="BS491" t="s">
        <v>10112</v>
      </c>
      <c r="BT491" t="str">
        <f>HYPERLINK("https%3A%2F%2Fwww.webofscience.com%2Fwos%2Fwoscc%2Ffull-record%2FWOS:000571848800001","View Full Record in Web of Science")</f>
        <v>View Full Record in Web of Science</v>
      </c>
    </row>
    <row r="492" spans="1:72" x14ac:dyDescent="0.15">
      <c r="A492" t="s">
        <v>72</v>
      </c>
      <c r="B492" t="s">
        <v>10113</v>
      </c>
      <c r="C492" t="s">
        <v>74</v>
      </c>
      <c r="D492" t="s">
        <v>74</v>
      </c>
      <c r="E492" t="s">
        <v>74</v>
      </c>
      <c r="F492" t="s">
        <v>10114</v>
      </c>
      <c r="G492" t="s">
        <v>74</v>
      </c>
      <c r="H492" t="s">
        <v>74</v>
      </c>
      <c r="I492" t="s">
        <v>10115</v>
      </c>
      <c r="J492" t="s">
        <v>10116</v>
      </c>
      <c r="K492" t="s">
        <v>74</v>
      </c>
      <c r="L492" t="s">
        <v>74</v>
      </c>
      <c r="M492" t="s">
        <v>78</v>
      </c>
      <c r="N492" t="s">
        <v>79</v>
      </c>
      <c r="O492" t="s">
        <v>74</v>
      </c>
      <c r="P492" t="s">
        <v>74</v>
      </c>
      <c r="Q492" t="s">
        <v>74</v>
      </c>
      <c r="R492" t="s">
        <v>74</v>
      </c>
      <c r="S492" t="s">
        <v>74</v>
      </c>
      <c r="T492" t="s">
        <v>10117</v>
      </c>
      <c r="U492" t="s">
        <v>10118</v>
      </c>
      <c r="V492" t="s">
        <v>10119</v>
      </c>
      <c r="W492" t="s">
        <v>10120</v>
      </c>
      <c r="X492" t="s">
        <v>10121</v>
      </c>
      <c r="Y492" t="s">
        <v>10122</v>
      </c>
      <c r="Z492" t="s">
        <v>10123</v>
      </c>
      <c r="AA492" t="s">
        <v>10124</v>
      </c>
      <c r="AB492" t="s">
        <v>10125</v>
      </c>
      <c r="AC492" t="s">
        <v>10126</v>
      </c>
      <c r="AD492" t="s">
        <v>10127</v>
      </c>
      <c r="AE492" t="s">
        <v>10128</v>
      </c>
      <c r="AF492" t="s">
        <v>74</v>
      </c>
      <c r="AG492">
        <v>14</v>
      </c>
      <c r="AH492">
        <v>4</v>
      </c>
      <c r="AI492">
        <v>4</v>
      </c>
      <c r="AJ492">
        <v>0</v>
      </c>
      <c r="AK492">
        <v>5</v>
      </c>
      <c r="AL492" t="s">
        <v>219</v>
      </c>
      <c r="AM492" t="s">
        <v>220</v>
      </c>
      <c r="AN492" t="s">
        <v>221</v>
      </c>
      <c r="AO492" t="s">
        <v>10129</v>
      </c>
      <c r="AP492" t="s">
        <v>10130</v>
      </c>
      <c r="AQ492" t="s">
        <v>74</v>
      </c>
      <c r="AR492" t="s">
        <v>10131</v>
      </c>
      <c r="AS492" t="s">
        <v>10132</v>
      </c>
      <c r="AT492" t="s">
        <v>252</v>
      </c>
      <c r="AU492">
        <v>2021</v>
      </c>
      <c r="AV492">
        <v>147</v>
      </c>
      <c r="AW492">
        <v>734</v>
      </c>
      <c r="AX492" t="s">
        <v>74</v>
      </c>
      <c r="AY492" t="s">
        <v>74</v>
      </c>
      <c r="AZ492" t="s">
        <v>74</v>
      </c>
      <c r="BA492" t="s">
        <v>74</v>
      </c>
      <c r="BB492">
        <v>21</v>
      </c>
      <c r="BC492">
        <v>29</v>
      </c>
      <c r="BD492" t="s">
        <v>74</v>
      </c>
      <c r="BE492" t="s">
        <v>10133</v>
      </c>
      <c r="BF492" t="str">
        <f>HYPERLINK("http://dx.doi.org/10.1002/qj.3901","http://dx.doi.org/10.1002/qj.3901")</f>
        <v>http://dx.doi.org/10.1002/qj.3901</v>
      </c>
      <c r="BG492" t="s">
        <v>74</v>
      </c>
      <c r="BH492" t="s">
        <v>9526</v>
      </c>
      <c r="BI492">
        <v>9</v>
      </c>
      <c r="BJ492" t="s">
        <v>800</v>
      </c>
      <c r="BK492" t="s">
        <v>100</v>
      </c>
      <c r="BL492" t="s">
        <v>800</v>
      </c>
      <c r="BM492" t="s">
        <v>10134</v>
      </c>
      <c r="BN492" t="s">
        <v>74</v>
      </c>
      <c r="BO492" t="s">
        <v>376</v>
      </c>
      <c r="BP492" t="s">
        <v>74</v>
      </c>
      <c r="BQ492" t="s">
        <v>74</v>
      </c>
      <c r="BR492" t="s">
        <v>104</v>
      </c>
      <c r="BS492" t="s">
        <v>10135</v>
      </c>
      <c r="BT492" t="str">
        <f>HYPERLINK("https%3A%2F%2Fwww.webofscience.com%2Fwos%2Fwoscc%2Ffull-record%2FWOS:000571785200001","View Full Record in Web of Science")</f>
        <v>View Full Record in Web of Science</v>
      </c>
    </row>
    <row r="493" spans="1:72" x14ac:dyDescent="0.15">
      <c r="A493" t="s">
        <v>72</v>
      </c>
      <c r="B493" t="s">
        <v>10136</v>
      </c>
      <c r="C493" t="s">
        <v>74</v>
      </c>
      <c r="D493" t="s">
        <v>74</v>
      </c>
      <c r="E493" t="s">
        <v>74</v>
      </c>
      <c r="F493" t="s">
        <v>10137</v>
      </c>
      <c r="G493" t="s">
        <v>74</v>
      </c>
      <c r="H493" t="s">
        <v>74</v>
      </c>
      <c r="I493" t="s">
        <v>10138</v>
      </c>
      <c r="J493" t="s">
        <v>901</v>
      </c>
      <c r="K493" t="s">
        <v>74</v>
      </c>
      <c r="L493" t="s">
        <v>74</v>
      </c>
      <c r="M493" t="s">
        <v>78</v>
      </c>
      <c r="N493" t="s">
        <v>79</v>
      </c>
      <c r="O493" t="s">
        <v>74</v>
      </c>
      <c r="P493" t="s">
        <v>74</v>
      </c>
      <c r="Q493" t="s">
        <v>74</v>
      </c>
      <c r="R493" t="s">
        <v>74</v>
      </c>
      <c r="S493" t="s">
        <v>74</v>
      </c>
      <c r="T493" t="s">
        <v>10139</v>
      </c>
      <c r="U493" t="s">
        <v>10140</v>
      </c>
      <c r="V493" t="s">
        <v>10141</v>
      </c>
      <c r="W493" t="s">
        <v>10142</v>
      </c>
      <c r="X493" t="s">
        <v>811</v>
      </c>
      <c r="Y493" t="s">
        <v>10143</v>
      </c>
      <c r="Z493" t="s">
        <v>10144</v>
      </c>
      <c r="AA493" t="s">
        <v>10145</v>
      </c>
      <c r="AB493" t="s">
        <v>10146</v>
      </c>
      <c r="AC493" t="s">
        <v>10147</v>
      </c>
      <c r="AD493" t="s">
        <v>10147</v>
      </c>
      <c r="AE493" t="s">
        <v>10148</v>
      </c>
      <c r="AF493" t="s">
        <v>74</v>
      </c>
      <c r="AG493">
        <v>97</v>
      </c>
      <c r="AH493">
        <v>2</v>
      </c>
      <c r="AI493">
        <v>2</v>
      </c>
      <c r="AJ493">
        <v>2</v>
      </c>
      <c r="AK493">
        <v>5</v>
      </c>
      <c r="AL493" t="s">
        <v>866</v>
      </c>
      <c r="AM493" t="s">
        <v>867</v>
      </c>
      <c r="AN493" t="s">
        <v>868</v>
      </c>
      <c r="AO493" t="s">
        <v>74</v>
      </c>
      <c r="AP493" t="s">
        <v>914</v>
      </c>
      <c r="AQ493" t="s">
        <v>74</v>
      </c>
      <c r="AR493" t="s">
        <v>915</v>
      </c>
      <c r="AS493" t="s">
        <v>916</v>
      </c>
      <c r="AT493" t="s">
        <v>10149</v>
      </c>
      <c r="AU493">
        <v>2020</v>
      </c>
      <c r="AV493">
        <v>7</v>
      </c>
      <c r="AW493" t="s">
        <v>74</v>
      </c>
      <c r="AX493" t="s">
        <v>74</v>
      </c>
      <c r="AY493" t="s">
        <v>74</v>
      </c>
      <c r="AZ493" t="s">
        <v>74</v>
      </c>
      <c r="BA493" t="s">
        <v>74</v>
      </c>
      <c r="BB493" t="s">
        <v>74</v>
      </c>
      <c r="BC493" t="s">
        <v>74</v>
      </c>
      <c r="BD493">
        <v>564598</v>
      </c>
      <c r="BE493" t="s">
        <v>10150</v>
      </c>
      <c r="BF493" t="str">
        <f>HYPERLINK("http://dx.doi.org/10.3389/fmars.2020.564598","http://dx.doi.org/10.3389/fmars.2020.564598")</f>
        <v>http://dx.doi.org/10.3389/fmars.2020.564598</v>
      </c>
      <c r="BG493" t="s">
        <v>74</v>
      </c>
      <c r="BH493" t="s">
        <v>74</v>
      </c>
      <c r="BI493">
        <v>13</v>
      </c>
      <c r="BJ493" t="s">
        <v>918</v>
      </c>
      <c r="BK493" t="s">
        <v>255</v>
      </c>
      <c r="BL493" t="s">
        <v>919</v>
      </c>
      <c r="BM493" t="s">
        <v>10151</v>
      </c>
      <c r="BN493" t="s">
        <v>74</v>
      </c>
      <c r="BO493" t="s">
        <v>7707</v>
      </c>
      <c r="BP493" t="s">
        <v>74</v>
      </c>
      <c r="BQ493" t="s">
        <v>74</v>
      </c>
      <c r="BR493" t="s">
        <v>104</v>
      </c>
      <c r="BS493" t="s">
        <v>10152</v>
      </c>
      <c r="BT493" t="str">
        <f>HYPERLINK("https%3A%2F%2Fwww.webofscience.com%2Fwos%2Fwoscc%2Ffull-record%2FWOS:000575272300001","View Full Record in Web of Science")</f>
        <v>View Full Record in Web of Science</v>
      </c>
    </row>
    <row r="494" spans="1:72" x14ac:dyDescent="0.15">
      <c r="A494" t="s">
        <v>72</v>
      </c>
      <c r="B494" t="s">
        <v>10153</v>
      </c>
      <c r="C494" t="s">
        <v>74</v>
      </c>
      <c r="D494" t="s">
        <v>74</v>
      </c>
      <c r="E494" t="s">
        <v>74</v>
      </c>
      <c r="F494" t="s">
        <v>10154</v>
      </c>
      <c r="G494" t="s">
        <v>74</v>
      </c>
      <c r="H494" t="s">
        <v>74</v>
      </c>
      <c r="I494" t="s">
        <v>10155</v>
      </c>
      <c r="J494" t="s">
        <v>4745</v>
      </c>
      <c r="K494" t="s">
        <v>74</v>
      </c>
      <c r="L494" t="s">
        <v>74</v>
      </c>
      <c r="M494" t="s">
        <v>78</v>
      </c>
      <c r="N494" t="s">
        <v>79</v>
      </c>
      <c r="O494" t="s">
        <v>74</v>
      </c>
      <c r="P494" t="s">
        <v>74</v>
      </c>
      <c r="Q494" t="s">
        <v>74</v>
      </c>
      <c r="R494" t="s">
        <v>74</v>
      </c>
      <c r="S494" t="s">
        <v>74</v>
      </c>
      <c r="T494" t="s">
        <v>74</v>
      </c>
      <c r="U494" t="s">
        <v>10156</v>
      </c>
      <c r="V494" t="s">
        <v>10157</v>
      </c>
      <c r="W494" t="s">
        <v>10158</v>
      </c>
      <c r="X494" t="s">
        <v>10159</v>
      </c>
      <c r="Y494" t="s">
        <v>10160</v>
      </c>
      <c r="Z494" t="s">
        <v>10161</v>
      </c>
      <c r="AA494" t="s">
        <v>10162</v>
      </c>
      <c r="AB494" t="s">
        <v>10163</v>
      </c>
      <c r="AC494" t="s">
        <v>10164</v>
      </c>
      <c r="AD494" t="s">
        <v>10164</v>
      </c>
      <c r="AE494" t="s">
        <v>10165</v>
      </c>
      <c r="AF494" t="s">
        <v>74</v>
      </c>
      <c r="AG494">
        <v>24</v>
      </c>
      <c r="AH494">
        <v>6</v>
      </c>
      <c r="AI494">
        <v>6</v>
      </c>
      <c r="AJ494">
        <v>0</v>
      </c>
      <c r="AK494">
        <v>1</v>
      </c>
      <c r="AL494" t="s">
        <v>91</v>
      </c>
      <c r="AM494" t="s">
        <v>92</v>
      </c>
      <c r="AN494" t="s">
        <v>93</v>
      </c>
      <c r="AO494" t="s">
        <v>4756</v>
      </c>
      <c r="AP494" t="s">
        <v>74</v>
      </c>
      <c r="AQ494" t="s">
        <v>74</v>
      </c>
      <c r="AR494" t="s">
        <v>4757</v>
      </c>
      <c r="AS494" t="s">
        <v>4758</v>
      </c>
      <c r="AT494" t="s">
        <v>10149</v>
      </c>
      <c r="AU494">
        <v>2020</v>
      </c>
      <c r="AV494">
        <v>16</v>
      </c>
      <c r="AW494">
        <v>5</v>
      </c>
      <c r="AX494" t="s">
        <v>74</v>
      </c>
      <c r="AY494" t="s">
        <v>74</v>
      </c>
      <c r="AZ494" t="s">
        <v>74</v>
      </c>
      <c r="BA494" t="s">
        <v>74</v>
      </c>
      <c r="BB494">
        <v>1111</v>
      </c>
      <c r="BC494">
        <v>1124</v>
      </c>
      <c r="BD494" t="s">
        <v>74</v>
      </c>
      <c r="BE494" t="s">
        <v>10166</v>
      </c>
      <c r="BF494" t="str">
        <f>HYPERLINK("http://dx.doi.org/10.5194/os-16-1111-2020","http://dx.doi.org/10.5194/os-16-1111-2020")</f>
        <v>http://dx.doi.org/10.5194/os-16-1111-2020</v>
      </c>
      <c r="BG494" t="s">
        <v>74</v>
      </c>
      <c r="BH494" t="s">
        <v>74</v>
      </c>
      <c r="BI494">
        <v>14</v>
      </c>
      <c r="BJ494" t="s">
        <v>4760</v>
      </c>
      <c r="BK494" t="s">
        <v>100</v>
      </c>
      <c r="BL494" t="s">
        <v>4760</v>
      </c>
      <c r="BM494" t="s">
        <v>10167</v>
      </c>
      <c r="BN494" t="s">
        <v>74</v>
      </c>
      <c r="BO494" t="s">
        <v>677</v>
      </c>
      <c r="BP494" t="s">
        <v>74</v>
      </c>
      <c r="BQ494" t="s">
        <v>74</v>
      </c>
      <c r="BR494" t="s">
        <v>104</v>
      </c>
      <c r="BS494" t="s">
        <v>10168</v>
      </c>
      <c r="BT494" t="str">
        <f>HYPERLINK("https%3A%2F%2Fwww.webofscience.com%2Fwos%2Fwoscc%2Ffull-record%2FWOS:000574943400002","View Full Record in Web of Science")</f>
        <v>View Full Record in Web of Science</v>
      </c>
    </row>
    <row r="495" spans="1:72" x14ac:dyDescent="0.15">
      <c r="A495" t="s">
        <v>72</v>
      </c>
      <c r="B495" t="s">
        <v>10169</v>
      </c>
      <c r="C495" t="s">
        <v>74</v>
      </c>
      <c r="D495" t="s">
        <v>74</v>
      </c>
      <c r="E495" t="s">
        <v>74</v>
      </c>
      <c r="F495" t="s">
        <v>10170</v>
      </c>
      <c r="G495" t="s">
        <v>74</v>
      </c>
      <c r="H495" t="s">
        <v>74</v>
      </c>
      <c r="I495" t="s">
        <v>10171</v>
      </c>
      <c r="J495" t="s">
        <v>10172</v>
      </c>
      <c r="K495" t="s">
        <v>74</v>
      </c>
      <c r="L495" t="s">
        <v>74</v>
      </c>
      <c r="M495" t="s">
        <v>78</v>
      </c>
      <c r="N495" t="s">
        <v>79</v>
      </c>
      <c r="O495" t="s">
        <v>74</v>
      </c>
      <c r="P495" t="s">
        <v>74</v>
      </c>
      <c r="Q495" t="s">
        <v>74</v>
      </c>
      <c r="R495" t="s">
        <v>74</v>
      </c>
      <c r="S495" t="s">
        <v>74</v>
      </c>
      <c r="T495" t="s">
        <v>74</v>
      </c>
      <c r="U495" t="s">
        <v>10173</v>
      </c>
      <c r="V495" t="s">
        <v>10174</v>
      </c>
      <c r="W495" t="s">
        <v>10175</v>
      </c>
      <c r="X495" t="s">
        <v>10176</v>
      </c>
      <c r="Y495" t="s">
        <v>10177</v>
      </c>
      <c r="Z495" t="s">
        <v>10178</v>
      </c>
      <c r="AA495" t="s">
        <v>10179</v>
      </c>
      <c r="AB495" t="s">
        <v>10180</v>
      </c>
      <c r="AC495" t="s">
        <v>10181</v>
      </c>
      <c r="AD495" t="s">
        <v>10182</v>
      </c>
      <c r="AE495" t="s">
        <v>10183</v>
      </c>
      <c r="AF495" t="s">
        <v>74</v>
      </c>
      <c r="AG495">
        <v>210</v>
      </c>
      <c r="AH495">
        <v>7</v>
      </c>
      <c r="AI495">
        <v>8</v>
      </c>
      <c r="AJ495">
        <v>4</v>
      </c>
      <c r="AK495">
        <v>13</v>
      </c>
      <c r="AL495" t="s">
        <v>219</v>
      </c>
      <c r="AM495" t="s">
        <v>220</v>
      </c>
      <c r="AN495" t="s">
        <v>221</v>
      </c>
      <c r="AO495" t="s">
        <v>10184</v>
      </c>
      <c r="AP495" t="s">
        <v>10185</v>
      </c>
      <c r="AQ495" t="s">
        <v>74</v>
      </c>
      <c r="AR495" t="s">
        <v>10172</v>
      </c>
      <c r="AS495" t="s">
        <v>10186</v>
      </c>
      <c r="AT495" t="s">
        <v>252</v>
      </c>
      <c r="AU495">
        <v>2021</v>
      </c>
      <c r="AV495">
        <v>50</v>
      </c>
      <c r="AW495">
        <v>1</v>
      </c>
      <c r="AX495" t="s">
        <v>74</v>
      </c>
      <c r="AY495" t="s">
        <v>74</v>
      </c>
      <c r="AZ495" t="s">
        <v>74</v>
      </c>
      <c r="BA495" t="s">
        <v>74</v>
      </c>
      <c r="BB495">
        <v>76</v>
      </c>
      <c r="BC495">
        <v>100</v>
      </c>
      <c r="BD495" t="s">
        <v>74</v>
      </c>
      <c r="BE495" t="s">
        <v>10187</v>
      </c>
      <c r="BF495" t="str">
        <f>HYPERLINK("http://dx.doi.org/10.1111/bor.12465","http://dx.doi.org/10.1111/bor.12465")</f>
        <v>http://dx.doi.org/10.1111/bor.12465</v>
      </c>
      <c r="BG495" t="s">
        <v>74</v>
      </c>
      <c r="BH495" t="s">
        <v>9526</v>
      </c>
      <c r="BI495">
        <v>25</v>
      </c>
      <c r="BJ495" t="s">
        <v>99</v>
      </c>
      <c r="BK495" t="s">
        <v>100</v>
      </c>
      <c r="BL495" t="s">
        <v>101</v>
      </c>
      <c r="BM495" t="s">
        <v>10188</v>
      </c>
      <c r="BN495" t="s">
        <v>74</v>
      </c>
      <c r="BO495" t="s">
        <v>564</v>
      </c>
      <c r="BP495" t="s">
        <v>74</v>
      </c>
      <c r="BQ495" t="s">
        <v>74</v>
      </c>
      <c r="BR495" t="s">
        <v>104</v>
      </c>
      <c r="BS495" t="s">
        <v>10189</v>
      </c>
      <c r="BT495" t="str">
        <f>HYPERLINK("https%3A%2F%2Fwww.webofscience.com%2Fwos%2Fwoscc%2Ffull-record%2FWOS:000572783600001","View Full Record in Web of Science")</f>
        <v>View Full Record in Web of Science</v>
      </c>
    </row>
    <row r="496" spans="1:72" x14ac:dyDescent="0.15">
      <c r="A496" t="s">
        <v>72</v>
      </c>
      <c r="B496" t="s">
        <v>10190</v>
      </c>
      <c r="C496" t="s">
        <v>74</v>
      </c>
      <c r="D496" t="s">
        <v>74</v>
      </c>
      <c r="E496" t="s">
        <v>74</v>
      </c>
      <c r="F496" t="s">
        <v>10191</v>
      </c>
      <c r="G496" t="s">
        <v>74</v>
      </c>
      <c r="H496" t="s">
        <v>74</v>
      </c>
      <c r="I496" t="s">
        <v>10192</v>
      </c>
      <c r="J496" t="s">
        <v>4206</v>
      </c>
      <c r="K496" t="s">
        <v>74</v>
      </c>
      <c r="L496" t="s">
        <v>74</v>
      </c>
      <c r="M496" t="s">
        <v>78</v>
      </c>
      <c r="N496" t="s">
        <v>79</v>
      </c>
      <c r="O496" t="s">
        <v>74</v>
      </c>
      <c r="P496" t="s">
        <v>74</v>
      </c>
      <c r="Q496" t="s">
        <v>74</v>
      </c>
      <c r="R496" t="s">
        <v>74</v>
      </c>
      <c r="S496" t="s">
        <v>74</v>
      </c>
      <c r="T496" t="s">
        <v>74</v>
      </c>
      <c r="U496" t="s">
        <v>10193</v>
      </c>
      <c r="V496" t="s">
        <v>10194</v>
      </c>
      <c r="W496" t="s">
        <v>10195</v>
      </c>
      <c r="X496" t="s">
        <v>10196</v>
      </c>
      <c r="Y496" t="s">
        <v>10197</v>
      </c>
      <c r="Z496" t="s">
        <v>10198</v>
      </c>
      <c r="AA496" t="s">
        <v>10199</v>
      </c>
      <c r="AB496" t="s">
        <v>10200</v>
      </c>
      <c r="AC496" t="s">
        <v>74</v>
      </c>
      <c r="AD496" t="s">
        <v>74</v>
      </c>
      <c r="AE496" t="s">
        <v>74</v>
      </c>
      <c r="AF496" t="s">
        <v>74</v>
      </c>
      <c r="AG496">
        <v>32</v>
      </c>
      <c r="AH496">
        <v>5</v>
      </c>
      <c r="AI496">
        <v>6</v>
      </c>
      <c r="AJ496">
        <v>1</v>
      </c>
      <c r="AK496">
        <v>9</v>
      </c>
      <c r="AL496" t="s">
        <v>482</v>
      </c>
      <c r="AM496" t="s">
        <v>483</v>
      </c>
      <c r="AN496" t="s">
        <v>484</v>
      </c>
      <c r="AO496" t="s">
        <v>4219</v>
      </c>
      <c r="AP496" t="s">
        <v>4220</v>
      </c>
      <c r="AQ496" t="s">
        <v>74</v>
      </c>
      <c r="AR496" t="s">
        <v>4221</v>
      </c>
      <c r="AS496" t="s">
        <v>4222</v>
      </c>
      <c r="AT496" t="s">
        <v>252</v>
      </c>
      <c r="AU496">
        <v>2021</v>
      </c>
      <c r="AV496">
        <v>56</v>
      </c>
      <c r="AW496" t="s">
        <v>4223</v>
      </c>
      <c r="AX496" t="s">
        <v>74</v>
      </c>
      <c r="AY496" t="s">
        <v>74</v>
      </c>
      <c r="AZ496" t="s">
        <v>74</v>
      </c>
      <c r="BA496" t="s">
        <v>74</v>
      </c>
      <c r="BB496">
        <v>1</v>
      </c>
      <c r="BC496">
        <v>16</v>
      </c>
      <c r="BD496" t="s">
        <v>74</v>
      </c>
      <c r="BE496" t="s">
        <v>10201</v>
      </c>
      <c r="BF496" t="str">
        <f>HYPERLINK("http://dx.doi.org/10.1007/s00382-020-05460-7","http://dx.doi.org/10.1007/s00382-020-05460-7")</f>
        <v>http://dx.doi.org/10.1007/s00382-020-05460-7</v>
      </c>
      <c r="BG496" t="s">
        <v>74</v>
      </c>
      <c r="BH496" t="s">
        <v>9526</v>
      </c>
      <c r="BI496">
        <v>16</v>
      </c>
      <c r="BJ496" t="s">
        <v>800</v>
      </c>
      <c r="BK496" t="s">
        <v>100</v>
      </c>
      <c r="BL496" t="s">
        <v>800</v>
      </c>
      <c r="BM496" t="s">
        <v>4225</v>
      </c>
      <c r="BN496" t="s">
        <v>74</v>
      </c>
      <c r="BO496" t="s">
        <v>74</v>
      </c>
      <c r="BP496" t="s">
        <v>74</v>
      </c>
      <c r="BQ496" t="s">
        <v>74</v>
      </c>
      <c r="BR496" t="s">
        <v>104</v>
      </c>
      <c r="BS496" t="s">
        <v>10202</v>
      </c>
      <c r="BT496" t="str">
        <f>HYPERLINK("https%3A%2F%2Fwww.webofscience.com%2Fwos%2Fwoscc%2Ffull-record%2FWOS:000572033700001","View Full Record in Web of Science")</f>
        <v>View Full Record in Web of Science</v>
      </c>
    </row>
    <row r="497" spans="1:72" x14ac:dyDescent="0.15">
      <c r="A497" t="s">
        <v>72</v>
      </c>
      <c r="B497" t="s">
        <v>10203</v>
      </c>
      <c r="C497" t="s">
        <v>74</v>
      </c>
      <c r="D497" t="s">
        <v>74</v>
      </c>
      <c r="E497" t="s">
        <v>74</v>
      </c>
      <c r="F497" t="s">
        <v>10204</v>
      </c>
      <c r="G497" t="s">
        <v>74</v>
      </c>
      <c r="H497" t="s">
        <v>74</v>
      </c>
      <c r="I497" t="s">
        <v>10205</v>
      </c>
      <c r="J497" t="s">
        <v>9957</v>
      </c>
      <c r="K497" t="s">
        <v>74</v>
      </c>
      <c r="L497" t="s">
        <v>74</v>
      </c>
      <c r="M497" t="s">
        <v>78</v>
      </c>
      <c r="N497" t="s">
        <v>79</v>
      </c>
      <c r="O497" t="s">
        <v>74</v>
      </c>
      <c r="P497" t="s">
        <v>74</v>
      </c>
      <c r="Q497" t="s">
        <v>74</v>
      </c>
      <c r="R497" t="s">
        <v>74</v>
      </c>
      <c r="S497" t="s">
        <v>74</v>
      </c>
      <c r="T497" t="s">
        <v>10206</v>
      </c>
      <c r="U497" t="s">
        <v>10207</v>
      </c>
      <c r="V497" t="s">
        <v>10208</v>
      </c>
      <c r="W497" t="s">
        <v>10209</v>
      </c>
      <c r="X497" t="s">
        <v>10210</v>
      </c>
      <c r="Y497" t="s">
        <v>10211</v>
      </c>
      <c r="Z497" t="s">
        <v>10212</v>
      </c>
      <c r="AA497" t="s">
        <v>10213</v>
      </c>
      <c r="AB497" t="s">
        <v>10214</v>
      </c>
      <c r="AC497" t="s">
        <v>10215</v>
      </c>
      <c r="AD497" t="s">
        <v>10216</v>
      </c>
      <c r="AE497" t="s">
        <v>10217</v>
      </c>
      <c r="AF497" t="s">
        <v>74</v>
      </c>
      <c r="AG497">
        <v>46</v>
      </c>
      <c r="AH497">
        <v>7</v>
      </c>
      <c r="AI497">
        <v>7</v>
      </c>
      <c r="AJ497">
        <v>0</v>
      </c>
      <c r="AK497">
        <v>14</v>
      </c>
      <c r="AL497" t="s">
        <v>9970</v>
      </c>
      <c r="AM497" t="s">
        <v>7944</v>
      </c>
      <c r="AN497" t="s">
        <v>9971</v>
      </c>
      <c r="AO497" t="s">
        <v>9972</v>
      </c>
      <c r="AP497" t="s">
        <v>9973</v>
      </c>
      <c r="AQ497" t="s">
        <v>74</v>
      </c>
      <c r="AR497" t="s">
        <v>9957</v>
      </c>
      <c r="AS497" t="s">
        <v>9974</v>
      </c>
      <c r="AT497" t="s">
        <v>1212</v>
      </c>
      <c r="AU497">
        <v>2020</v>
      </c>
      <c r="AV497">
        <v>24</v>
      </c>
      <c r="AW497">
        <v>6</v>
      </c>
      <c r="AX497" t="s">
        <v>74</v>
      </c>
      <c r="AY497" t="s">
        <v>74</v>
      </c>
      <c r="AZ497" t="s">
        <v>74</v>
      </c>
      <c r="BA497" t="s">
        <v>74</v>
      </c>
      <c r="BB497">
        <v>887</v>
      </c>
      <c r="BC497">
        <v>896</v>
      </c>
      <c r="BD497" t="s">
        <v>74</v>
      </c>
      <c r="BE497" t="s">
        <v>10218</v>
      </c>
      <c r="BF497" t="str">
        <f>HYPERLINK("http://dx.doi.org/10.1007/s00792-020-01202-z","http://dx.doi.org/10.1007/s00792-020-01202-z")</f>
        <v>http://dx.doi.org/10.1007/s00792-020-01202-z</v>
      </c>
      <c r="BG497" t="s">
        <v>74</v>
      </c>
      <c r="BH497" t="s">
        <v>9526</v>
      </c>
      <c r="BI497">
        <v>10</v>
      </c>
      <c r="BJ497" t="s">
        <v>9976</v>
      </c>
      <c r="BK497" t="s">
        <v>100</v>
      </c>
      <c r="BL497" t="s">
        <v>9976</v>
      </c>
      <c r="BM497" t="s">
        <v>9977</v>
      </c>
      <c r="BN497">
        <v>32960344</v>
      </c>
      <c r="BO497" t="s">
        <v>74</v>
      </c>
      <c r="BP497" t="s">
        <v>74</v>
      </c>
      <c r="BQ497" t="s">
        <v>74</v>
      </c>
      <c r="BR497" t="s">
        <v>104</v>
      </c>
      <c r="BS497" t="s">
        <v>10219</v>
      </c>
      <c r="BT497" t="str">
        <f>HYPERLINK("https%3A%2F%2Fwww.webofscience.com%2Fwos%2Fwoscc%2Ffull-record%2FWOS:000572022900001","View Full Record in Web of Science")</f>
        <v>View Full Record in Web of Science</v>
      </c>
    </row>
    <row r="498" spans="1:72" x14ac:dyDescent="0.15">
      <c r="A498" t="s">
        <v>72</v>
      </c>
      <c r="B498" t="s">
        <v>10220</v>
      </c>
      <c r="C498" t="s">
        <v>74</v>
      </c>
      <c r="D498" t="s">
        <v>74</v>
      </c>
      <c r="E498" t="s">
        <v>74</v>
      </c>
      <c r="F498" t="s">
        <v>10221</v>
      </c>
      <c r="G498" t="s">
        <v>74</v>
      </c>
      <c r="H498" t="s">
        <v>74</v>
      </c>
      <c r="I498" t="s">
        <v>10222</v>
      </c>
      <c r="J498" t="s">
        <v>445</v>
      </c>
      <c r="K498" t="s">
        <v>74</v>
      </c>
      <c r="L498" t="s">
        <v>74</v>
      </c>
      <c r="M498" t="s">
        <v>78</v>
      </c>
      <c r="N498" t="s">
        <v>79</v>
      </c>
      <c r="O498" t="s">
        <v>74</v>
      </c>
      <c r="P498" t="s">
        <v>74</v>
      </c>
      <c r="Q498" t="s">
        <v>74</v>
      </c>
      <c r="R498" t="s">
        <v>74</v>
      </c>
      <c r="S498" t="s">
        <v>74</v>
      </c>
      <c r="T498" t="s">
        <v>10223</v>
      </c>
      <c r="U498" t="s">
        <v>10224</v>
      </c>
      <c r="V498" t="s">
        <v>10225</v>
      </c>
      <c r="W498" t="s">
        <v>10226</v>
      </c>
      <c r="X498" t="s">
        <v>4884</v>
      </c>
      <c r="Y498" t="s">
        <v>9045</v>
      </c>
      <c r="Z498" t="s">
        <v>9046</v>
      </c>
      <c r="AA498" t="s">
        <v>10227</v>
      </c>
      <c r="AB498" t="s">
        <v>10228</v>
      </c>
      <c r="AC498" t="s">
        <v>74</v>
      </c>
      <c r="AD498" t="s">
        <v>74</v>
      </c>
      <c r="AE498" t="s">
        <v>74</v>
      </c>
      <c r="AF498" t="s">
        <v>74</v>
      </c>
      <c r="AG498">
        <v>35</v>
      </c>
      <c r="AH498">
        <v>12</v>
      </c>
      <c r="AI498">
        <v>13</v>
      </c>
      <c r="AJ498">
        <v>2</v>
      </c>
      <c r="AK498">
        <v>16</v>
      </c>
      <c r="AL498" t="s">
        <v>219</v>
      </c>
      <c r="AM498" t="s">
        <v>220</v>
      </c>
      <c r="AN498" t="s">
        <v>221</v>
      </c>
      <c r="AO498" t="s">
        <v>458</v>
      </c>
      <c r="AP498" t="s">
        <v>459</v>
      </c>
      <c r="AQ498" t="s">
        <v>74</v>
      </c>
      <c r="AR498" t="s">
        <v>460</v>
      </c>
      <c r="AS498" t="s">
        <v>461</v>
      </c>
      <c r="AT498" t="s">
        <v>252</v>
      </c>
      <c r="AU498">
        <v>2021</v>
      </c>
      <c r="AV498">
        <v>22</v>
      </c>
      <c r="AW498">
        <v>1</v>
      </c>
      <c r="AX498" t="s">
        <v>74</v>
      </c>
      <c r="AY498" t="s">
        <v>74</v>
      </c>
      <c r="AZ498" t="s">
        <v>74</v>
      </c>
      <c r="BA498" t="s">
        <v>74</v>
      </c>
      <c r="BB498">
        <v>226</v>
      </c>
      <c r="BC498">
        <v>231</v>
      </c>
      <c r="BD498" t="s">
        <v>74</v>
      </c>
      <c r="BE498" t="s">
        <v>10229</v>
      </c>
      <c r="BF498" t="str">
        <f>HYPERLINK("http://dx.doi.org/10.1111/faf.12511","http://dx.doi.org/10.1111/faf.12511")</f>
        <v>http://dx.doi.org/10.1111/faf.12511</v>
      </c>
      <c r="BG498" t="s">
        <v>74</v>
      </c>
      <c r="BH498" t="s">
        <v>9526</v>
      </c>
      <c r="BI498">
        <v>6</v>
      </c>
      <c r="BJ498" t="s">
        <v>439</v>
      </c>
      <c r="BK498" t="s">
        <v>255</v>
      </c>
      <c r="BL498" t="s">
        <v>439</v>
      </c>
      <c r="BM498" t="s">
        <v>10230</v>
      </c>
      <c r="BN498" t="s">
        <v>74</v>
      </c>
      <c r="BO498" t="s">
        <v>701</v>
      </c>
      <c r="BP498" t="s">
        <v>74</v>
      </c>
      <c r="BQ498" t="s">
        <v>74</v>
      </c>
      <c r="BR498" t="s">
        <v>104</v>
      </c>
      <c r="BS498" t="s">
        <v>10231</v>
      </c>
      <c r="BT498" t="str">
        <f>HYPERLINK("https%3A%2F%2Fwww.webofscience.com%2Fwos%2Fwoscc%2Ffull-record%2FWOS:000572078600001","View Full Record in Web of Science")</f>
        <v>View Full Record in Web of Science</v>
      </c>
    </row>
    <row r="499" spans="1:72" x14ac:dyDescent="0.15">
      <c r="A499" t="s">
        <v>72</v>
      </c>
      <c r="B499" t="s">
        <v>10232</v>
      </c>
      <c r="C499" t="s">
        <v>74</v>
      </c>
      <c r="D499" t="s">
        <v>74</v>
      </c>
      <c r="E499" t="s">
        <v>74</v>
      </c>
      <c r="F499" t="s">
        <v>10233</v>
      </c>
      <c r="G499" t="s">
        <v>74</v>
      </c>
      <c r="H499" t="s">
        <v>74</v>
      </c>
      <c r="I499" t="s">
        <v>10234</v>
      </c>
      <c r="J499" t="s">
        <v>10235</v>
      </c>
      <c r="K499" t="s">
        <v>74</v>
      </c>
      <c r="L499" t="s">
        <v>74</v>
      </c>
      <c r="M499" t="s">
        <v>78</v>
      </c>
      <c r="N499" t="s">
        <v>79</v>
      </c>
      <c r="O499" t="s">
        <v>74</v>
      </c>
      <c r="P499" t="s">
        <v>74</v>
      </c>
      <c r="Q499" t="s">
        <v>74</v>
      </c>
      <c r="R499" t="s">
        <v>74</v>
      </c>
      <c r="S499" t="s">
        <v>74</v>
      </c>
      <c r="T499" t="s">
        <v>10236</v>
      </c>
      <c r="U499" t="s">
        <v>10237</v>
      </c>
      <c r="V499" t="s">
        <v>10238</v>
      </c>
      <c r="W499" t="s">
        <v>10239</v>
      </c>
      <c r="X499" t="s">
        <v>10240</v>
      </c>
      <c r="Y499" t="s">
        <v>10241</v>
      </c>
      <c r="Z499" t="s">
        <v>10242</v>
      </c>
      <c r="AA499" t="s">
        <v>74</v>
      </c>
      <c r="AB499" t="s">
        <v>10243</v>
      </c>
      <c r="AC499" t="s">
        <v>10244</v>
      </c>
      <c r="AD499" t="s">
        <v>10245</v>
      </c>
      <c r="AE499" t="s">
        <v>10246</v>
      </c>
      <c r="AF499" t="s">
        <v>74</v>
      </c>
      <c r="AG499">
        <v>61</v>
      </c>
      <c r="AH499">
        <v>1</v>
      </c>
      <c r="AI499">
        <v>1</v>
      </c>
      <c r="AJ499">
        <v>0</v>
      </c>
      <c r="AK499">
        <v>10</v>
      </c>
      <c r="AL499" t="s">
        <v>482</v>
      </c>
      <c r="AM499" t="s">
        <v>483</v>
      </c>
      <c r="AN499" t="s">
        <v>484</v>
      </c>
      <c r="AO499" t="s">
        <v>10247</v>
      </c>
      <c r="AP499" t="s">
        <v>10248</v>
      </c>
      <c r="AQ499" t="s">
        <v>74</v>
      </c>
      <c r="AR499" t="s">
        <v>10249</v>
      </c>
      <c r="AS499" t="s">
        <v>10250</v>
      </c>
      <c r="AT499" t="s">
        <v>1212</v>
      </c>
      <c r="AU499">
        <v>2020</v>
      </c>
      <c r="AV499">
        <v>48</v>
      </c>
      <c r="AW499">
        <v>11</v>
      </c>
      <c r="AX499" t="s">
        <v>74</v>
      </c>
      <c r="AY499" t="s">
        <v>74</v>
      </c>
      <c r="AZ499" t="s">
        <v>74</v>
      </c>
      <c r="BA499" t="s">
        <v>74</v>
      </c>
      <c r="BB499">
        <v>1509</v>
      </c>
      <c r="BC499">
        <v>1522</v>
      </c>
      <c r="BD499" t="s">
        <v>74</v>
      </c>
      <c r="BE499" t="s">
        <v>10251</v>
      </c>
      <c r="BF499" t="str">
        <f>HYPERLINK("http://dx.doi.org/10.1007/s12524-020-01174-9","http://dx.doi.org/10.1007/s12524-020-01174-9")</f>
        <v>http://dx.doi.org/10.1007/s12524-020-01174-9</v>
      </c>
      <c r="BG499" t="s">
        <v>74</v>
      </c>
      <c r="BH499" t="s">
        <v>9526</v>
      </c>
      <c r="BI499">
        <v>14</v>
      </c>
      <c r="BJ499" t="s">
        <v>10252</v>
      </c>
      <c r="BK499" t="s">
        <v>100</v>
      </c>
      <c r="BL499" t="s">
        <v>10253</v>
      </c>
      <c r="BM499" t="s">
        <v>10254</v>
      </c>
      <c r="BN499" t="s">
        <v>74</v>
      </c>
      <c r="BO499" t="s">
        <v>74</v>
      </c>
      <c r="BP499" t="s">
        <v>74</v>
      </c>
      <c r="BQ499" t="s">
        <v>74</v>
      </c>
      <c r="BR499" t="s">
        <v>104</v>
      </c>
      <c r="BS499" t="s">
        <v>10255</v>
      </c>
      <c r="BT499" t="str">
        <f>HYPERLINK("https%3A%2F%2Fwww.webofscience.com%2Fwos%2Fwoscc%2Ffull-record%2FWOS:000572026000001","View Full Record in Web of Science")</f>
        <v>View Full Record in Web of Science</v>
      </c>
    </row>
    <row r="500" spans="1:72" x14ac:dyDescent="0.15">
      <c r="A500" t="s">
        <v>72</v>
      </c>
      <c r="B500" t="s">
        <v>10256</v>
      </c>
      <c r="C500" t="s">
        <v>74</v>
      </c>
      <c r="D500" t="s">
        <v>74</v>
      </c>
      <c r="E500" t="s">
        <v>74</v>
      </c>
      <c r="F500" t="s">
        <v>10257</v>
      </c>
      <c r="G500" t="s">
        <v>74</v>
      </c>
      <c r="H500" t="s">
        <v>74</v>
      </c>
      <c r="I500" t="s">
        <v>10258</v>
      </c>
      <c r="J500" t="s">
        <v>10259</v>
      </c>
      <c r="K500" t="s">
        <v>74</v>
      </c>
      <c r="L500" t="s">
        <v>74</v>
      </c>
      <c r="M500" t="s">
        <v>78</v>
      </c>
      <c r="N500" t="s">
        <v>79</v>
      </c>
      <c r="O500" t="s">
        <v>74</v>
      </c>
      <c r="P500" t="s">
        <v>74</v>
      </c>
      <c r="Q500" t="s">
        <v>74</v>
      </c>
      <c r="R500" t="s">
        <v>74</v>
      </c>
      <c r="S500" t="s">
        <v>74</v>
      </c>
      <c r="T500" t="s">
        <v>10260</v>
      </c>
      <c r="U500" t="s">
        <v>10261</v>
      </c>
      <c r="V500" t="s">
        <v>10262</v>
      </c>
      <c r="W500" t="s">
        <v>10263</v>
      </c>
      <c r="X500" t="s">
        <v>10264</v>
      </c>
      <c r="Y500" t="s">
        <v>10265</v>
      </c>
      <c r="Z500" t="s">
        <v>10266</v>
      </c>
      <c r="AA500" t="s">
        <v>10267</v>
      </c>
      <c r="AB500" t="s">
        <v>10268</v>
      </c>
      <c r="AC500" t="s">
        <v>10269</v>
      </c>
      <c r="AD500" t="s">
        <v>10270</v>
      </c>
      <c r="AE500" t="s">
        <v>10271</v>
      </c>
      <c r="AF500" t="s">
        <v>74</v>
      </c>
      <c r="AG500">
        <v>36</v>
      </c>
      <c r="AH500">
        <v>17</v>
      </c>
      <c r="AI500">
        <v>17</v>
      </c>
      <c r="AJ500">
        <v>5</v>
      </c>
      <c r="AK500">
        <v>16</v>
      </c>
      <c r="AL500" t="s">
        <v>10272</v>
      </c>
      <c r="AM500" t="s">
        <v>10273</v>
      </c>
      <c r="AN500" t="s">
        <v>10274</v>
      </c>
      <c r="AO500" t="s">
        <v>10275</v>
      </c>
      <c r="AP500" t="s">
        <v>10276</v>
      </c>
      <c r="AQ500" t="s">
        <v>74</v>
      </c>
      <c r="AR500" t="s">
        <v>10277</v>
      </c>
      <c r="AS500" t="s">
        <v>10278</v>
      </c>
      <c r="AT500" t="s">
        <v>720</v>
      </c>
      <c r="AU500">
        <v>2020</v>
      </c>
      <c r="AV500">
        <v>193</v>
      </c>
      <c r="AW500">
        <v>4</v>
      </c>
      <c r="AX500" t="s">
        <v>74</v>
      </c>
      <c r="AY500" t="s">
        <v>74</v>
      </c>
      <c r="AZ500" t="s">
        <v>74</v>
      </c>
      <c r="BA500" t="s">
        <v>74</v>
      </c>
      <c r="BB500">
        <v>901</v>
      </c>
      <c r="BC500">
        <v>925</v>
      </c>
      <c r="BD500" t="s">
        <v>74</v>
      </c>
      <c r="BE500" t="s">
        <v>10279</v>
      </c>
      <c r="BF500" t="str">
        <f>HYPERLINK("http://dx.doi.org/10.1007/s00605-020-01467-8","http://dx.doi.org/10.1007/s00605-020-01467-8")</f>
        <v>http://dx.doi.org/10.1007/s00605-020-01467-8</v>
      </c>
      <c r="BG500" t="s">
        <v>74</v>
      </c>
      <c r="BH500" t="s">
        <v>9526</v>
      </c>
      <c r="BI500">
        <v>25</v>
      </c>
      <c r="BJ500" t="s">
        <v>10280</v>
      </c>
      <c r="BK500" t="s">
        <v>100</v>
      </c>
      <c r="BL500" t="s">
        <v>10280</v>
      </c>
      <c r="BM500" t="s">
        <v>10281</v>
      </c>
      <c r="BN500" t="s">
        <v>74</v>
      </c>
      <c r="BO500" t="s">
        <v>74</v>
      </c>
      <c r="BP500" t="s">
        <v>74</v>
      </c>
      <c r="BQ500" t="s">
        <v>74</v>
      </c>
      <c r="BR500" t="s">
        <v>104</v>
      </c>
      <c r="BS500" t="s">
        <v>10282</v>
      </c>
      <c r="BT500" t="str">
        <f>HYPERLINK("https%3A%2F%2Fwww.webofscience.com%2Fwos%2Fwoscc%2Ffull-record%2FWOS:000572052200002","View Full Record in Web of Science")</f>
        <v>View Full Record in Web of Science</v>
      </c>
    </row>
    <row r="501" spans="1:72" x14ac:dyDescent="0.15">
      <c r="A501" t="s">
        <v>72</v>
      </c>
      <c r="B501" t="s">
        <v>10283</v>
      </c>
      <c r="C501" t="s">
        <v>74</v>
      </c>
      <c r="D501" t="s">
        <v>74</v>
      </c>
      <c r="E501" t="s">
        <v>74</v>
      </c>
      <c r="F501" t="s">
        <v>10284</v>
      </c>
      <c r="G501" t="s">
        <v>74</v>
      </c>
      <c r="H501" t="s">
        <v>74</v>
      </c>
      <c r="I501" t="s">
        <v>10285</v>
      </c>
      <c r="J501" t="s">
        <v>829</v>
      </c>
      <c r="K501" t="s">
        <v>74</v>
      </c>
      <c r="L501" t="s">
        <v>74</v>
      </c>
      <c r="M501" t="s">
        <v>78</v>
      </c>
      <c r="N501" t="s">
        <v>79</v>
      </c>
      <c r="O501" t="s">
        <v>74</v>
      </c>
      <c r="P501" t="s">
        <v>74</v>
      </c>
      <c r="Q501" t="s">
        <v>74</v>
      </c>
      <c r="R501" t="s">
        <v>74</v>
      </c>
      <c r="S501" t="s">
        <v>74</v>
      </c>
      <c r="T501" t="s">
        <v>74</v>
      </c>
      <c r="U501" t="s">
        <v>10286</v>
      </c>
      <c r="V501" t="s">
        <v>10287</v>
      </c>
      <c r="W501" t="s">
        <v>10288</v>
      </c>
      <c r="X501" t="s">
        <v>10289</v>
      </c>
      <c r="Y501" t="s">
        <v>10290</v>
      </c>
      <c r="Z501" t="s">
        <v>10291</v>
      </c>
      <c r="AA501" t="s">
        <v>10292</v>
      </c>
      <c r="AB501" t="s">
        <v>10293</v>
      </c>
      <c r="AC501" t="s">
        <v>10294</v>
      </c>
      <c r="AD501" t="s">
        <v>10295</v>
      </c>
      <c r="AE501" t="s">
        <v>10296</v>
      </c>
      <c r="AF501" t="s">
        <v>74</v>
      </c>
      <c r="AG501">
        <v>51</v>
      </c>
      <c r="AH501">
        <v>18</v>
      </c>
      <c r="AI501">
        <v>18</v>
      </c>
      <c r="AJ501">
        <v>1</v>
      </c>
      <c r="AK501">
        <v>7</v>
      </c>
      <c r="AL501" t="s">
        <v>766</v>
      </c>
      <c r="AM501" t="s">
        <v>123</v>
      </c>
      <c r="AN501" t="s">
        <v>767</v>
      </c>
      <c r="AO501" t="s">
        <v>74</v>
      </c>
      <c r="AP501" t="s">
        <v>841</v>
      </c>
      <c r="AQ501" t="s">
        <v>74</v>
      </c>
      <c r="AR501" t="s">
        <v>842</v>
      </c>
      <c r="AS501" t="s">
        <v>843</v>
      </c>
      <c r="AT501" t="s">
        <v>10149</v>
      </c>
      <c r="AU501">
        <v>2020</v>
      </c>
      <c r="AV501">
        <v>1</v>
      </c>
      <c r="AW501">
        <v>1</v>
      </c>
      <c r="AX501" t="s">
        <v>74</v>
      </c>
      <c r="AY501" t="s">
        <v>74</v>
      </c>
      <c r="AZ501" t="s">
        <v>74</v>
      </c>
      <c r="BA501" t="s">
        <v>74</v>
      </c>
      <c r="BB501" t="s">
        <v>74</v>
      </c>
      <c r="BC501" t="s">
        <v>74</v>
      </c>
      <c r="BD501">
        <v>23</v>
      </c>
      <c r="BE501" t="s">
        <v>10297</v>
      </c>
      <c r="BF501" t="str">
        <f>HYPERLINK("http://dx.doi.org/10.1038/s43247-020-00024-3","http://dx.doi.org/10.1038/s43247-020-00024-3")</f>
        <v>http://dx.doi.org/10.1038/s43247-020-00024-3</v>
      </c>
      <c r="BG501" t="s">
        <v>74</v>
      </c>
      <c r="BH501" t="s">
        <v>74</v>
      </c>
      <c r="BI501">
        <v>8</v>
      </c>
      <c r="BJ501" t="s">
        <v>846</v>
      </c>
      <c r="BK501" t="s">
        <v>100</v>
      </c>
      <c r="BL501" t="s">
        <v>847</v>
      </c>
      <c r="BM501" t="s">
        <v>10298</v>
      </c>
      <c r="BN501" t="s">
        <v>74</v>
      </c>
      <c r="BO501" t="s">
        <v>677</v>
      </c>
      <c r="BP501" t="s">
        <v>74</v>
      </c>
      <c r="BQ501" t="s">
        <v>74</v>
      </c>
      <c r="BR501" t="s">
        <v>104</v>
      </c>
      <c r="BS501" t="s">
        <v>10299</v>
      </c>
      <c r="BT501" t="str">
        <f>HYPERLINK("https%3A%2F%2Fwww.webofscience.com%2Fwos%2Fwoscc%2Ffull-record%2FWOS:000648603200001","View Full Record in Web of Science")</f>
        <v>View Full Record in Web of Science</v>
      </c>
    </row>
    <row r="502" spans="1:72" x14ac:dyDescent="0.15">
      <c r="A502" t="s">
        <v>72</v>
      </c>
      <c r="B502" t="s">
        <v>10300</v>
      </c>
      <c r="C502" t="s">
        <v>74</v>
      </c>
      <c r="D502" t="s">
        <v>74</v>
      </c>
      <c r="E502" t="s">
        <v>74</v>
      </c>
      <c r="F502" t="s">
        <v>10301</v>
      </c>
      <c r="G502" t="s">
        <v>74</v>
      </c>
      <c r="H502" t="s">
        <v>74</v>
      </c>
      <c r="I502" t="s">
        <v>10302</v>
      </c>
      <c r="J502" t="s">
        <v>381</v>
      </c>
      <c r="K502" t="s">
        <v>74</v>
      </c>
      <c r="L502" t="s">
        <v>74</v>
      </c>
      <c r="M502" t="s">
        <v>78</v>
      </c>
      <c r="N502" t="s">
        <v>79</v>
      </c>
      <c r="O502" t="s">
        <v>74</v>
      </c>
      <c r="P502" t="s">
        <v>74</v>
      </c>
      <c r="Q502" t="s">
        <v>74</v>
      </c>
      <c r="R502" t="s">
        <v>74</v>
      </c>
      <c r="S502" t="s">
        <v>74</v>
      </c>
      <c r="T502" t="s">
        <v>74</v>
      </c>
      <c r="U502" t="s">
        <v>10303</v>
      </c>
      <c r="V502" t="s">
        <v>10304</v>
      </c>
      <c r="W502" t="s">
        <v>10305</v>
      </c>
      <c r="X502" t="s">
        <v>10306</v>
      </c>
      <c r="Y502" t="s">
        <v>10307</v>
      </c>
      <c r="Z502" t="s">
        <v>10308</v>
      </c>
      <c r="AA502" t="s">
        <v>10309</v>
      </c>
      <c r="AB502" t="s">
        <v>10310</v>
      </c>
      <c r="AC502" t="s">
        <v>10311</v>
      </c>
      <c r="AD502" t="s">
        <v>10312</v>
      </c>
      <c r="AE502" t="s">
        <v>10313</v>
      </c>
      <c r="AF502" t="s">
        <v>74</v>
      </c>
      <c r="AG502">
        <v>62</v>
      </c>
      <c r="AH502">
        <v>17</v>
      </c>
      <c r="AI502">
        <v>17</v>
      </c>
      <c r="AJ502">
        <v>1</v>
      </c>
      <c r="AK502">
        <v>18</v>
      </c>
      <c r="AL502" t="s">
        <v>413</v>
      </c>
      <c r="AM502" t="s">
        <v>322</v>
      </c>
      <c r="AN502" t="s">
        <v>323</v>
      </c>
      <c r="AO502" t="s">
        <v>74</v>
      </c>
      <c r="AP502" t="s">
        <v>392</v>
      </c>
      <c r="AQ502" t="s">
        <v>74</v>
      </c>
      <c r="AR502" t="s">
        <v>393</v>
      </c>
      <c r="AS502" t="s">
        <v>394</v>
      </c>
      <c r="AT502" t="s">
        <v>10314</v>
      </c>
      <c r="AU502">
        <v>2020</v>
      </c>
      <c r="AV502">
        <v>11</v>
      </c>
      <c r="AW502">
        <v>1</v>
      </c>
      <c r="AX502" t="s">
        <v>74</v>
      </c>
      <c r="AY502" t="s">
        <v>74</v>
      </c>
      <c r="AZ502" t="s">
        <v>74</v>
      </c>
      <c r="BA502" t="s">
        <v>74</v>
      </c>
      <c r="BB502" t="s">
        <v>74</v>
      </c>
      <c r="BC502" t="s">
        <v>74</v>
      </c>
      <c r="BD502">
        <v>4764</v>
      </c>
      <c r="BE502" t="s">
        <v>10315</v>
      </c>
      <c r="BF502" t="str">
        <f>HYPERLINK("http://dx.doi.org/10.1038/s41467-020-18505-6","http://dx.doi.org/10.1038/s41467-020-18505-6")</f>
        <v>http://dx.doi.org/10.1038/s41467-020-18505-6</v>
      </c>
      <c r="BG502" t="s">
        <v>74</v>
      </c>
      <c r="BH502" t="s">
        <v>74</v>
      </c>
      <c r="BI502">
        <v>8</v>
      </c>
      <c r="BJ502" t="s">
        <v>329</v>
      </c>
      <c r="BK502" t="s">
        <v>255</v>
      </c>
      <c r="BL502" t="s">
        <v>330</v>
      </c>
      <c r="BM502" t="s">
        <v>10316</v>
      </c>
      <c r="BN502">
        <v>32958769</v>
      </c>
      <c r="BO502" t="s">
        <v>6564</v>
      </c>
      <c r="BP502" t="s">
        <v>74</v>
      </c>
      <c r="BQ502" t="s">
        <v>74</v>
      </c>
      <c r="BR502" t="s">
        <v>104</v>
      </c>
      <c r="BS502" t="s">
        <v>10317</v>
      </c>
      <c r="BT502" t="str">
        <f>HYPERLINK("https%3A%2F%2Fwww.webofscience.com%2Fwos%2Fwoscc%2Ffull-record%2FWOS:000598892400004","View Full Record in Web of Science")</f>
        <v>View Full Record in Web of Science</v>
      </c>
    </row>
    <row r="503" spans="1:72" x14ac:dyDescent="0.15">
      <c r="A503" t="s">
        <v>72</v>
      </c>
      <c r="B503" t="s">
        <v>10318</v>
      </c>
      <c r="C503" t="s">
        <v>74</v>
      </c>
      <c r="D503" t="s">
        <v>74</v>
      </c>
      <c r="E503" t="s">
        <v>74</v>
      </c>
      <c r="F503" t="s">
        <v>10319</v>
      </c>
      <c r="G503" t="s">
        <v>74</v>
      </c>
      <c r="H503" t="s">
        <v>74</v>
      </c>
      <c r="I503" t="s">
        <v>10320</v>
      </c>
      <c r="J503" t="s">
        <v>10321</v>
      </c>
      <c r="K503" t="s">
        <v>74</v>
      </c>
      <c r="L503" t="s">
        <v>74</v>
      </c>
      <c r="M503" t="s">
        <v>78</v>
      </c>
      <c r="N503" t="s">
        <v>79</v>
      </c>
      <c r="O503" t="s">
        <v>74</v>
      </c>
      <c r="P503" t="s">
        <v>74</v>
      </c>
      <c r="Q503" t="s">
        <v>74</v>
      </c>
      <c r="R503" t="s">
        <v>74</v>
      </c>
      <c r="S503" t="s">
        <v>74</v>
      </c>
      <c r="T503" t="s">
        <v>10322</v>
      </c>
      <c r="U503" t="s">
        <v>10323</v>
      </c>
      <c r="V503" t="s">
        <v>10324</v>
      </c>
      <c r="W503" t="s">
        <v>10325</v>
      </c>
      <c r="X503" t="s">
        <v>10326</v>
      </c>
      <c r="Y503" t="s">
        <v>10327</v>
      </c>
      <c r="Z503" t="s">
        <v>10328</v>
      </c>
      <c r="AA503" t="s">
        <v>10329</v>
      </c>
      <c r="AB503" t="s">
        <v>10330</v>
      </c>
      <c r="AC503" t="s">
        <v>10331</v>
      </c>
      <c r="AD503" t="s">
        <v>10332</v>
      </c>
      <c r="AE503" t="s">
        <v>10333</v>
      </c>
      <c r="AF503" t="s">
        <v>74</v>
      </c>
      <c r="AG503">
        <v>68</v>
      </c>
      <c r="AH503">
        <v>23</v>
      </c>
      <c r="AI503">
        <v>24</v>
      </c>
      <c r="AJ503">
        <v>2</v>
      </c>
      <c r="AK503">
        <v>22</v>
      </c>
      <c r="AL503" t="s">
        <v>937</v>
      </c>
      <c r="AM503" t="s">
        <v>609</v>
      </c>
      <c r="AN503" t="s">
        <v>938</v>
      </c>
      <c r="AO503" t="s">
        <v>10334</v>
      </c>
      <c r="AP503" t="s">
        <v>74</v>
      </c>
      <c r="AQ503" t="s">
        <v>74</v>
      </c>
      <c r="AR503" t="s">
        <v>10335</v>
      </c>
      <c r="AS503" t="s">
        <v>10336</v>
      </c>
      <c r="AT503" t="s">
        <v>10314</v>
      </c>
      <c r="AU503">
        <v>2020</v>
      </c>
      <c r="AV503">
        <v>8</v>
      </c>
      <c r="AW503">
        <v>37</v>
      </c>
      <c r="AX503" t="s">
        <v>74</v>
      </c>
      <c r="AY503" t="s">
        <v>74</v>
      </c>
      <c r="AZ503" t="s">
        <v>74</v>
      </c>
      <c r="BA503" t="s">
        <v>74</v>
      </c>
      <c r="BB503">
        <v>13945</v>
      </c>
      <c r="BC503">
        <v>13955</v>
      </c>
      <c r="BD503" t="s">
        <v>74</v>
      </c>
      <c r="BE503" t="s">
        <v>10337</v>
      </c>
      <c r="BF503" t="str">
        <f>HYPERLINK("http://dx.doi.org/10.1021/acssuschemeng.0c03211","http://dx.doi.org/10.1021/acssuschemeng.0c03211")</f>
        <v>http://dx.doi.org/10.1021/acssuschemeng.0c03211</v>
      </c>
      <c r="BG503" t="s">
        <v>74</v>
      </c>
      <c r="BH503" t="s">
        <v>74</v>
      </c>
      <c r="BI503">
        <v>11</v>
      </c>
      <c r="BJ503" t="s">
        <v>10338</v>
      </c>
      <c r="BK503" t="s">
        <v>100</v>
      </c>
      <c r="BL503" t="s">
        <v>10339</v>
      </c>
      <c r="BM503" t="s">
        <v>10340</v>
      </c>
      <c r="BN503" t="s">
        <v>74</v>
      </c>
      <c r="BO503" t="s">
        <v>74</v>
      </c>
      <c r="BP503" t="s">
        <v>74</v>
      </c>
      <c r="BQ503" t="s">
        <v>74</v>
      </c>
      <c r="BR503" t="s">
        <v>104</v>
      </c>
      <c r="BS503" t="s">
        <v>10341</v>
      </c>
      <c r="BT503" t="str">
        <f>HYPERLINK("https%3A%2F%2Fwww.webofscience.com%2Fwos%2Fwoscc%2Ffull-record%2FWOS:000575352800008","View Full Record in Web of Science")</f>
        <v>View Full Record in Web of Science</v>
      </c>
    </row>
    <row r="504" spans="1:72" x14ac:dyDescent="0.15">
      <c r="A504" t="s">
        <v>72</v>
      </c>
      <c r="B504" t="s">
        <v>10342</v>
      </c>
      <c r="C504" t="s">
        <v>74</v>
      </c>
      <c r="D504" t="s">
        <v>74</v>
      </c>
      <c r="E504" t="s">
        <v>74</v>
      </c>
      <c r="F504" t="s">
        <v>10343</v>
      </c>
      <c r="G504" t="s">
        <v>74</v>
      </c>
      <c r="H504" t="s">
        <v>74</v>
      </c>
      <c r="I504" t="s">
        <v>10344</v>
      </c>
      <c r="J504" t="s">
        <v>5717</v>
      </c>
      <c r="K504" t="s">
        <v>74</v>
      </c>
      <c r="L504" t="s">
        <v>74</v>
      </c>
      <c r="M504" t="s">
        <v>78</v>
      </c>
      <c r="N504" t="s">
        <v>79</v>
      </c>
      <c r="O504" t="s">
        <v>74</v>
      </c>
      <c r="P504" t="s">
        <v>74</v>
      </c>
      <c r="Q504" t="s">
        <v>74</v>
      </c>
      <c r="R504" t="s">
        <v>74</v>
      </c>
      <c r="S504" t="s">
        <v>74</v>
      </c>
      <c r="T504" t="s">
        <v>74</v>
      </c>
      <c r="U504" t="s">
        <v>10345</v>
      </c>
      <c r="V504" t="s">
        <v>10346</v>
      </c>
      <c r="W504" t="s">
        <v>10347</v>
      </c>
      <c r="X504" t="s">
        <v>10348</v>
      </c>
      <c r="Y504" t="s">
        <v>10349</v>
      </c>
      <c r="Z504" t="s">
        <v>10350</v>
      </c>
      <c r="AA504" t="s">
        <v>10351</v>
      </c>
      <c r="AB504" t="s">
        <v>10352</v>
      </c>
      <c r="AC504" t="s">
        <v>10353</v>
      </c>
      <c r="AD504" t="s">
        <v>10354</v>
      </c>
      <c r="AE504" t="s">
        <v>10355</v>
      </c>
      <c r="AF504" t="s">
        <v>74</v>
      </c>
      <c r="AG504">
        <v>74</v>
      </c>
      <c r="AH504">
        <v>25</v>
      </c>
      <c r="AI504">
        <v>27</v>
      </c>
      <c r="AJ504">
        <v>3</v>
      </c>
      <c r="AK504">
        <v>32</v>
      </c>
      <c r="AL504" t="s">
        <v>219</v>
      </c>
      <c r="AM504" t="s">
        <v>220</v>
      </c>
      <c r="AN504" t="s">
        <v>221</v>
      </c>
      <c r="AO504" t="s">
        <v>5729</v>
      </c>
      <c r="AP504" t="s">
        <v>5730</v>
      </c>
      <c r="AQ504" t="s">
        <v>74</v>
      </c>
      <c r="AR504" t="s">
        <v>5731</v>
      </c>
      <c r="AS504" t="s">
        <v>5732</v>
      </c>
      <c r="AT504" t="s">
        <v>252</v>
      </c>
      <c r="AU504">
        <v>2021</v>
      </c>
      <c r="AV504">
        <v>66</v>
      </c>
      <c r="AW504">
        <v>1</v>
      </c>
      <c r="AX504" t="s">
        <v>74</v>
      </c>
      <c r="AY504" t="s">
        <v>74</v>
      </c>
      <c r="AZ504" t="s">
        <v>74</v>
      </c>
      <c r="BA504" t="s">
        <v>74</v>
      </c>
      <c r="BB504">
        <v>272</v>
      </c>
      <c r="BC504">
        <v>287</v>
      </c>
      <c r="BD504" t="s">
        <v>74</v>
      </c>
      <c r="BE504" t="s">
        <v>10356</v>
      </c>
      <c r="BF504" t="str">
        <f>HYPERLINK("http://dx.doi.org/10.1002/lno.11603","http://dx.doi.org/10.1002/lno.11603")</f>
        <v>http://dx.doi.org/10.1002/lno.11603</v>
      </c>
      <c r="BG504" t="s">
        <v>74</v>
      </c>
      <c r="BH504" t="s">
        <v>9526</v>
      </c>
      <c r="BI504">
        <v>16</v>
      </c>
      <c r="BJ504" t="s">
        <v>5734</v>
      </c>
      <c r="BK504" t="s">
        <v>100</v>
      </c>
      <c r="BL504" t="s">
        <v>643</v>
      </c>
      <c r="BM504" t="s">
        <v>10357</v>
      </c>
      <c r="BN504" t="s">
        <v>74</v>
      </c>
      <c r="BO504" t="s">
        <v>3798</v>
      </c>
      <c r="BP504" t="s">
        <v>74</v>
      </c>
      <c r="BQ504" t="s">
        <v>74</v>
      </c>
      <c r="BR504" t="s">
        <v>104</v>
      </c>
      <c r="BS504" t="s">
        <v>10358</v>
      </c>
      <c r="BT504" t="str">
        <f>HYPERLINK("https%3A%2F%2Fwww.webofscience.com%2Fwos%2Fwoscc%2Ffull-record%2FWOS:000571639000001","View Full Record in Web of Science")</f>
        <v>View Full Record in Web of Science</v>
      </c>
    </row>
    <row r="505" spans="1:72" x14ac:dyDescent="0.15">
      <c r="A505" t="s">
        <v>72</v>
      </c>
      <c r="B505" t="s">
        <v>10359</v>
      </c>
      <c r="C505" t="s">
        <v>74</v>
      </c>
      <c r="D505" t="s">
        <v>74</v>
      </c>
      <c r="E505" t="s">
        <v>74</v>
      </c>
      <c r="F505" t="s">
        <v>10360</v>
      </c>
      <c r="G505" t="s">
        <v>74</v>
      </c>
      <c r="H505" t="s">
        <v>74</v>
      </c>
      <c r="I505" t="s">
        <v>10361</v>
      </c>
      <c r="J505" t="s">
        <v>1063</v>
      </c>
      <c r="K505" t="s">
        <v>74</v>
      </c>
      <c r="L505" t="s">
        <v>74</v>
      </c>
      <c r="M505" t="s">
        <v>78</v>
      </c>
      <c r="N505" t="s">
        <v>79</v>
      </c>
      <c r="O505" t="s">
        <v>74</v>
      </c>
      <c r="P505" t="s">
        <v>74</v>
      </c>
      <c r="Q505" t="s">
        <v>74</v>
      </c>
      <c r="R505" t="s">
        <v>74</v>
      </c>
      <c r="S505" t="s">
        <v>74</v>
      </c>
      <c r="T505" t="s">
        <v>10362</v>
      </c>
      <c r="U505" t="s">
        <v>10363</v>
      </c>
      <c r="V505" t="s">
        <v>10364</v>
      </c>
      <c r="W505" t="s">
        <v>10365</v>
      </c>
      <c r="X505" t="s">
        <v>10366</v>
      </c>
      <c r="Y505" t="s">
        <v>10367</v>
      </c>
      <c r="Z505" t="s">
        <v>10368</v>
      </c>
      <c r="AA505" t="s">
        <v>10369</v>
      </c>
      <c r="AB505" t="s">
        <v>10370</v>
      </c>
      <c r="AC505" t="s">
        <v>10371</v>
      </c>
      <c r="AD505" t="s">
        <v>10372</v>
      </c>
      <c r="AE505" t="s">
        <v>10373</v>
      </c>
      <c r="AF505" t="s">
        <v>74</v>
      </c>
      <c r="AG505">
        <v>92</v>
      </c>
      <c r="AH505">
        <v>7</v>
      </c>
      <c r="AI505">
        <v>7</v>
      </c>
      <c r="AJ505">
        <v>1</v>
      </c>
      <c r="AK505">
        <v>17</v>
      </c>
      <c r="AL505" t="s">
        <v>482</v>
      </c>
      <c r="AM505" t="s">
        <v>483</v>
      </c>
      <c r="AN505" t="s">
        <v>484</v>
      </c>
      <c r="AO505" t="s">
        <v>1075</v>
      </c>
      <c r="AP505" t="s">
        <v>1076</v>
      </c>
      <c r="AQ505" t="s">
        <v>74</v>
      </c>
      <c r="AR505" t="s">
        <v>1077</v>
      </c>
      <c r="AS505" t="s">
        <v>1078</v>
      </c>
      <c r="AT505" t="s">
        <v>1212</v>
      </c>
      <c r="AU505">
        <v>2020</v>
      </c>
      <c r="AV505">
        <v>43</v>
      </c>
      <c r="AW505">
        <v>11</v>
      </c>
      <c r="AX505" t="s">
        <v>74</v>
      </c>
      <c r="AY505" t="s">
        <v>74</v>
      </c>
      <c r="AZ505" t="s">
        <v>74</v>
      </c>
      <c r="BA505" t="s">
        <v>74</v>
      </c>
      <c r="BB505">
        <v>1817</v>
      </c>
      <c r="BC505">
        <v>1828</v>
      </c>
      <c r="BD505" t="s">
        <v>74</v>
      </c>
      <c r="BE505" t="s">
        <v>10374</v>
      </c>
      <c r="BF505" t="str">
        <f>HYPERLINK("http://dx.doi.org/10.1007/s00300-020-02747-7","http://dx.doi.org/10.1007/s00300-020-02747-7")</f>
        <v>http://dx.doi.org/10.1007/s00300-020-02747-7</v>
      </c>
      <c r="BG505" t="s">
        <v>74</v>
      </c>
      <c r="BH505" t="s">
        <v>9526</v>
      </c>
      <c r="BI505">
        <v>12</v>
      </c>
      <c r="BJ505" t="s">
        <v>1080</v>
      </c>
      <c r="BK505" t="s">
        <v>100</v>
      </c>
      <c r="BL505" t="s">
        <v>256</v>
      </c>
      <c r="BM505" t="s">
        <v>9540</v>
      </c>
      <c r="BN505" t="s">
        <v>74</v>
      </c>
      <c r="BO505" t="s">
        <v>74</v>
      </c>
      <c r="BP505" t="s">
        <v>74</v>
      </c>
      <c r="BQ505" t="s">
        <v>74</v>
      </c>
      <c r="BR505" t="s">
        <v>104</v>
      </c>
      <c r="BS505" t="s">
        <v>10375</v>
      </c>
      <c r="BT505" t="str">
        <f>HYPERLINK("https%3A%2F%2Fwww.webofscience.com%2Fwos%2Fwoscc%2Ffull-record%2FWOS:000571668900001","View Full Record in Web of Science")</f>
        <v>View Full Record in Web of Science</v>
      </c>
    </row>
    <row r="506" spans="1:72" x14ac:dyDescent="0.15">
      <c r="A506" t="s">
        <v>72</v>
      </c>
      <c r="B506" t="s">
        <v>10376</v>
      </c>
      <c r="C506" t="s">
        <v>74</v>
      </c>
      <c r="D506" t="s">
        <v>74</v>
      </c>
      <c r="E506" t="s">
        <v>74</v>
      </c>
      <c r="F506" t="s">
        <v>10377</v>
      </c>
      <c r="G506" t="s">
        <v>74</v>
      </c>
      <c r="H506" t="s">
        <v>74</v>
      </c>
      <c r="I506" t="s">
        <v>10378</v>
      </c>
      <c r="J506" t="s">
        <v>706</v>
      </c>
      <c r="K506" t="s">
        <v>74</v>
      </c>
      <c r="L506" t="s">
        <v>74</v>
      </c>
      <c r="M506" t="s">
        <v>78</v>
      </c>
      <c r="N506" t="s">
        <v>79</v>
      </c>
      <c r="O506" t="s">
        <v>74</v>
      </c>
      <c r="P506" t="s">
        <v>74</v>
      </c>
      <c r="Q506" t="s">
        <v>74</v>
      </c>
      <c r="R506" t="s">
        <v>74</v>
      </c>
      <c r="S506" t="s">
        <v>74</v>
      </c>
      <c r="T506" t="s">
        <v>10379</v>
      </c>
      <c r="U506" t="s">
        <v>10380</v>
      </c>
      <c r="V506" t="s">
        <v>10381</v>
      </c>
      <c r="W506" t="s">
        <v>10382</v>
      </c>
      <c r="X506" t="s">
        <v>10383</v>
      </c>
      <c r="Y506" t="s">
        <v>10384</v>
      </c>
      <c r="Z506" t="s">
        <v>10385</v>
      </c>
      <c r="AA506" t="s">
        <v>10386</v>
      </c>
      <c r="AB506" t="s">
        <v>10387</v>
      </c>
      <c r="AC506" t="s">
        <v>10388</v>
      </c>
      <c r="AD506" t="s">
        <v>10389</v>
      </c>
      <c r="AE506" t="s">
        <v>10390</v>
      </c>
      <c r="AF506" t="s">
        <v>74</v>
      </c>
      <c r="AG506">
        <v>120</v>
      </c>
      <c r="AH506">
        <v>13</v>
      </c>
      <c r="AI506">
        <v>15</v>
      </c>
      <c r="AJ506">
        <v>8</v>
      </c>
      <c r="AK506">
        <v>23</v>
      </c>
      <c r="AL506" t="s">
        <v>219</v>
      </c>
      <c r="AM506" t="s">
        <v>220</v>
      </c>
      <c r="AN506" t="s">
        <v>221</v>
      </c>
      <c r="AO506" t="s">
        <v>717</v>
      </c>
      <c r="AP506" t="s">
        <v>74</v>
      </c>
      <c r="AQ506" t="s">
        <v>74</v>
      </c>
      <c r="AR506" t="s">
        <v>718</v>
      </c>
      <c r="AS506" t="s">
        <v>719</v>
      </c>
      <c r="AT506" t="s">
        <v>6558</v>
      </c>
      <c r="AU506">
        <v>2020</v>
      </c>
      <c r="AV506">
        <v>10</v>
      </c>
      <c r="AW506">
        <v>20</v>
      </c>
      <c r="AX506" t="s">
        <v>74</v>
      </c>
      <c r="AY506" t="s">
        <v>74</v>
      </c>
      <c r="AZ506" t="s">
        <v>74</v>
      </c>
      <c r="BA506" t="s">
        <v>74</v>
      </c>
      <c r="BB506">
        <v>11277</v>
      </c>
      <c r="BC506">
        <v>11295</v>
      </c>
      <c r="BD506" t="s">
        <v>74</v>
      </c>
      <c r="BE506" t="s">
        <v>10391</v>
      </c>
      <c r="BF506" t="str">
        <f>HYPERLINK("http://dx.doi.org/10.1002/ece3.6766","http://dx.doi.org/10.1002/ece3.6766")</f>
        <v>http://dx.doi.org/10.1002/ece3.6766</v>
      </c>
      <c r="BG506" t="s">
        <v>74</v>
      </c>
      <c r="BH506" t="s">
        <v>9526</v>
      </c>
      <c r="BI506">
        <v>19</v>
      </c>
      <c r="BJ506" t="s">
        <v>722</v>
      </c>
      <c r="BK506" t="s">
        <v>100</v>
      </c>
      <c r="BL506" t="s">
        <v>723</v>
      </c>
      <c r="BM506" t="s">
        <v>10392</v>
      </c>
      <c r="BN506">
        <v>33144964</v>
      </c>
      <c r="BO506" t="s">
        <v>10393</v>
      </c>
      <c r="BP506" t="s">
        <v>74</v>
      </c>
      <c r="BQ506" t="s">
        <v>74</v>
      </c>
      <c r="BR506" t="s">
        <v>104</v>
      </c>
      <c r="BS506" t="s">
        <v>10394</v>
      </c>
      <c r="BT506" t="str">
        <f>HYPERLINK("https%3A%2F%2Fwww.webofscience.com%2Fwos%2Fwoscc%2Ffull-record%2FWOS:000571351600001","View Full Record in Web of Science")</f>
        <v>View Full Record in Web of Science</v>
      </c>
    </row>
    <row r="507" spans="1:72" x14ac:dyDescent="0.15">
      <c r="A507" t="s">
        <v>72</v>
      </c>
      <c r="B507" t="s">
        <v>10395</v>
      </c>
      <c r="C507" t="s">
        <v>74</v>
      </c>
      <c r="D507" t="s">
        <v>74</v>
      </c>
      <c r="E507" t="s">
        <v>74</v>
      </c>
      <c r="F507" t="s">
        <v>10396</v>
      </c>
      <c r="G507" t="s">
        <v>74</v>
      </c>
      <c r="H507" t="s">
        <v>74</v>
      </c>
      <c r="I507" t="s">
        <v>10397</v>
      </c>
      <c r="J507" t="s">
        <v>4912</v>
      </c>
      <c r="K507" t="s">
        <v>74</v>
      </c>
      <c r="L507" t="s">
        <v>74</v>
      </c>
      <c r="M507" t="s">
        <v>78</v>
      </c>
      <c r="N507" t="s">
        <v>79</v>
      </c>
      <c r="O507" t="s">
        <v>74</v>
      </c>
      <c r="P507" t="s">
        <v>74</v>
      </c>
      <c r="Q507" t="s">
        <v>74</v>
      </c>
      <c r="R507" t="s">
        <v>74</v>
      </c>
      <c r="S507" t="s">
        <v>74</v>
      </c>
      <c r="T507" t="s">
        <v>10398</v>
      </c>
      <c r="U507" t="s">
        <v>10399</v>
      </c>
      <c r="V507" t="s">
        <v>10400</v>
      </c>
      <c r="W507" t="s">
        <v>10401</v>
      </c>
      <c r="X507" t="s">
        <v>10402</v>
      </c>
      <c r="Y507" t="s">
        <v>10403</v>
      </c>
      <c r="Z507" t="s">
        <v>10404</v>
      </c>
      <c r="AA507" t="s">
        <v>10405</v>
      </c>
      <c r="AB507" t="s">
        <v>10406</v>
      </c>
      <c r="AC507" t="s">
        <v>10407</v>
      </c>
      <c r="AD507" t="s">
        <v>10408</v>
      </c>
      <c r="AE507" t="s">
        <v>10409</v>
      </c>
      <c r="AF507" t="s">
        <v>74</v>
      </c>
      <c r="AG507">
        <v>69</v>
      </c>
      <c r="AH507">
        <v>9</v>
      </c>
      <c r="AI507">
        <v>13</v>
      </c>
      <c r="AJ507">
        <v>1</v>
      </c>
      <c r="AK507">
        <v>56</v>
      </c>
      <c r="AL507" t="s">
        <v>4925</v>
      </c>
      <c r="AM507" t="s">
        <v>123</v>
      </c>
      <c r="AN507" t="s">
        <v>4926</v>
      </c>
      <c r="AO507" t="s">
        <v>4927</v>
      </c>
      <c r="AP507" t="s">
        <v>74</v>
      </c>
      <c r="AQ507" t="s">
        <v>74</v>
      </c>
      <c r="AR507" t="s">
        <v>4912</v>
      </c>
      <c r="AS507" t="s">
        <v>4928</v>
      </c>
      <c r="AT507" t="s">
        <v>10314</v>
      </c>
      <c r="AU507">
        <v>2020</v>
      </c>
      <c r="AV507">
        <v>8</v>
      </c>
      <c r="AW507" t="s">
        <v>74</v>
      </c>
      <c r="AX507" t="s">
        <v>74</v>
      </c>
      <c r="AY507" t="s">
        <v>74</v>
      </c>
      <c r="AZ507" t="s">
        <v>74</v>
      </c>
      <c r="BA507" t="s">
        <v>74</v>
      </c>
      <c r="BB507" t="s">
        <v>74</v>
      </c>
      <c r="BC507" t="s">
        <v>74</v>
      </c>
      <c r="BD507" t="s">
        <v>10410</v>
      </c>
      <c r="BE507" t="s">
        <v>10411</v>
      </c>
      <c r="BF507" t="str">
        <f>HYPERLINK("http://dx.doi.org/10.7717/peerj.9892","http://dx.doi.org/10.7717/peerj.9892")</f>
        <v>http://dx.doi.org/10.7717/peerj.9892</v>
      </c>
      <c r="BG507" t="s">
        <v>74</v>
      </c>
      <c r="BH507" t="s">
        <v>74</v>
      </c>
      <c r="BI507">
        <v>23</v>
      </c>
      <c r="BJ507" t="s">
        <v>329</v>
      </c>
      <c r="BK507" t="s">
        <v>100</v>
      </c>
      <c r="BL507" t="s">
        <v>330</v>
      </c>
      <c r="BM507" t="s">
        <v>10412</v>
      </c>
      <c r="BN507">
        <v>33005489</v>
      </c>
      <c r="BO507" t="s">
        <v>6564</v>
      </c>
      <c r="BP507" t="s">
        <v>74</v>
      </c>
      <c r="BQ507" t="s">
        <v>74</v>
      </c>
      <c r="BR507" t="s">
        <v>104</v>
      </c>
      <c r="BS507" t="s">
        <v>10413</v>
      </c>
      <c r="BT507" t="str">
        <f>HYPERLINK("https%3A%2F%2Fwww.webofscience.com%2Fwos%2Fwoscc%2Ffull-record%2FWOS:000571389500006","View Full Record in Web of Science")</f>
        <v>View Full Record in Web of Science</v>
      </c>
    </row>
    <row r="508" spans="1:72" x14ac:dyDescent="0.15">
      <c r="A508" t="s">
        <v>72</v>
      </c>
      <c r="B508" t="s">
        <v>10414</v>
      </c>
      <c r="C508" t="s">
        <v>74</v>
      </c>
      <c r="D508" t="s">
        <v>74</v>
      </c>
      <c r="E508" t="s">
        <v>74</v>
      </c>
      <c r="F508" t="s">
        <v>10415</v>
      </c>
      <c r="G508" t="s">
        <v>74</v>
      </c>
      <c r="H508" t="s">
        <v>74</v>
      </c>
      <c r="I508" t="s">
        <v>10416</v>
      </c>
      <c r="J508" t="s">
        <v>10417</v>
      </c>
      <c r="K508" t="s">
        <v>74</v>
      </c>
      <c r="L508" t="s">
        <v>74</v>
      </c>
      <c r="M508" t="s">
        <v>78</v>
      </c>
      <c r="N508" t="s">
        <v>79</v>
      </c>
      <c r="O508" t="s">
        <v>74</v>
      </c>
      <c r="P508" t="s">
        <v>74</v>
      </c>
      <c r="Q508" t="s">
        <v>74</v>
      </c>
      <c r="R508" t="s">
        <v>74</v>
      </c>
      <c r="S508" t="s">
        <v>74</v>
      </c>
      <c r="T508" t="s">
        <v>74</v>
      </c>
      <c r="U508" t="s">
        <v>10418</v>
      </c>
      <c r="V508" t="s">
        <v>10419</v>
      </c>
      <c r="W508" t="s">
        <v>10420</v>
      </c>
      <c r="X508" t="s">
        <v>10421</v>
      </c>
      <c r="Y508" t="s">
        <v>10422</v>
      </c>
      <c r="Z508" t="s">
        <v>10423</v>
      </c>
      <c r="AA508" t="s">
        <v>74</v>
      </c>
      <c r="AB508" t="s">
        <v>10424</v>
      </c>
      <c r="AC508" t="s">
        <v>74</v>
      </c>
      <c r="AD508" t="s">
        <v>74</v>
      </c>
      <c r="AE508" t="s">
        <v>74</v>
      </c>
      <c r="AF508" t="s">
        <v>74</v>
      </c>
      <c r="AG508">
        <v>48</v>
      </c>
      <c r="AH508">
        <v>2</v>
      </c>
      <c r="AI508">
        <v>2</v>
      </c>
      <c r="AJ508">
        <v>0</v>
      </c>
      <c r="AK508">
        <v>5</v>
      </c>
      <c r="AL508" t="s">
        <v>482</v>
      </c>
      <c r="AM508" t="s">
        <v>483</v>
      </c>
      <c r="AN508" t="s">
        <v>484</v>
      </c>
      <c r="AO508" t="s">
        <v>10425</v>
      </c>
      <c r="AP508" t="s">
        <v>10426</v>
      </c>
      <c r="AQ508" t="s">
        <v>74</v>
      </c>
      <c r="AR508" t="s">
        <v>10427</v>
      </c>
      <c r="AS508" t="s">
        <v>10428</v>
      </c>
      <c r="AT508" t="s">
        <v>372</v>
      </c>
      <c r="AU508">
        <v>2020</v>
      </c>
      <c r="AV508">
        <v>62</v>
      </c>
      <c r="AW508">
        <v>12</v>
      </c>
      <c r="AX508" t="s">
        <v>74</v>
      </c>
      <c r="AY508" t="s">
        <v>74</v>
      </c>
      <c r="AZ508" t="s">
        <v>74</v>
      </c>
      <c r="BA508" t="s">
        <v>74</v>
      </c>
      <c r="BB508">
        <v>793</v>
      </c>
      <c r="BC508">
        <v>806</v>
      </c>
      <c r="BD508" t="s">
        <v>74</v>
      </c>
      <c r="BE508" t="s">
        <v>10429</v>
      </c>
      <c r="BF508" t="str">
        <f>HYPERLINK("http://dx.doi.org/10.1007/s11141-020-10025-z","http://dx.doi.org/10.1007/s11141-020-10025-z")</f>
        <v>http://dx.doi.org/10.1007/s11141-020-10025-z</v>
      </c>
      <c r="BG508" t="s">
        <v>74</v>
      </c>
      <c r="BH508" t="s">
        <v>9526</v>
      </c>
      <c r="BI508">
        <v>14</v>
      </c>
      <c r="BJ508" t="s">
        <v>10430</v>
      </c>
      <c r="BK508" t="s">
        <v>100</v>
      </c>
      <c r="BL508" t="s">
        <v>10431</v>
      </c>
      <c r="BM508" t="s">
        <v>10432</v>
      </c>
      <c r="BN508" t="s">
        <v>74</v>
      </c>
      <c r="BO508" t="s">
        <v>74</v>
      </c>
      <c r="BP508" t="s">
        <v>74</v>
      </c>
      <c r="BQ508" t="s">
        <v>74</v>
      </c>
      <c r="BR508" t="s">
        <v>104</v>
      </c>
      <c r="BS508" t="s">
        <v>10433</v>
      </c>
      <c r="BT508" t="str">
        <f>HYPERLINK("https%3A%2F%2Fwww.webofscience.com%2Fwos%2Fwoscc%2Ffull-record%2FWOS:000571367300003","View Full Record in Web of Science")</f>
        <v>View Full Record in Web of Science</v>
      </c>
    </row>
    <row r="509" spans="1:72" x14ac:dyDescent="0.15">
      <c r="A509" t="s">
        <v>72</v>
      </c>
      <c r="B509" t="s">
        <v>10434</v>
      </c>
      <c r="C509" t="s">
        <v>74</v>
      </c>
      <c r="D509" t="s">
        <v>74</v>
      </c>
      <c r="E509" t="s">
        <v>74</v>
      </c>
      <c r="F509" t="s">
        <v>10435</v>
      </c>
      <c r="G509" t="s">
        <v>74</v>
      </c>
      <c r="H509" t="s">
        <v>74</v>
      </c>
      <c r="I509" t="s">
        <v>10436</v>
      </c>
      <c r="J509" t="s">
        <v>10437</v>
      </c>
      <c r="K509" t="s">
        <v>74</v>
      </c>
      <c r="L509" t="s">
        <v>74</v>
      </c>
      <c r="M509" t="s">
        <v>78</v>
      </c>
      <c r="N509" t="s">
        <v>79</v>
      </c>
      <c r="O509" t="s">
        <v>74</v>
      </c>
      <c r="P509" t="s">
        <v>74</v>
      </c>
      <c r="Q509" t="s">
        <v>74</v>
      </c>
      <c r="R509" t="s">
        <v>74</v>
      </c>
      <c r="S509" t="s">
        <v>74</v>
      </c>
      <c r="T509" t="s">
        <v>10438</v>
      </c>
      <c r="U509" t="s">
        <v>10439</v>
      </c>
      <c r="V509" t="s">
        <v>10440</v>
      </c>
      <c r="W509" t="s">
        <v>10441</v>
      </c>
      <c r="X509" t="s">
        <v>10442</v>
      </c>
      <c r="Y509" t="s">
        <v>10443</v>
      </c>
      <c r="Z509" t="s">
        <v>1175</v>
      </c>
      <c r="AA509" t="s">
        <v>10444</v>
      </c>
      <c r="AB509" t="s">
        <v>10445</v>
      </c>
      <c r="AC509" t="s">
        <v>1178</v>
      </c>
      <c r="AD509" t="s">
        <v>1179</v>
      </c>
      <c r="AE509" t="s">
        <v>10446</v>
      </c>
      <c r="AF509" t="s">
        <v>74</v>
      </c>
      <c r="AG509">
        <v>60</v>
      </c>
      <c r="AH509">
        <v>11</v>
      </c>
      <c r="AI509">
        <v>11</v>
      </c>
      <c r="AJ509">
        <v>1</v>
      </c>
      <c r="AK509">
        <v>12</v>
      </c>
      <c r="AL509" t="s">
        <v>692</v>
      </c>
      <c r="AM509" t="s">
        <v>693</v>
      </c>
      <c r="AN509" t="s">
        <v>694</v>
      </c>
      <c r="AO509" t="s">
        <v>10447</v>
      </c>
      <c r="AP509" t="s">
        <v>10448</v>
      </c>
      <c r="AQ509" t="s">
        <v>74</v>
      </c>
      <c r="AR509" t="s">
        <v>10449</v>
      </c>
      <c r="AS509" t="s">
        <v>10450</v>
      </c>
      <c r="AT509" t="s">
        <v>10451</v>
      </c>
      <c r="AU509">
        <v>2021</v>
      </c>
      <c r="AV509">
        <v>30</v>
      </c>
      <c r="AW509">
        <v>5</v>
      </c>
      <c r="AX509" t="s">
        <v>74</v>
      </c>
      <c r="AY509" t="s">
        <v>74</v>
      </c>
      <c r="AZ509" t="s">
        <v>74</v>
      </c>
      <c r="BA509" t="s">
        <v>74</v>
      </c>
      <c r="BB509">
        <v>543</v>
      </c>
      <c r="BC509">
        <v>563</v>
      </c>
      <c r="BD509" t="s">
        <v>74</v>
      </c>
      <c r="BE509" t="s">
        <v>10452</v>
      </c>
      <c r="BF509" t="str">
        <f>HYPERLINK("http://dx.doi.org/10.1080/09524622.2020.1819877","http://dx.doi.org/10.1080/09524622.2020.1819877")</f>
        <v>http://dx.doi.org/10.1080/09524622.2020.1819877</v>
      </c>
      <c r="BG509" t="s">
        <v>74</v>
      </c>
      <c r="BH509" t="s">
        <v>9526</v>
      </c>
      <c r="BI509">
        <v>21</v>
      </c>
      <c r="BJ509" t="s">
        <v>1553</v>
      </c>
      <c r="BK509" t="s">
        <v>100</v>
      </c>
      <c r="BL509" t="s">
        <v>1553</v>
      </c>
      <c r="BM509" t="s">
        <v>10453</v>
      </c>
      <c r="BN509" t="s">
        <v>74</v>
      </c>
      <c r="BO509" t="s">
        <v>701</v>
      </c>
      <c r="BP509" t="s">
        <v>74</v>
      </c>
      <c r="BQ509" t="s">
        <v>74</v>
      </c>
      <c r="BR509" t="s">
        <v>104</v>
      </c>
      <c r="BS509" t="s">
        <v>10454</v>
      </c>
      <c r="BT509" t="str">
        <f>HYPERLINK("https%3A%2F%2Fwww.webofscience.com%2Fwos%2Fwoscc%2Ffull-record%2FWOS:000571309700001","View Full Record in Web of Science")</f>
        <v>View Full Record in Web of Science</v>
      </c>
    </row>
    <row r="510" spans="1:72" x14ac:dyDescent="0.15">
      <c r="A510" t="s">
        <v>72</v>
      </c>
      <c r="B510" t="s">
        <v>10455</v>
      </c>
      <c r="C510" t="s">
        <v>74</v>
      </c>
      <c r="D510" t="s">
        <v>74</v>
      </c>
      <c r="E510" t="s">
        <v>74</v>
      </c>
      <c r="F510" t="s">
        <v>10456</v>
      </c>
      <c r="G510" t="s">
        <v>74</v>
      </c>
      <c r="H510" t="s">
        <v>74</v>
      </c>
      <c r="I510" t="s">
        <v>10457</v>
      </c>
      <c r="J510" t="s">
        <v>10458</v>
      </c>
      <c r="K510" t="s">
        <v>74</v>
      </c>
      <c r="L510" t="s">
        <v>74</v>
      </c>
      <c r="M510" t="s">
        <v>78</v>
      </c>
      <c r="N510" t="s">
        <v>79</v>
      </c>
      <c r="O510" t="s">
        <v>74</v>
      </c>
      <c r="P510" t="s">
        <v>74</v>
      </c>
      <c r="Q510" t="s">
        <v>74</v>
      </c>
      <c r="R510" t="s">
        <v>74</v>
      </c>
      <c r="S510" t="s">
        <v>74</v>
      </c>
      <c r="T510" t="s">
        <v>10459</v>
      </c>
      <c r="U510" t="s">
        <v>10460</v>
      </c>
      <c r="V510" t="s">
        <v>10461</v>
      </c>
      <c r="W510" t="s">
        <v>10462</v>
      </c>
      <c r="X510" t="s">
        <v>10463</v>
      </c>
      <c r="Y510" t="s">
        <v>10464</v>
      </c>
      <c r="Z510" t="s">
        <v>10465</v>
      </c>
      <c r="AA510" t="s">
        <v>74</v>
      </c>
      <c r="AB510" t="s">
        <v>10466</v>
      </c>
      <c r="AC510" t="s">
        <v>10467</v>
      </c>
      <c r="AD510" t="s">
        <v>10468</v>
      </c>
      <c r="AE510" t="s">
        <v>10469</v>
      </c>
      <c r="AF510" t="s">
        <v>74</v>
      </c>
      <c r="AG510">
        <v>109</v>
      </c>
      <c r="AH510">
        <v>10</v>
      </c>
      <c r="AI510">
        <v>10</v>
      </c>
      <c r="AJ510">
        <v>1</v>
      </c>
      <c r="AK510">
        <v>12</v>
      </c>
      <c r="AL510" t="s">
        <v>275</v>
      </c>
      <c r="AM510" t="s">
        <v>276</v>
      </c>
      <c r="AN510" t="s">
        <v>277</v>
      </c>
      <c r="AO510" t="s">
        <v>10470</v>
      </c>
      <c r="AP510" t="s">
        <v>10471</v>
      </c>
      <c r="AQ510" t="s">
        <v>74</v>
      </c>
      <c r="AR510" t="s">
        <v>10472</v>
      </c>
      <c r="AS510" t="s">
        <v>10473</v>
      </c>
      <c r="AT510" t="s">
        <v>10474</v>
      </c>
      <c r="AU510">
        <v>2020</v>
      </c>
      <c r="AV510">
        <v>550</v>
      </c>
      <c r="AW510" t="s">
        <v>74</v>
      </c>
      <c r="AX510" t="s">
        <v>74</v>
      </c>
      <c r="AY510" t="s">
        <v>74</v>
      </c>
      <c r="AZ510" t="s">
        <v>74</v>
      </c>
      <c r="BA510" t="s">
        <v>74</v>
      </c>
      <c r="BB510" t="s">
        <v>74</v>
      </c>
      <c r="BC510" t="s">
        <v>74</v>
      </c>
      <c r="BD510">
        <v>119649</v>
      </c>
      <c r="BE510" t="s">
        <v>10475</v>
      </c>
      <c r="BF510" t="str">
        <f>HYPERLINK("http://dx.doi.org/10.1016/j.chemgeo.2020.119649","http://dx.doi.org/10.1016/j.chemgeo.2020.119649")</f>
        <v>http://dx.doi.org/10.1016/j.chemgeo.2020.119649</v>
      </c>
      <c r="BG510" t="s">
        <v>74</v>
      </c>
      <c r="BH510" t="s">
        <v>74</v>
      </c>
      <c r="BI510">
        <v>15</v>
      </c>
      <c r="BJ510" t="s">
        <v>1361</v>
      </c>
      <c r="BK510" t="s">
        <v>100</v>
      </c>
      <c r="BL510" t="s">
        <v>1361</v>
      </c>
      <c r="BM510" t="s">
        <v>10476</v>
      </c>
      <c r="BN510" t="s">
        <v>74</v>
      </c>
      <c r="BO510" t="s">
        <v>1188</v>
      </c>
      <c r="BP510" t="s">
        <v>74</v>
      </c>
      <c r="BQ510" t="s">
        <v>74</v>
      </c>
      <c r="BR510" t="s">
        <v>104</v>
      </c>
      <c r="BS510" t="s">
        <v>10477</v>
      </c>
      <c r="BT510" t="str">
        <f>HYPERLINK("https%3A%2F%2Fwww.webofscience.com%2Fwos%2Fwoscc%2Ffull-record%2FWOS:000562695700004","View Full Record in Web of Science")</f>
        <v>View Full Record in Web of Science</v>
      </c>
    </row>
    <row r="511" spans="1:72" x14ac:dyDescent="0.15">
      <c r="A511" t="s">
        <v>72</v>
      </c>
      <c r="B511" t="s">
        <v>10478</v>
      </c>
      <c r="C511" t="s">
        <v>74</v>
      </c>
      <c r="D511" t="s">
        <v>74</v>
      </c>
      <c r="E511" t="s">
        <v>74</v>
      </c>
      <c r="F511" t="s">
        <v>10479</v>
      </c>
      <c r="G511" t="s">
        <v>74</v>
      </c>
      <c r="H511" t="s">
        <v>74</v>
      </c>
      <c r="I511" t="s">
        <v>10480</v>
      </c>
      <c r="J511" t="s">
        <v>10481</v>
      </c>
      <c r="K511" t="s">
        <v>74</v>
      </c>
      <c r="L511" t="s">
        <v>74</v>
      </c>
      <c r="M511" t="s">
        <v>78</v>
      </c>
      <c r="N511" t="s">
        <v>79</v>
      </c>
      <c r="O511" t="s">
        <v>74</v>
      </c>
      <c r="P511" t="s">
        <v>74</v>
      </c>
      <c r="Q511" t="s">
        <v>74</v>
      </c>
      <c r="R511" t="s">
        <v>74</v>
      </c>
      <c r="S511" t="s">
        <v>74</v>
      </c>
      <c r="T511" t="s">
        <v>10482</v>
      </c>
      <c r="U511" t="s">
        <v>10483</v>
      </c>
      <c r="V511" t="s">
        <v>10484</v>
      </c>
      <c r="W511" t="s">
        <v>10485</v>
      </c>
      <c r="X511" t="s">
        <v>10486</v>
      </c>
      <c r="Y511" t="s">
        <v>10487</v>
      </c>
      <c r="Z511" t="s">
        <v>10488</v>
      </c>
      <c r="AA511" t="s">
        <v>74</v>
      </c>
      <c r="AB511" t="s">
        <v>10489</v>
      </c>
      <c r="AC511" t="s">
        <v>10490</v>
      </c>
      <c r="AD511" t="s">
        <v>10490</v>
      </c>
      <c r="AE511" t="s">
        <v>10491</v>
      </c>
      <c r="AF511" t="s">
        <v>74</v>
      </c>
      <c r="AG511">
        <v>64</v>
      </c>
      <c r="AH511">
        <v>2</v>
      </c>
      <c r="AI511">
        <v>2</v>
      </c>
      <c r="AJ511">
        <v>0</v>
      </c>
      <c r="AK511">
        <v>9</v>
      </c>
      <c r="AL511" t="s">
        <v>482</v>
      </c>
      <c r="AM511" t="s">
        <v>554</v>
      </c>
      <c r="AN511" t="s">
        <v>555</v>
      </c>
      <c r="AO511" t="s">
        <v>10492</v>
      </c>
      <c r="AP511" t="s">
        <v>10493</v>
      </c>
      <c r="AQ511" t="s">
        <v>74</v>
      </c>
      <c r="AR511" t="s">
        <v>10494</v>
      </c>
      <c r="AS511" t="s">
        <v>10495</v>
      </c>
      <c r="AT511" t="s">
        <v>6558</v>
      </c>
      <c r="AU511">
        <v>2020</v>
      </c>
      <c r="AV511">
        <v>28</v>
      </c>
      <c r="AW511">
        <v>5</v>
      </c>
      <c r="AX511" t="s">
        <v>74</v>
      </c>
      <c r="AY511" t="s">
        <v>74</v>
      </c>
      <c r="AZ511" t="s">
        <v>74</v>
      </c>
      <c r="BA511" t="s">
        <v>74</v>
      </c>
      <c r="BB511">
        <v>779</v>
      </c>
      <c r="BC511">
        <v>795</v>
      </c>
      <c r="BD511" t="s">
        <v>74</v>
      </c>
      <c r="BE511" t="s">
        <v>10496</v>
      </c>
      <c r="BF511" t="str">
        <f>HYPERLINK("http://dx.doi.org/10.1007/s11273-020-09748-7","http://dx.doi.org/10.1007/s11273-020-09748-7")</f>
        <v>http://dx.doi.org/10.1007/s11273-020-09748-7</v>
      </c>
      <c r="BG511" t="s">
        <v>74</v>
      </c>
      <c r="BH511" t="s">
        <v>9526</v>
      </c>
      <c r="BI511">
        <v>17</v>
      </c>
      <c r="BJ511" t="s">
        <v>10497</v>
      </c>
      <c r="BK511" t="s">
        <v>100</v>
      </c>
      <c r="BL511" t="s">
        <v>10498</v>
      </c>
      <c r="BM511" t="s">
        <v>10499</v>
      </c>
      <c r="BN511" t="s">
        <v>74</v>
      </c>
      <c r="BO511" t="s">
        <v>74</v>
      </c>
      <c r="BP511" t="s">
        <v>74</v>
      </c>
      <c r="BQ511" t="s">
        <v>74</v>
      </c>
      <c r="BR511" t="s">
        <v>104</v>
      </c>
      <c r="BS511" t="s">
        <v>10500</v>
      </c>
      <c r="BT511" t="str">
        <f>HYPERLINK("https%3A%2F%2Fwww.webofscience.com%2Fwos%2Fwoscc%2Ffull-record%2FWOS:000571032100002","View Full Record in Web of Science")</f>
        <v>View Full Record in Web of Science</v>
      </c>
    </row>
    <row r="512" spans="1:72" x14ac:dyDescent="0.15">
      <c r="A512" t="s">
        <v>72</v>
      </c>
      <c r="B512" t="s">
        <v>10501</v>
      </c>
      <c r="C512" t="s">
        <v>74</v>
      </c>
      <c r="D512" t="s">
        <v>74</v>
      </c>
      <c r="E512" t="s">
        <v>74</v>
      </c>
      <c r="F512" t="s">
        <v>10502</v>
      </c>
      <c r="G512" t="s">
        <v>74</v>
      </c>
      <c r="H512" t="s">
        <v>74</v>
      </c>
      <c r="I512" t="s">
        <v>10503</v>
      </c>
      <c r="J512" t="s">
        <v>445</v>
      </c>
      <c r="K512" t="s">
        <v>74</v>
      </c>
      <c r="L512" t="s">
        <v>74</v>
      </c>
      <c r="M512" t="s">
        <v>78</v>
      </c>
      <c r="N512" t="s">
        <v>79</v>
      </c>
      <c r="O512" t="s">
        <v>74</v>
      </c>
      <c r="P512" t="s">
        <v>74</v>
      </c>
      <c r="Q512" t="s">
        <v>74</v>
      </c>
      <c r="R512" t="s">
        <v>74</v>
      </c>
      <c r="S512" t="s">
        <v>74</v>
      </c>
      <c r="T512" t="s">
        <v>10504</v>
      </c>
      <c r="U512" t="s">
        <v>10505</v>
      </c>
      <c r="V512" t="s">
        <v>10506</v>
      </c>
      <c r="W512" t="s">
        <v>10507</v>
      </c>
      <c r="X512" t="s">
        <v>10508</v>
      </c>
      <c r="Y512" t="s">
        <v>10509</v>
      </c>
      <c r="Z512" t="s">
        <v>10510</v>
      </c>
      <c r="AA512" t="s">
        <v>10511</v>
      </c>
      <c r="AB512" t="s">
        <v>10512</v>
      </c>
      <c r="AC512" t="s">
        <v>10513</v>
      </c>
      <c r="AD512" t="s">
        <v>10514</v>
      </c>
      <c r="AE512" t="s">
        <v>10515</v>
      </c>
      <c r="AF512" t="s">
        <v>74</v>
      </c>
      <c r="AG512">
        <v>194</v>
      </c>
      <c r="AH512">
        <v>51</v>
      </c>
      <c r="AI512">
        <v>55</v>
      </c>
      <c r="AJ512">
        <v>4</v>
      </c>
      <c r="AK512">
        <v>62</v>
      </c>
      <c r="AL512" t="s">
        <v>219</v>
      </c>
      <c r="AM512" t="s">
        <v>220</v>
      </c>
      <c r="AN512" t="s">
        <v>221</v>
      </c>
      <c r="AO512" t="s">
        <v>458</v>
      </c>
      <c r="AP512" t="s">
        <v>459</v>
      </c>
      <c r="AQ512" t="s">
        <v>74</v>
      </c>
      <c r="AR512" t="s">
        <v>460</v>
      </c>
      <c r="AS512" t="s">
        <v>461</v>
      </c>
      <c r="AT512" t="s">
        <v>252</v>
      </c>
      <c r="AU512">
        <v>2021</v>
      </c>
      <c r="AV512">
        <v>22</v>
      </c>
      <c r="AW512">
        <v>1</v>
      </c>
      <c r="AX512" t="s">
        <v>74</v>
      </c>
      <c r="AY512" t="s">
        <v>74</v>
      </c>
      <c r="AZ512" t="s">
        <v>74</v>
      </c>
      <c r="BA512" t="s">
        <v>74</v>
      </c>
      <c r="BB512">
        <v>31</v>
      </c>
      <c r="BC512">
        <v>53</v>
      </c>
      <c r="BD512" t="s">
        <v>74</v>
      </c>
      <c r="BE512" t="s">
        <v>10516</v>
      </c>
      <c r="BF512" t="str">
        <f>HYPERLINK("http://dx.doi.org/10.1111/faf.12504","http://dx.doi.org/10.1111/faf.12504")</f>
        <v>http://dx.doi.org/10.1111/faf.12504</v>
      </c>
      <c r="BG512" t="s">
        <v>74</v>
      </c>
      <c r="BH512" t="s">
        <v>9526</v>
      </c>
      <c r="BI512">
        <v>23</v>
      </c>
      <c r="BJ512" t="s">
        <v>439</v>
      </c>
      <c r="BK512" t="s">
        <v>255</v>
      </c>
      <c r="BL512" t="s">
        <v>439</v>
      </c>
      <c r="BM512" t="s">
        <v>10230</v>
      </c>
      <c r="BN512" t="s">
        <v>74</v>
      </c>
      <c r="BO512" t="s">
        <v>74</v>
      </c>
      <c r="BP512" t="s">
        <v>74</v>
      </c>
      <c r="BQ512" t="s">
        <v>74</v>
      </c>
      <c r="BR512" t="s">
        <v>104</v>
      </c>
      <c r="BS512" t="s">
        <v>10517</v>
      </c>
      <c r="BT512" t="str">
        <f>HYPERLINK("https%3A%2F%2Fwww.webofscience.com%2Fwos%2Fwoscc%2Ffull-record%2FWOS:000570766900001","View Full Record in Web of Science")</f>
        <v>View Full Record in Web of Science</v>
      </c>
    </row>
    <row r="513" spans="1:72" x14ac:dyDescent="0.15">
      <c r="A513" t="s">
        <v>72</v>
      </c>
      <c r="B513" t="s">
        <v>10518</v>
      </c>
      <c r="C513" t="s">
        <v>74</v>
      </c>
      <c r="D513" t="s">
        <v>74</v>
      </c>
      <c r="E513" t="s">
        <v>74</v>
      </c>
      <c r="F513" t="s">
        <v>10519</v>
      </c>
      <c r="G513" t="s">
        <v>74</v>
      </c>
      <c r="H513" t="s">
        <v>74</v>
      </c>
      <c r="I513" t="s">
        <v>10520</v>
      </c>
      <c r="J513" t="s">
        <v>1170</v>
      </c>
      <c r="K513" t="s">
        <v>74</v>
      </c>
      <c r="L513" t="s">
        <v>74</v>
      </c>
      <c r="M513" t="s">
        <v>78</v>
      </c>
      <c r="N513" t="s">
        <v>79</v>
      </c>
      <c r="O513" t="s">
        <v>74</v>
      </c>
      <c r="P513" t="s">
        <v>74</v>
      </c>
      <c r="Q513" t="s">
        <v>74</v>
      </c>
      <c r="R513" t="s">
        <v>74</v>
      </c>
      <c r="S513" t="s">
        <v>74</v>
      </c>
      <c r="T513" t="s">
        <v>10521</v>
      </c>
      <c r="U513" t="s">
        <v>10522</v>
      </c>
      <c r="V513" t="s">
        <v>10523</v>
      </c>
      <c r="W513" t="s">
        <v>10524</v>
      </c>
      <c r="X513" t="s">
        <v>10525</v>
      </c>
      <c r="Y513" t="s">
        <v>10526</v>
      </c>
      <c r="Z513" t="s">
        <v>10527</v>
      </c>
      <c r="AA513" t="s">
        <v>74</v>
      </c>
      <c r="AB513" t="s">
        <v>10528</v>
      </c>
      <c r="AC513" t="s">
        <v>10529</v>
      </c>
      <c r="AD513" t="s">
        <v>10529</v>
      </c>
      <c r="AE513" t="s">
        <v>10530</v>
      </c>
      <c r="AF513" t="s">
        <v>74</v>
      </c>
      <c r="AG513">
        <v>82</v>
      </c>
      <c r="AH513">
        <v>2</v>
      </c>
      <c r="AI513">
        <v>2</v>
      </c>
      <c r="AJ513">
        <v>1</v>
      </c>
      <c r="AK513">
        <v>8</v>
      </c>
      <c r="AL513" t="s">
        <v>219</v>
      </c>
      <c r="AM513" t="s">
        <v>220</v>
      </c>
      <c r="AN513" t="s">
        <v>221</v>
      </c>
      <c r="AO513" t="s">
        <v>1181</v>
      </c>
      <c r="AP513" t="s">
        <v>1182</v>
      </c>
      <c r="AQ513" t="s">
        <v>74</v>
      </c>
      <c r="AR513" t="s">
        <v>1183</v>
      </c>
      <c r="AS513" t="s">
        <v>1184</v>
      </c>
      <c r="AT513" t="s">
        <v>252</v>
      </c>
      <c r="AU513">
        <v>2021</v>
      </c>
      <c r="AV513">
        <v>37</v>
      </c>
      <c r="AW513">
        <v>1</v>
      </c>
      <c r="AX513" t="s">
        <v>74</v>
      </c>
      <c r="AY513" t="s">
        <v>74</v>
      </c>
      <c r="AZ513" t="s">
        <v>74</v>
      </c>
      <c r="BA513" t="s">
        <v>74</v>
      </c>
      <c r="BB513">
        <v>290</v>
      </c>
      <c r="BC513">
        <v>313</v>
      </c>
      <c r="BD513" t="s">
        <v>74</v>
      </c>
      <c r="BE513" t="s">
        <v>10531</v>
      </c>
      <c r="BF513" t="str">
        <f>HYPERLINK("http://dx.doi.org/10.1111/mms.12741","http://dx.doi.org/10.1111/mms.12741")</f>
        <v>http://dx.doi.org/10.1111/mms.12741</v>
      </c>
      <c r="BG513" t="s">
        <v>74</v>
      </c>
      <c r="BH513" t="s">
        <v>9526</v>
      </c>
      <c r="BI513">
        <v>24</v>
      </c>
      <c r="BJ513" t="s">
        <v>1186</v>
      </c>
      <c r="BK513" t="s">
        <v>100</v>
      </c>
      <c r="BL513" t="s">
        <v>1186</v>
      </c>
      <c r="BM513" t="s">
        <v>10532</v>
      </c>
      <c r="BN513" t="s">
        <v>74</v>
      </c>
      <c r="BO513" t="s">
        <v>74</v>
      </c>
      <c r="BP513" t="s">
        <v>74</v>
      </c>
      <c r="BQ513" t="s">
        <v>74</v>
      </c>
      <c r="BR513" t="s">
        <v>104</v>
      </c>
      <c r="BS513" t="s">
        <v>10533</v>
      </c>
      <c r="BT513" t="str">
        <f>HYPERLINK("https%3A%2F%2Fwww.webofscience.com%2Fwos%2Fwoscc%2Ffull-record%2FWOS:000570737300001","View Full Record in Web of Science")</f>
        <v>View Full Record in Web of Science</v>
      </c>
    </row>
    <row r="514" spans="1:72" x14ac:dyDescent="0.15">
      <c r="A514" t="s">
        <v>72</v>
      </c>
      <c r="B514" t="s">
        <v>10534</v>
      </c>
      <c r="C514" t="s">
        <v>74</v>
      </c>
      <c r="D514" t="s">
        <v>74</v>
      </c>
      <c r="E514" t="s">
        <v>74</v>
      </c>
      <c r="F514" t="s">
        <v>10535</v>
      </c>
      <c r="G514" t="s">
        <v>74</v>
      </c>
      <c r="H514" t="s">
        <v>74</v>
      </c>
      <c r="I514" t="s">
        <v>10536</v>
      </c>
      <c r="J514" t="s">
        <v>10537</v>
      </c>
      <c r="K514" t="s">
        <v>74</v>
      </c>
      <c r="L514" t="s">
        <v>74</v>
      </c>
      <c r="M514" t="s">
        <v>78</v>
      </c>
      <c r="N514" t="s">
        <v>79</v>
      </c>
      <c r="O514" t="s">
        <v>74</v>
      </c>
      <c r="P514" t="s">
        <v>74</v>
      </c>
      <c r="Q514" t="s">
        <v>74</v>
      </c>
      <c r="R514" t="s">
        <v>74</v>
      </c>
      <c r="S514" t="s">
        <v>74</v>
      </c>
      <c r="T514" t="s">
        <v>10538</v>
      </c>
      <c r="U514" t="s">
        <v>10539</v>
      </c>
      <c r="V514" t="s">
        <v>10540</v>
      </c>
      <c r="W514" t="s">
        <v>10541</v>
      </c>
      <c r="X514" t="s">
        <v>10542</v>
      </c>
      <c r="Y514" t="s">
        <v>1539</v>
      </c>
      <c r="Z514" t="s">
        <v>1540</v>
      </c>
      <c r="AA514" t="s">
        <v>10543</v>
      </c>
      <c r="AB514" t="s">
        <v>10544</v>
      </c>
      <c r="AC514" t="s">
        <v>10545</v>
      </c>
      <c r="AD514" t="s">
        <v>10546</v>
      </c>
      <c r="AE514" t="s">
        <v>10547</v>
      </c>
      <c r="AF514" t="s">
        <v>74</v>
      </c>
      <c r="AG514">
        <v>157</v>
      </c>
      <c r="AH514">
        <v>30</v>
      </c>
      <c r="AI514">
        <v>31</v>
      </c>
      <c r="AJ514">
        <v>3</v>
      </c>
      <c r="AK514">
        <v>42</v>
      </c>
      <c r="AL514" t="s">
        <v>219</v>
      </c>
      <c r="AM514" t="s">
        <v>220</v>
      </c>
      <c r="AN514" t="s">
        <v>221</v>
      </c>
      <c r="AO514" t="s">
        <v>10548</v>
      </c>
      <c r="AP514" t="s">
        <v>10549</v>
      </c>
      <c r="AQ514" t="s">
        <v>74</v>
      </c>
      <c r="AR514" t="s">
        <v>10550</v>
      </c>
      <c r="AS514" t="s">
        <v>10551</v>
      </c>
      <c r="AT514" t="s">
        <v>252</v>
      </c>
      <c r="AU514">
        <v>2021</v>
      </c>
      <c r="AV514">
        <v>313</v>
      </c>
      <c r="AW514">
        <v>1</v>
      </c>
      <c r="AX514" t="s">
        <v>74</v>
      </c>
      <c r="AY514" t="s">
        <v>74</v>
      </c>
      <c r="AZ514" t="s">
        <v>74</v>
      </c>
      <c r="BA514" t="s">
        <v>74</v>
      </c>
      <c r="BB514">
        <v>18</v>
      </c>
      <c r="BC514">
        <v>36</v>
      </c>
      <c r="BD514" t="s">
        <v>74</v>
      </c>
      <c r="BE514" t="s">
        <v>10552</v>
      </c>
      <c r="BF514" t="str">
        <f>HYPERLINK("http://dx.doi.org/10.1111/jzo.12832","http://dx.doi.org/10.1111/jzo.12832")</f>
        <v>http://dx.doi.org/10.1111/jzo.12832</v>
      </c>
      <c r="BG514" t="s">
        <v>74</v>
      </c>
      <c r="BH514" t="s">
        <v>9526</v>
      </c>
      <c r="BI514">
        <v>19</v>
      </c>
      <c r="BJ514" t="s">
        <v>1553</v>
      </c>
      <c r="BK514" t="s">
        <v>100</v>
      </c>
      <c r="BL514" t="s">
        <v>1553</v>
      </c>
      <c r="BM514" t="s">
        <v>10553</v>
      </c>
      <c r="BN514" t="s">
        <v>74</v>
      </c>
      <c r="BO514" t="s">
        <v>701</v>
      </c>
      <c r="BP514" t="s">
        <v>74</v>
      </c>
      <c r="BQ514" t="s">
        <v>74</v>
      </c>
      <c r="BR514" t="s">
        <v>104</v>
      </c>
      <c r="BS514" t="s">
        <v>10554</v>
      </c>
      <c r="BT514" t="str">
        <f>HYPERLINK("https%3A%2F%2Fwww.webofscience.com%2Fwos%2Fwoscc%2Ffull-record%2FWOS:000570880300001","View Full Record in Web of Science")</f>
        <v>View Full Record in Web of Science</v>
      </c>
    </row>
    <row r="515" spans="1:72" x14ac:dyDescent="0.15">
      <c r="A515" t="s">
        <v>72</v>
      </c>
      <c r="B515" t="s">
        <v>10555</v>
      </c>
      <c r="C515" t="s">
        <v>74</v>
      </c>
      <c r="D515" t="s">
        <v>74</v>
      </c>
      <c r="E515" t="s">
        <v>74</v>
      </c>
      <c r="F515" t="s">
        <v>10556</v>
      </c>
      <c r="G515" t="s">
        <v>74</v>
      </c>
      <c r="H515" t="s">
        <v>74</v>
      </c>
      <c r="I515" t="s">
        <v>10557</v>
      </c>
      <c r="J515" t="s">
        <v>901</v>
      </c>
      <c r="K515" t="s">
        <v>74</v>
      </c>
      <c r="L515" t="s">
        <v>74</v>
      </c>
      <c r="M515" t="s">
        <v>78</v>
      </c>
      <c r="N515" t="s">
        <v>79</v>
      </c>
      <c r="O515" t="s">
        <v>74</v>
      </c>
      <c r="P515" t="s">
        <v>74</v>
      </c>
      <c r="Q515" t="s">
        <v>74</v>
      </c>
      <c r="R515" t="s">
        <v>74</v>
      </c>
      <c r="S515" t="s">
        <v>74</v>
      </c>
      <c r="T515" t="s">
        <v>10558</v>
      </c>
      <c r="U515" t="s">
        <v>10559</v>
      </c>
      <c r="V515" t="s">
        <v>10560</v>
      </c>
      <c r="W515" t="s">
        <v>10561</v>
      </c>
      <c r="X515" t="s">
        <v>10562</v>
      </c>
      <c r="Y515" t="s">
        <v>10563</v>
      </c>
      <c r="Z515" t="s">
        <v>10564</v>
      </c>
      <c r="AA515" t="s">
        <v>10565</v>
      </c>
      <c r="AB515" t="s">
        <v>10566</v>
      </c>
      <c r="AC515" t="s">
        <v>10567</v>
      </c>
      <c r="AD515" t="s">
        <v>10568</v>
      </c>
      <c r="AE515" t="s">
        <v>10569</v>
      </c>
      <c r="AF515" t="s">
        <v>74</v>
      </c>
      <c r="AG515">
        <v>67</v>
      </c>
      <c r="AH515">
        <v>9</v>
      </c>
      <c r="AI515">
        <v>9</v>
      </c>
      <c r="AJ515">
        <v>1</v>
      </c>
      <c r="AK515">
        <v>7</v>
      </c>
      <c r="AL515" t="s">
        <v>866</v>
      </c>
      <c r="AM515" t="s">
        <v>867</v>
      </c>
      <c r="AN515" t="s">
        <v>868</v>
      </c>
      <c r="AO515" t="s">
        <v>74</v>
      </c>
      <c r="AP515" t="s">
        <v>914</v>
      </c>
      <c r="AQ515" t="s">
        <v>74</v>
      </c>
      <c r="AR515" t="s">
        <v>915</v>
      </c>
      <c r="AS515" t="s">
        <v>916</v>
      </c>
      <c r="AT515" t="s">
        <v>10570</v>
      </c>
      <c r="AU515">
        <v>2020</v>
      </c>
      <c r="AV515">
        <v>7</v>
      </c>
      <c r="AW515" t="s">
        <v>74</v>
      </c>
      <c r="AX515" t="s">
        <v>74</v>
      </c>
      <c r="AY515" t="s">
        <v>74</v>
      </c>
      <c r="AZ515" t="s">
        <v>74</v>
      </c>
      <c r="BA515" t="s">
        <v>74</v>
      </c>
      <c r="BB515" t="s">
        <v>74</v>
      </c>
      <c r="BC515" t="s">
        <v>74</v>
      </c>
      <c r="BD515">
        <v>572166</v>
      </c>
      <c r="BE515" t="s">
        <v>10571</v>
      </c>
      <c r="BF515" t="str">
        <f>HYPERLINK("http://dx.doi.org/10.3389/fmars.2020.572166","http://dx.doi.org/10.3389/fmars.2020.572166")</f>
        <v>http://dx.doi.org/10.3389/fmars.2020.572166</v>
      </c>
      <c r="BG515" t="s">
        <v>74</v>
      </c>
      <c r="BH515" t="s">
        <v>74</v>
      </c>
      <c r="BI515">
        <v>17</v>
      </c>
      <c r="BJ515" t="s">
        <v>918</v>
      </c>
      <c r="BK515" t="s">
        <v>100</v>
      </c>
      <c r="BL515" t="s">
        <v>919</v>
      </c>
      <c r="BM515" t="s">
        <v>10572</v>
      </c>
      <c r="BN515" t="s">
        <v>74</v>
      </c>
      <c r="BO515" t="s">
        <v>202</v>
      </c>
      <c r="BP515" t="s">
        <v>74</v>
      </c>
      <c r="BQ515" t="s">
        <v>74</v>
      </c>
      <c r="BR515" t="s">
        <v>104</v>
      </c>
      <c r="BS515" t="s">
        <v>10573</v>
      </c>
      <c r="BT515" t="str">
        <f>HYPERLINK("https%3A%2F%2Fwww.webofscience.com%2Fwos%2Fwoscc%2Ffull-record%2FWOS:000573886700001","View Full Record in Web of Science")</f>
        <v>View Full Record in Web of Science</v>
      </c>
    </row>
    <row r="516" spans="1:72" x14ac:dyDescent="0.15">
      <c r="A516" t="s">
        <v>72</v>
      </c>
      <c r="B516" t="s">
        <v>10574</v>
      </c>
      <c r="C516" t="s">
        <v>74</v>
      </c>
      <c r="D516" t="s">
        <v>74</v>
      </c>
      <c r="E516" t="s">
        <v>74</v>
      </c>
      <c r="F516" t="s">
        <v>10575</v>
      </c>
      <c r="G516" t="s">
        <v>74</v>
      </c>
      <c r="H516" t="s">
        <v>74</v>
      </c>
      <c r="I516" t="s">
        <v>10576</v>
      </c>
      <c r="J516" t="s">
        <v>10577</v>
      </c>
      <c r="K516" t="s">
        <v>74</v>
      </c>
      <c r="L516" t="s">
        <v>74</v>
      </c>
      <c r="M516" t="s">
        <v>78</v>
      </c>
      <c r="N516" t="s">
        <v>79</v>
      </c>
      <c r="O516" t="s">
        <v>74</v>
      </c>
      <c r="P516" t="s">
        <v>74</v>
      </c>
      <c r="Q516" t="s">
        <v>74</v>
      </c>
      <c r="R516" t="s">
        <v>74</v>
      </c>
      <c r="S516" t="s">
        <v>74</v>
      </c>
      <c r="T516" t="s">
        <v>10578</v>
      </c>
      <c r="U516" t="s">
        <v>10579</v>
      </c>
      <c r="V516" t="s">
        <v>10580</v>
      </c>
      <c r="W516" t="s">
        <v>10581</v>
      </c>
      <c r="X516" t="s">
        <v>10582</v>
      </c>
      <c r="Y516" t="s">
        <v>10583</v>
      </c>
      <c r="Z516" t="s">
        <v>10584</v>
      </c>
      <c r="AA516" t="s">
        <v>10585</v>
      </c>
      <c r="AB516" t="s">
        <v>10586</v>
      </c>
      <c r="AC516" t="s">
        <v>10587</v>
      </c>
      <c r="AD516" t="s">
        <v>10588</v>
      </c>
      <c r="AE516" t="s">
        <v>10589</v>
      </c>
      <c r="AF516" t="s">
        <v>74</v>
      </c>
      <c r="AG516">
        <v>39</v>
      </c>
      <c r="AH516">
        <v>2</v>
      </c>
      <c r="AI516">
        <v>2</v>
      </c>
      <c r="AJ516">
        <v>0</v>
      </c>
      <c r="AK516">
        <v>5</v>
      </c>
      <c r="AL516" t="s">
        <v>219</v>
      </c>
      <c r="AM516" t="s">
        <v>220</v>
      </c>
      <c r="AN516" t="s">
        <v>221</v>
      </c>
      <c r="AO516" t="s">
        <v>10590</v>
      </c>
      <c r="AP516" t="s">
        <v>10591</v>
      </c>
      <c r="AQ516" t="s">
        <v>74</v>
      </c>
      <c r="AR516" t="s">
        <v>10592</v>
      </c>
      <c r="AS516" t="s">
        <v>10593</v>
      </c>
      <c r="AT516" t="s">
        <v>252</v>
      </c>
      <c r="AU516">
        <v>2021</v>
      </c>
      <c r="AV516">
        <v>36</v>
      </c>
      <c r="AW516">
        <v>1</v>
      </c>
      <c r="AX516" t="s">
        <v>74</v>
      </c>
      <c r="AY516" t="s">
        <v>74</v>
      </c>
      <c r="AZ516" t="s">
        <v>74</v>
      </c>
      <c r="BA516" t="s">
        <v>74</v>
      </c>
      <c r="BB516">
        <v>20</v>
      </c>
      <c r="BC516">
        <v>28</v>
      </c>
      <c r="BD516" t="s">
        <v>74</v>
      </c>
      <c r="BE516" t="s">
        <v>10594</v>
      </c>
      <c r="BF516" t="str">
        <f>HYPERLINK("http://dx.doi.org/10.1002/jqs.3245","http://dx.doi.org/10.1002/jqs.3245")</f>
        <v>http://dx.doi.org/10.1002/jqs.3245</v>
      </c>
      <c r="BG516" t="s">
        <v>74</v>
      </c>
      <c r="BH516" t="s">
        <v>9526</v>
      </c>
      <c r="BI516">
        <v>9</v>
      </c>
      <c r="BJ516" t="s">
        <v>99</v>
      </c>
      <c r="BK516" t="s">
        <v>100</v>
      </c>
      <c r="BL516" t="s">
        <v>101</v>
      </c>
      <c r="BM516" t="s">
        <v>10595</v>
      </c>
      <c r="BN516" t="s">
        <v>74</v>
      </c>
      <c r="BO516" t="s">
        <v>8811</v>
      </c>
      <c r="BP516" t="s">
        <v>74</v>
      </c>
      <c r="BQ516" t="s">
        <v>74</v>
      </c>
      <c r="BR516" t="s">
        <v>104</v>
      </c>
      <c r="BS516" t="s">
        <v>10596</v>
      </c>
      <c r="BT516" t="str">
        <f>HYPERLINK("https%3A%2F%2Fwww.webofscience.com%2Fwos%2Fwoscc%2Ffull-record%2FWOS:000571663700001","View Full Record in Web of Science")</f>
        <v>View Full Record in Web of Science</v>
      </c>
    </row>
    <row r="517" spans="1:72" x14ac:dyDescent="0.15">
      <c r="A517" t="s">
        <v>72</v>
      </c>
      <c r="B517" t="s">
        <v>10597</v>
      </c>
      <c r="C517" t="s">
        <v>74</v>
      </c>
      <c r="D517" t="s">
        <v>74</v>
      </c>
      <c r="E517" t="s">
        <v>74</v>
      </c>
      <c r="F517" t="s">
        <v>10598</v>
      </c>
      <c r="G517" t="s">
        <v>74</v>
      </c>
      <c r="H517" t="s">
        <v>74</v>
      </c>
      <c r="I517" t="s">
        <v>10599</v>
      </c>
      <c r="J517" t="s">
        <v>878</v>
      </c>
      <c r="K517" t="s">
        <v>74</v>
      </c>
      <c r="L517" t="s">
        <v>74</v>
      </c>
      <c r="M517" t="s">
        <v>78</v>
      </c>
      <c r="N517" t="s">
        <v>79</v>
      </c>
      <c r="O517" t="s">
        <v>74</v>
      </c>
      <c r="P517" t="s">
        <v>74</v>
      </c>
      <c r="Q517" t="s">
        <v>74</v>
      </c>
      <c r="R517" t="s">
        <v>74</v>
      </c>
      <c r="S517" t="s">
        <v>74</v>
      </c>
      <c r="T517" t="s">
        <v>10600</v>
      </c>
      <c r="U517" t="s">
        <v>10601</v>
      </c>
      <c r="V517" t="s">
        <v>10602</v>
      </c>
      <c r="W517" t="s">
        <v>10603</v>
      </c>
      <c r="X517" t="s">
        <v>10604</v>
      </c>
      <c r="Y517" t="s">
        <v>10605</v>
      </c>
      <c r="Z517" t="s">
        <v>10606</v>
      </c>
      <c r="AA517" t="s">
        <v>10607</v>
      </c>
      <c r="AB517" t="s">
        <v>10608</v>
      </c>
      <c r="AC517" t="s">
        <v>10609</v>
      </c>
      <c r="AD517" t="s">
        <v>5420</v>
      </c>
      <c r="AE517" t="s">
        <v>10610</v>
      </c>
      <c r="AF517" t="s">
        <v>74</v>
      </c>
      <c r="AG517">
        <v>69</v>
      </c>
      <c r="AH517">
        <v>13</v>
      </c>
      <c r="AI517">
        <v>16</v>
      </c>
      <c r="AJ517">
        <v>5</v>
      </c>
      <c r="AK517">
        <v>20</v>
      </c>
      <c r="AL517" t="s">
        <v>482</v>
      </c>
      <c r="AM517" t="s">
        <v>483</v>
      </c>
      <c r="AN517" t="s">
        <v>484</v>
      </c>
      <c r="AO517" t="s">
        <v>891</v>
      </c>
      <c r="AP517" t="s">
        <v>892</v>
      </c>
      <c r="AQ517" t="s">
        <v>74</v>
      </c>
      <c r="AR517" t="s">
        <v>878</v>
      </c>
      <c r="AS517" t="s">
        <v>893</v>
      </c>
      <c r="AT517" t="s">
        <v>10611</v>
      </c>
      <c r="AU517">
        <v>2021</v>
      </c>
      <c r="AV517">
        <v>24</v>
      </c>
      <c r="AW517">
        <v>4</v>
      </c>
      <c r="AX517" t="s">
        <v>74</v>
      </c>
      <c r="AY517" t="s">
        <v>74</v>
      </c>
      <c r="AZ517" t="s">
        <v>74</v>
      </c>
      <c r="BA517" t="s">
        <v>74</v>
      </c>
      <c r="BB517">
        <v>891</v>
      </c>
      <c r="BC517">
        <v>910</v>
      </c>
      <c r="BD517" t="s">
        <v>74</v>
      </c>
      <c r="BE517" t="s">
        <v>10612</v>
      </c>
      <c r="BF517" t="str">
        <f>HYPERLINK("http://dx.doi.org/10.1007/s10021-020-00559-8","http://dx.doi.org/10.1007/s10021-020-00559-8")</f>
        <v>http://dx.doi.org/10.1007/s10021-020-00559-8</v>
      </c>
      <c r="BG517" t="s">
        <v>74</v>
      </c>
      <c r="BH517" t="s">
        <v>9526</v>
      </c>
      <c r="BI517">
        <v>20</v>
      </c>
      <c r="BJ517" t="s">
        <v>823</v>
      </c>
      <c r="BK517" t="s">
        <v>100</v>
      </c>
      <c r="BL517" t="s">
        <v>284</v>
      </c>
      <c r="BM517" t="s">
        <v>10613</v>
      </c>
      <c r="BN517" t="s">
        <v>74</v>
      </c>
      <c r="BO517" t="s">
        <v>74</v>
      </c>
      <c r="BP517" t="s">
        <v>74</v>
      </c>
      <c r="BQ517" t="s">
        <v>74</v>
      </c>
      <c r="BR517" t="s">
        <v>104</v>
      </c>
      <c r="BS517" t="s">
        <v>10614</v>
      </c>
      <c r="BT517" t="str">
        <f>HYPERLINK("https%3A%2F%2Fwww.webofscience.com%2Fwos%2Fwoscc%2Ffull-record%2FWOS:000570840100001","View Full Record in Web of Science")</f>
        <v>View Full Record in Web of Science</v>
      </c>
    </row>
    <row r="518" spans="1:72" x14ac:dyDescent="0.15">
      <c r="A518" t="s">
        <v>72</v>
      </c>
      <c r="B518" t="s">
        <v>10615</v>
      </c>
      <c r="C518" t="s">
        <v>74</v>
      </c>
      <c r="D518" t="s">
        <v>74</v>
      </c>
      <c r="E518" t="s">
        <v>74</v>
      </c>
      <c r="F518" t="s">
        <v>10616</v>
      </c>
      <c r="G518" t="s">
        <v>74</v>
      </c>
      <c r="H518" t="s">
        <v>74</v>
      </c>
      <c r="I518" t="s">
        <v>10617</v>
      </c>
      <c r="J518" t="s">
        <v>1063</v>
      </c>
      <c r="K518" t="s">
        <v>74</v>
      </c>
      <c r="L518" t="s">
        <v>74</v>
      </c>
      <c r="M518" t="s">
        <v>78</v>
      </c>
      <c r="N518" t="s">
        <v>79</v>
      </c>
      <c r="O518" t="s">
        <v>74</v>
      </c>
      <c r="P518" t="s">
        <v>74</v>
      </c>
      <c r="Q518" t="s">
        <v>74</v>
      </c>
      <c r="R518" t="s">
        <v>74</v>
      </c>
      <c r="S518" t="s">
        <v>74</v>
      </c>
      <c r="T518" t="s">
        <v>10618</v>
      </c>
      <c r="U518" t="s">
        <v>10619</v>
      </c>
      <c r="V518" t="s">
        <v>10620</v>
      </c>
      <c r="W518" t="s">
        <v>10621</v>
      </c>
      <c r="X518" t="s">
        <v>10622</v>
      </c>
      <c r="Y518" t="s">
        <v>10623</v>
      </c>
      <c r="Z518" t="s">
        <v>10624</v>
      </c>
      <c r="AA518" t="s">
        <v>10625</v>
      </c>
      <c r="AB518" t="s">
        <v>10626</v>
      </c>
      <c r="AC518" t="s">
        <v>10627</v>
      </c>
      <c r="AD518" t="s">
        <v>10628</v>
      </c>
      <c r="AE518" t="s">
        <v>10629</v>
      </c>
      <c r="AF518" t="s">
        <v>74</v>
      </c>
      <c r="AG518">
        <v>65</v>
      </c>
      <c r="AH518">
        <v>16</v>
      </c>
      <c r="AI518">
        <v>17</v>
      </c>
      <c r="AJ518">
        <v>1</v>
      </c>
      <c r="AK518">
        <v>16</v>
      </c>
      <c r="AL518" t="s">
        <v>482</v>
      </c>
      <c r="AM518" t="s">
        <v>483</v>
      </c>
      <c r="AN518" t="s">
        <v>484</v>
      </c>
      <c r="AO518" t="s">
        <v>1075</v>
      </c>
      <c r="AP518" t="s">
        <v>1076</v>
      </c>
      <c r="AQ518" t="s">
        <v>74</v>
      </c>
      <c r="AR518" t="s">
        <v>1077</v>
      </c>
      <c r="AS518" t="s">
        <v>1078</v>
      </c>
      <c r="AT518" t="s">
        <v>1212</v>
      </c>
      <c r="AU518">
        <v>2020</v>
      </c>
      <c r="AV518">
        <v>43</v>
      </c>
      <c r="AW518">
        <v>11</v>
      </c>
      <c r="AX518" t="s">
        <v>74</v>
      </c>
      <c r="AY518" t="s">
        <v>74</v>
      </c>
      <c r="AZ518" t="s">
        <v>74</v>
      </c>
      <c r="BA518" t="s">
        <v>74</v>
      </c>
      <c r="BB518">
        <v>1753</v>
      </c>
      <c r="BC518">
        <v>1767</v>
      </c>
      <c r="BD518" t="s">
        <v>74</v>
      </c>
      <c r="BE518" t="s">
        <v>10630</v>
      </c>
      <c r="BF518" t="str">
        <f>HYPERLINK("http://dx.doi.org/10.1007/s00300-020-02742-y","http://dx.doi.org/10.1007/s00300-020-02742-y")</f>
        <v>http://dx.doi.org/10.1007/s00300-020-02742-y</v>
      </c>
      <c r="BG518" t="s">
        <v>74</v>
      </c>
      <c r="BH518" t="s">
        <v>9526</v>
      </c>
      <c r="BI518">
        <v>15</v>
      </c>
      <c r="BJ518" t="s">
        <v>1080</v>
      </c>
      <c r="BK518" t="s">
        <v>100</v>
      </c>
      <c r="BL518" t="s">
        <v>256</v>
      </c>
      <c r="BM518" t="s">
        <v>9540</v>
      </c>
      <c r="BN518" t="s">
        <v>74</v>
      </c>
      <c r="BO518" t="s">
        <v>74</v>
      </c>
      <c r="BP518" t="s">
        <v>74</v>
      </c>
      <c r="BQ518" t="s">
        <v>74</v>
      </c>
      <c r="BR518" t="s">
        <v>104</v>
      </c>
      <c r="BS518" t="s">
        <v>10631</v>
      </c>
      <c r="BT518" t="str">
        <f>HYPERLINK("https%3A%2F%2Fwww.webofscience.com%2Fwos%2Fwoscc%2Ffull-record%2FWOS:000570814800001","View Full Record in Web of Science")</f>
        <v>View Full Record in Web of Science</v>
      </c>
    </row>
    <row r="519" spans="1:72" x14ac:dyDescent="0.15">
      <c r="A519" t="s">
        <v>72</v>
      </c>
      <c r="B519" t="s">
        <v>10632</v>
      </c>
      <c r="C519" t="s">
        <v>74</v>
      </c>
      <c r="D519" t="s">
        <v>74</v>
      </c>
      <c r="E519" t="s">
        <v>74</v>
      </c>
      <c r="F519" t="s">
        <v>10633</v>
      </c>
      <c r="G519" t="s">
        <v>74</v>
      </c>
      <c r="H519" t="s">
        <v>74</v>
      </c>
      <c r="I519" t="s">
        <v>10634</v>
      </c>
      <c r="J519" t="s">
        <v>1063</v>
      </c>
      <c r="K519" t="s">
        <v>74</v>
      </c>
      <c r="L519" t="s">
        <v>74</v>
      </c>
      <c r="M519" t="s">
        <v>78</v>
      </c>
      <c r="N519" t="s">
        <v>79</v>
      </c>
      <c r="O519" t="s">
        <v>74</v>
      </c>
      <c r="P519" t="s">
        <v>74</v>
      </c>
      <c r="Q519" t="s">
        <v>74</v>
      </c>
      <c r="R519" t="s">
        <v>74</v>
      </c>
      <c r="S519" t="s">
        <v>74</v>
      </c>
      <c r="T519" t="s">
        <v>10635</v>
      </c>
      <c r="U519" t="s">
        <v>10636</v>
      </c>
      <c r="V519" t="s">
        <v>10637</v>
      </c>
      <c r="W519" t="s">
        <v>10638</v>
      </c>
      <c r="X519" t="s">
        <v>10639</v>
      </c>
      <c r="Y519" t="s">
        <v>10640</v>
      </c>
      <c r="Z519" t="s">
        <v>10641</v>
      </c>
      <c r="AA519" t="s">
        <v>10642</v>
      </c>
      <c r="AB519" t="s">
        <v>10643</v>
      </c>
      <c r="AC519" t="s">
        <v>10644</v>
      </c>
      <c r="AD519" t="s">
        <v>10645</v>
      </c>
      <c r="AE519" t="s">
        <v>10646</v>
      </c>
      <c r="AF519" t="s">
        <v>74</v>
      </c>
      <c r="AG519">
        <v>55</v>
      </c>
      <c r="AH519">
        <v>8</v>
      </c>
      <c r="AI519">
        <v>9</v>
      </c>
      <c r="AJ519">
        <v>0</v>
      </c>
      <c r="AK519">
        <v>6</v>
      </c>
      <c r="AL519" t="s">
        <v>482</v>
      </c>
      <c r="AM519" t="s">
        <v>483</v>
      </c>
      <c r="AN519" t="s">
        <v>484</v>
      </c>
      <c r="AO519" t="s">
        <v>1075</v>
      </c>
      <c r="AP519" t="s">
        <v>1076</v>
      </c>
      <c r="AQ519" t="s">
        <v>74</v>
      </c>
      <c r="AR519" t="s">
        <v>1077</v>
      </c>
      <c r="AS519" t="s">
        <v>1078</v>
      </c>
      <c r="AT519" t="s">
        <v>1212</v>
      </c>
      <c r="AU519">
        <v>2020</v>
      </c>
      <c r="AV519">
        <v>43</v>
      </c>
      <c r="AW519">
        <v>11</v>
      </c>
      <c r="AX519" t="s">
        <v>74</v>
      </c>
      <c r="AY519" t="s">
        <v>74</v>
      </c>
      <c r="AZ519" t="s">
        <v>74</v>
      </c>
      <c r="BA519" t="s">
        <v>74</v>
      </c>
      <c r="BB519">
        <v>1783</v>
      </c>
      <c r="BC519">
        <v>1793</v>
      </c>
      <c r="BD519" t="s">
        <v>74</v>
      </c>
      <c r="BE519" t="s">
        <v>10647</v>
      </c>
      <c r="BF519" t="str">
        <f>HYPERLINK("http://dx.doi.org/10.1007/s00300-020-02744-w","http://dx.doi.org/10.1007/s00300-020-02744-w")</f>
        <v>http://dx.doi.org/10.1007/s00300-020-02744-w</v>
      </c>
      <c r="BG519" t="s">
        <v>74</v>
      </c>
      <c r="BH519" t="s">
        <v>9526</v>
      </c>
      <c r="BI519">
        <v>11</v>
      </c>
      <c r="BJ519" t="s">
        <v>1080</v>
      </c>
      <c r="BK519" t="s">
        <v>100</v>
      </c>
      <c r="BL519" t="s">
        <v>256</v>
      </c>
      <c r="BM519" t="s">
        <v>9540</v>
      </c>
      <c r="BN519" t="s">
        <v>74</v>
      </c>
      <c r="BO519" t="s">
        <v>74</v>
      </c>
      <c r="BP519" t="s">
        <v>74</v>
      </c>
      <c r="BQ519" t="s">
        <v>74</v>
      </c>
      <c r="BR519" t="s">
        <v>104</v>
      </c>
      <c r="BS519" t="s">
        <v>10648</v>
      </c>
      <c r="BT519" t="str">
        <f>HYPERLINK("https%3A%2F%2Fwww.webofscience.com%2Fwos%2Fwoscc%2Ffull-record%2FWOS:000570814800002","View Full Record in Web of Science")</f>
        <v>View Full Record in Web of Science</v>
      </c>
    </row>
    <row r="520" spans="1:72" x14ac:dyDescent="0.15">
      <c r="A520" t="s">
        <v>72</v>
      </c>
      <c r="B520" t="s">
        <v>10649</v>
      </c>
      <c r="C520" t="s">
        <v>74</v>
      </c>
      <c r="D520" t="s">
        <v>74</v>
      </c>
      <c r="E520" t="s">
        <v>74</v>
      </c>
      <c r="F520" t="s">
        <v>10650</v>
      </c>
      <c r="G520" t="s">
        <v>74</v>
      </c>
      <c r="H520" t="s">
        <v>74</v>
      </c>
      <c r="I520" t="s">
        <v>10651</v>
      </c>
      <c r="J520" t="s">
        <v>3455</v>
      </c>
      <c r="K520" t="s">
        <v>74</v>
      </c>
      <c r="L520" t="s">
        <v>74</v>
      </c>
      <c r="M520" t="s">
        <v>78</v>
      </c>
      <c r="N520" t="s">
        <v>79</v>
      </c>
      <c r="O520" t="s">
        <v>74</v>
      </c>
      <c r="P520" t="s">
        <v>74</v>
      </c>
      <c r="Q520" t="s">
        <v>74</v>
      </c>
      <c r="R520" t="s">
        <v>74</v>
      </c>
      <c r="S520" t="s">
        <v>74</v>
      </c>
      <c r="T520" t="s">
        <v>10652</v>
      </c>
      <c r="U520" t="s">
        <v>10653</v>
      </c>
      <c r="V520" t="s">
        <v>10654</v>
      </c>
      <c r="W520" t="s">
        <v>10655</v>
      </c>
      <c r="X520" t="s">
        <v>10656</v>
      </c>
      <c r="Y520" t="s">
        <v>10657</v>
      </c>
      <c r="Z520" t="s">
        <v>10658</v>
      </c>
      <c r="AA520" t="s">
        <v>10659</v>
      </c>
      <c r="AB520" t="s">
        <v>10660</v>
      </c>
      <c r="AC520" t="s">
        <v>10661</v>
      </c>
      <c r="AD520" t="s">
        <v>10662</v>
      </c>
      <c r="AE520" t="s">
        <v>10663</v>
      </c>
      <c r="AF520" t="s">
        <v>74</v>
      </c>
      <c r="AG520">
        <v>70</v>
      </c>
      <c r="AH520">
        <v>11</v>
      </c>
      <c r="AI520">
        <v>11</v>
      </c>
      <c r="AJ520">
        <v>3</v>
      </c>
      <c r="AK520">
        <v>31</v>
      </c>
      <c r="AL520" t="s">
        <v>3464</v>
      </c>
      <c r="AM520" t="s">
        <v>3465</v>
      </c>
      <c r="AN520" t="s">
        <v>3466</v>
      </c>
      <c r="AO520" t="s">
        <v>3467</v>
      </c>
      <c r="AP520" t="s">
        <v>3468</v>
      </c>
      <c r="AQ520" t="s">
        <v>74</v>
      </c>
      <c r="AR520" t="s">
        <v>3469</v>
      </c>
      <c r="AS520" t="s">
        <v>3470</v>
      </c>
      <c r="AT520" t="s">
        <v>10664</v>
      </c>
      <c r="AU520">
        <v>2020</v>
      </c>
      <c r="AV520">
        <v>650</v>
      </c>
      <c r="AW520" t="s">
        <v>74</v>
      </c>
      <c r="AX520" t="s">
        <v>74</v>
      </c>
      <c r="AY520" t="s">
        <v>74</v>
      </c>
      <c r="AZ520" t="s">
        <v>74</v>
      </c>
      <c r="BA520" t="s">
        <v>74</v>
      </c>
      <c r="BB520">
        <v>203</v>
      </c>
      <c r="BC520">
        <v>215</v>
      </c>
      <c r="BD520" t="s">
        <v>74</v>
      </c>
      <c r="BE520" t="s">
        <v>10665</v>
      </c>
      <c r="BF520" t="str">
        <f>HYPERLINK("http://dx.doi.org/10.3354/meps13233","http://dx.doi.org/10.3354/meps13233")</f>
        <v>http://dx.doi.org/10.3354/meps13233</v>
      </c>
      <c r="BG520" t="s">
        <v>74</v>
      </c>
      <c r="BH520" t="s">
        <v>74</v>
      </c>
      <c r="BI520">
        <v>13</v>
      </c>
      <c r="BJ520" t="s">
        <v>3473</v>
      </c>
      <c r="BK520" t="s">
        <v>100</v>
      </c>
      <c r="BL520" t="s">
        <v>3474</v>
      </c>
      <c r="BM520" t="s">
        <v>10666</v>
      </c>
      <c r="BN520" t="s">
        <v>74</v>
      </c>
      <c r="BO520" t="s">
        <v>1259</v>
      </c>
      <c r="BP520" t="s">
        <v>74</v>
      </c>
      <c r="BQ520" t="s">
        <v>74</v>
      </c>
      <c r="BR520" t="s">
        <v>104</v>
      </c>
      <c r="BS520" t="s">
        <v>10667</v>
      </c>
      <c r="BT520" t="str">
        <f>HYPERLINK("https%3A%2F%2Fwww.webofscience.com%2Fwos%2Fwoscc%2Ffull-record%2FWOS:000621231200014","View Full Record in Web of Science")</f>
        <v>View Full Record in Web of Science</v>
      </c>
    </row>
    <row r="521" spans="1:72" x14ac:dyDescent="0.15">
      <c r="A521" t="s">
        <v>72</v>
      </c>
      <c r="B521" t="s">
        <v>10668</v>
      </c>
      <c r="C521" t="s">
        <v>74</v>
      </c>
      <c r="D521" t="s">
        <v>74</v>
      </c>
      <c r="E521" t="s">
        <v>74</v>
      </c>
      <c r="F521" t="s">
        <v>10669</v>
      </c>
      <c r="G521" t="s">
        <v>74</v>
      </c>
      <c r="H521" t="s">
        <v>74</v>
      </c>
      <c r="I521" t="s">
        <v>10670</v>
      </c>
      <c r="J521" t="s">
        <v>10671</v>
      </c>
      <c r="K521" t="s">
        <v>74</v>
      </c>
      <c r="L521" t="s">
        <v>74</v>
      </c>
      <c r="M521" t="s">
        <v>78</v>
      </c>
      <c r="N521" t="s">
        <v>7302</v>
      </c>
      <c r="O521" t="s">
        <v>74</v>
      </c>
      <c r="P521" t="s">
        <v>74</v>
      </c>
      <c r="Q521" t="s">
        <v>74</v>
      </c>
      <c r="R521" t="s">
        <v>74</v>
      </c>
      <c r="S521" t="s">
        <v>74</v>
      </c>
      <c r="T521" t="s">
        <v>10672</v>
      </c>
      <c r="U521" t="s">
        <v>10673</v>
      </c>
      <c r="V521" t="s">
        <v>10674</v>
      </c>
      <c r="W521" t="s">
        <v>10675</v>
      </c>
      <c r="X521" t="s">
        <v>10676</v>
      </c>
      <c r="Y521" t="s">
        <v>10677</v>
      </c>
      <c r="Z521" t="s">
        <v>10678</v>
      </c>
      <c r="AA521" t="s">
        <v>10679</v>
      </c>
      <c r="AB521" t="s">
        <v>10680</v>
      </c>
      <c r="AC521" t="s">
        <v>74</v>
      </c>
      <c r="AD521" t="s">
        <v>74</v>
      </c>
      <c r="AE521" t="s">
        <v>74</v>
      </c>
      <c r="AF521" t="s">
        <v>74</v>
      </c>
      <c r="AG521">
        <v>77</v>
      </c>
      <c r="AH521">
        <v>8</v>
      </c>
      <c r="AI521">
        <v>9</v>
      </c>
      <c r="AJ521">
        <v>0</v>
      </c>
      <c r="AK521">
        <v>7</v>
      </c>
      <c r="AL521" t="s">
        <v>9749</v>
      </c>
      <c r="AM521" t="s">
        <v>9750</v>
      </c>
      <c r="AN521" t="s">
        <v>9751</v>
      </c>
      <c r="AO521" t="s">
        <v>10681</v>
      </c>
      <c r="AP521" t="s">
        <v>10682</v>
      </c>
      <c r="AQ521" t="s">
        <v>74</v>
      </c>
      <c r="AR521" t="s">
        <v>10671</v>
      </c>
      <c r="AS521" t="s">
        <v>10683</v>
      </c>
      <c r="AT521" t="s">
        <v>10664</v>
      </c>
      <c r="AU521">
        <v>2020</v>
      </c>
      <c r="AV521" t="s">
        <v>74</v>
      </c>
      <c r="AW521">
        <v>969</v>
      </c>
      <c r="AX521" t="s">
        <v>74</v>
      </c>
      <c r="AY521" t="s">
        <v>74</v>
      </c>
      <c r="AZ521" t="s">
        <v>74</v>
      </c>
      <c r="BA521" t="s">
        <v>74</v>
      </c>
      <c r="BB521">
        <v>1</v>
      </c>
      <c r="BC521">
        <v>22</v>
      </c>
      <c r="BD521" t="s">
        <v>74</v>
      </c>
      <c r="BE521" t="s">
        <v>10684</v>
      </c>
      <c r="BF521" t="str">
        <f>HYPERLINK("http://dx.doi.org/10.3897/zookeys.969.52334","http://dx.doi.org/10.3897/zookeys.969.52334")</f>
        <v>http://dx.doi.org/10.3897/zookeys.969.52334</v>
      </c>
      <c r="BG521" t="s">
        <v>74</v>
      </c>
      <c r="BH521" t="s">
        <v>74</v>
      </c>
      <c r="BI521">
        <v>22</v>
      </c>
      <c r="BJ521" t="s">
        <v>1553</v>
      </c>
      <c r="BK521" t="s">
        <v>100</v>
      </c>
      <c r="BL521" t="s">
        <v>1553</v>
      </c>
      <c r="BM521" t="s">
        <v>10685</v>
      </c>
      <c r="BN521">
        <v>33013165</v>
      </c>
      <c r="BO521" t="s">
        <v>332</v>
      </c>
      <c r="BP521" t="s">
        <v>74</v>
      </c>
      <c r="BQ521" t="s">
        <v>74</v>
      </c>
      <c r="BR521" t="s">
        <v>104</v>
      </c>
      <c r="BS521" t="s">
        <v>10686</v>
      </c>
      <c r="BT521" t="str">
        <f>HYPERLINK("https%3A%2F%2Fwww.webofscience.com%2Fwos%2Fwoscc%2Ffull-record%2FWOS:000573686100001","View Full Record in Web of Science")</f>
        <v>View Full Record in Web of Science</v>
      </c>
    </row>
    <row r="522" spans="1:72" x14ac:dyDescent="0.15">
      <c r="A522" t="s">
        <v>72</v>
      </c>
      <c r="B522" t="s">
        <v>10687</v>
      </c>
      <c r="C522" t="s">
        <v>74</v>
      </c>
      <c r="D522" t="s">
        <v>74</v>
      </c>
      <c r="E522" t="s">
        <v>74</v>
      </c>
      <c r="F522" t="s">
        <v>10688</v>
      </c>
      <c r="G522" t="s">
        <v>74</v>
      </c>
      <c r="H522" t="s">
        <v>74</v>
      </c>
      <c r="I522" t="s">
        <v>10689</v>
      </c>
      <c r="J522" t="s">
        <v>77</v>
      </c>
      <c r="K522" t="s">
        <v>74</v>
      </c>
      <c r="L522" t="s">
        <v>74</v>
      </c>
      <c r="M522" t="s">
        <v>78</v>
      </c>
      <c r="N522" t="s">
        <v>79</v>
      </c>
      <c r="O522" t="s">
        <v>74</v>
      </c>
      <c r="P522" t="s">
        <v>74</v>
      </c>
      <c r="Q522" t="s">
        <v>74</v>
      </c>
      <c r="R522" t="s">
        <v>74</v>
      </c>
      <c r="S522" t="s">
        <v>74</v>
      </c>
      <c r="T522" t="s">
        <v>74</v>
      </c>
      <c r="U522" t="s">
        <v>10690</v>
      </c>
      <c r="V522" t="s">
        <v>10691</v>
      </c>
      <c r="W522" t="s">
        <v>10692</v>
      </c>
      <c r="X522" t="s">
        <v>10693</v>
      </c>
      <c r="Y522" t="s">
        <v>10694</v>
      </c>
      <c r="Z522" t="s">
        <v>10695</v>
      </c>
      <c r="AA522" t="s">
        <v>10696</v>
      </c>
      <c r="AB522" t="s">
        <v>10697</v>
      </c>
      <c r="AC522" t="s">
        <v>10698</v>
      </c>
      <c r="AD522" t="s">
        <v>10699</v>
      </c>
      <c r="AE522" t="s">
        <v>10700</v>
      </c>
      <c r="AF522" t="s">
        <v>74</v>
      </c>
      <c r="AG522">
        <v>63</v>
      </c>
      <c r="AH522">
        <v>16</v>
      </c>
      <c r="AI522">
        <v>16</v>
      </c>
      <c r="AJ522">
        <v>1</v>
      </c>
      <c r="AK522">
        <v>5</v>
      </c>
      <c r="AL522" t="s">
        <v>91</v>
      </c>
      <c r="AM522" t="s">
        <v>92</v>
      </c>
      <c r="AN522" t="s">
        <v>93</v>
      </c>
      <c r="AO522" t="s">
        <v>94</v>
      </c>
      <c r="AP522" t="s">
        <v>95</v>
      </c>
      <c r="AQ522" t="s">
        <v>74</v>
      </c>
      <c r="AR522" t="s">
        <v>77</v>
      </c>
      <c r="AS522" t="s">
        <v>96</v>
      </c>
      <c r="AT522" t="s">
        <v>10664</v>
      </c>
      <c r="AU522">
        <v>2020</v>
      </c>
      <c r="AV522">
        <v>14</v>
      </c>
      <c r="AW522">
        <v>9</v>
      </c>
      <c r="AX522" t="s">
        <v>74</v>
      </c>
      <c r="AY522" t="s">
        <v>74</v>
      </c>
      <c r="AZ522" t="s">
        <v>74</v>
      </c>
      <c r="BA522" t="s">
        <v>74</v>
      </c>
      <c r="BB522">
        <v>3097</v>
      </c>
      <c r="BC522">
        <v>3110</v>
      </c>
      <c r="BD522" t="s">
        <v>74</v>
      </c>
      <c r="BE522" t="s">
        <v>10701</v>
      </c>
      <c r="BF522" t="str">
        <f>HYPERLINK("http://dx.doi.org/10.5194/tc-14-3097-2020","http://dx.doi.org/10.5194/tc-14-3097-2020")</f>
        <v>http://dx.doi.org/10.5194/tc-14-3097-2020</v>
      </c>
      <c r="BG522" t="s">
        <v>74</v>
      </c>
      <c r="BH522" t="s">
        <v>74</v>
      </c>
      <c r="BI522">
        <v>14</v>
      </c>
      <c r="BJ522" t="s">
        <v>99</v>
      </c>
      <c r="BK522" t="s">
        <v>100</v>
      </c>
      <c r="BL522" t="s">
        <v>101</v>
      </c>
      <c r="BM522" t="s">
        <v>10702</v>
      </c>
      <c r="BN522" t="s">
        <v>74</v>
      </c>
      <c r="BO522" t="s">
        <v>10703</v>
      </c>
      <c r="BP522" t="s">
        <v>74</v>
      </c>
      <c r="BQ522" t="s">
        <v>74</v>
      </c>
      <c r="BR522" t="s">
        <v>104</v>
      </c>
      <c r="BS522" t="s">
        <v>10704</v>
      </c>
      <c r="BT522" t="str">
        <f>HYPERLINK("https%3A%2F%2Fwww.webofscience.com%2Fwos%2Fwoscc%2Ffull-record%2FWOS:000572935000003","View Full Record in Web of Science")</f>
        <v>View Full Record in Web of Science</v>
      </c>
    </row>
    <row r="523" spans="1:72" x14ac:dyDescent="0.15">
      <c r="A523" t="s">
        <v>72</v>
      </c>
      <c r="B523" t="s">
        <v>10705</v>
      </c>
      <c r="C523" t="s">
        <v>74</v>
      </c>
      <c r="D523" t="s">
        <v>74</v>
      </c>
      <c r="E523" t="s">
        <v>74</v>
      </c>
      <c r="F523" t="s">
        <v>10706</v>
      </c>
      <c r="G523" t="s">
        <v>74</v>
      </c>
      <c r="H523" t="s">
        <v>74</v>
      </c>
      <c r="I523" t="s">
        <v>10707</v>
      </c>
      <c r="J523" t="s">
        <v>77</v>
      </c>
      <c r="K523" t="s">
        <v>74</v>
      </c>
      <c r="L523" t="s">
        <v>74</v>
      </c>
      <c r="M523" t="s">
        <v>78</v>
      </c>
      <c r="N523" t="s">
        <v>79</v>
      </c>
      <c r="O523" t="s">
        <v>74</v>
      </c>
      <c r="P523" t="s">
        <v>74</v>
      </c>
      <c r="Q523" t="s">
        <v>74</v>
      </c>
      <c r="R523" t="s">
        <v>74</v>
      </c>
      <c r="S523" t="s">
        <v>74</v>
      </c>
      <c r="T523" t="s">
        <v>74</v>
      </c>
      <c r="U523" t="s">
        <v>10708</v>
      </c>
      <c r="V523" t="s">
        <v>10709</v>
      </c>
      <c r="W523" t="s">
        <v>10710</v>
      </c>
      <c r="X523" t="s">
        <v>10711</v>
      </c>
      <c r="Y523" t="s">
        <v>10712</v>
      </c>
      <c r="Z523" t="s">
        <v>10713</v>
      </c>
      <c r="AA523" t="s">
        <v>10714</v>
      </c>
      <c r="AB523" t="s">
        <v>10715</v>
      </c>
      <c r="AC523" t="s">
        <v>10716</v>
      </c>
      <c r="AD523" t="s">
        <v>10717</v>
      </c>
      <c r="AE523" t="s">
        <v>10718</v>
      </c>
      <c r="AF523" t="s">
        <v>74</v>
      </c>
      <c r="AG523">
        <v>86</v>
      </c>
      <c r="AH523">
        <v>50</v>
      </c>
      <c r="AI523">
        <v>55</v>
      </c>
      <c r="AJ523">
        <v>4</v>
      </c>
      <c r="AK523">
        <v>11</v>
      </c>
      <c r="AL523" t="s">
        <v>91</v>
      </c>
      <c r="AM523" t="s">
        <v>92</v>
      </c>
      <c r="AN523" t="s">
        <v>93</v>
      </c>
      <c r="AO523" t="s">
        <v>94</v>
      </c>
      <c r="AP523" t="s">
        <v>95</v>
      </c>
      <c r="AQ523" t="s">
        <v>74</v>
      </c>
      <c r="AR523" t="s">
        <v>77</v>
      </c>
      <c r="AS523" t="s">
        <v>96</v>
      </c>
      <c r="AT523" t="s">
        <v>10664</v>
      </c>
      <c r="AU523">
        <v>2020</v>
      </c>
      <c r="AV523">
        <v>14</v>
      </c>
      <c r="AW523">
        <v>9</v>
      </c>
      <c r="AX523" t="s">
        <v>74</v>
      </c>
      <c r="AY523" t="s">
        <v>74</v>
      </c>
      <c r="AZ523" t="s">
        <v>74</v>
      </c>
      <c r="BA523" t="s">
        <v>74</v>
      </c>
      <c r="BB523">
        <v>3111</v>
      </c>
      <c r="BC523">
        <v>3134</v>
      </c>
      <c r="BD523" t="s">
        <v>74</v>
      </c>
      <c r="BE523" t="s">
        <v>10719</v>
      </c>
      <c r="BF523" t="str">
        <f>HYPERLINK("http://dx.doi.org/10.5194/tc-14-3111-2020","http://dx.doi.org/10.5194/tc-14-3111-2020")</f>
        <v>http://dx.doi.org/10.5194/tc-14-3111-2020</v>
      </c>
      <c r="BG523" t="s">
        <v>74</v>
      </c>
      <c r="BH523" t="s">
        <v>74</v>
      </c>
      <c r="BI523">
        <v>24</v>
      </c>
      <c r="BJ523" t="s">
        <v>99</v>
      </c>
      <c r="BK523" t="s">
        <v>100</v>
      </c>
      <c r="BL523" t="s">
        <v>101</v>
      </c>
      <c r="BM523" t="s">
        <v>10702</v>
      </c>
      <c r="BN523" t="s">
        <v>74</v>
      </c>
      <c r="BO523" t="s">
        <v>350</v>
      </c>
      <c r="BP523" t="s">
        <v>74</v>
      </c>
      <c r="BQ523" t="s">
        <v>74</v>
      </c>
      <c r="BR523" t="s">
        <v>104</v>
      </c>
      <c r="BS523" t="s">
        <v>10720</v>
      </c>
      <c r="BT523" t="str">
        <f>HYPERLINK("https%3A%2F%2Fwww.webofscience.com%2Fwos%2Fwoscc%2Ffull-record%2FWOS:000572935000004","View Full Record in Web of Science")</f>
        <v>View Full Record in Web of Science</v>
      </c>
    </row>
    <row r="524" spans="1:72" x14ac:dyDescent="0.15">
      <c r="A524" t="s">
        <v>72</v>
      </c>
      <c r="B524" t="s">
        <v>10721</v>
      </c>
      <c r="C524" t="s">
        <v>74</v>
      </c>
      <c r="D524" t="s">
        <v>74</v>
      </c>
      <c r="E524" t="s">
        <v>74</v>
      </c>
      <c r="F524" t="s">
        <v>10722</v>
      </c>
      <c r="G524" t="s">
        <v>74</v>
      </c>
      <c r="H524" t="s">
        <v>74</v>
      </c>
      <c r="I524" t="s">
        <v>10723</v>
      </c>
      <c r="J524" t="s">
        <v>9957</v>
      </c>
      <c r="K524" t="s">
        <v>74</v>
      </c>
      <c r="L524" t="s">
        <v>74</v>
      </c>
      <c r="M524" t="s">
        <v>78</v>
      </c>
      <c r="N524" t="s">
        <v>79</v>
      </c>
      <c r="O524" t="s">
        <v>74</v>
      </c>
      <c r="P524" t="s">
        <v>74</v>
      </c>
      <c r="Q524" t="s">
        <v>74</v>
      </c>
      <c r="R524" t="s">
        <v>74</v>
      </c>
      <c r="S524" t="s">
        <v>74</v>
      </c>
      <c r="T524" t="s">
        <v>10724</v>
      </c>
      <c r="U524" t="s">
        <v>10725</v>
      </c>
      <c r="V524" t="s">
        <v>10726</v>
      </c>
      <c r="W524" t="s">
        <v>10727</v>
      </c>
      <c r="X524" t="s">
        <v>10728</v>
      </c>
      <c r="Y524" t="s">
        <v>10729</v>
      </c>
      <c r="Z524" t="s">
        <v>10730</v>
      </c>
      <c r="AA524" t="s">
        <v>10731</v>
      </c>
      <c r="AB524" t="s">
        <v>10732</v>
      </c>
      <c r="AC524" t="s">
        <v>10733</v>
      </c>
      <c r="AD524" t="s">
        <v>10734</v>
      </c>
      <c r="AE524" t="s">
        <v>10735</v>
      </c>
      <c r="AF524" t="s">
        <v>74</v>
      </c>
      <c r="AG524">
        <v>54</v>
      </c>
      <c r="AH524">
        <v>1</v>
      </c>
      <c r="AI524">
        <v>1</v>
      </c>
      <c r="AJ524">
        <v>1</v>
      </c>
      <c r="AK524">
        <v>11</v>
      </c>
      <c r="AL524" t="s">
        <v>9970</v>
      </c>
      <c r="AM524" t="s">
        <v>7944</v>
      </c>
      <c r="AN524" t="s">
        <v>9971</v>
      </c>
      <c r="AO524" t="s">
        <v>9972</v>
      </c>
      <c r="AP524" t="s">
        <v>9973</v>
      </c>
      <c r="AQ524" t="s">
        <v>74</v>
      </c>
      <c r="AR524" t="s">
        <v>9957</v>
      </c>
      <c r="AS524" t="s">
        <v>9974</v>
      </c>
      <c r="AT524" t="s">
        <v>1212</v>
      </c>
      <c r="AU524">
        <v>2020</v>
      </c>
      <c r="AV524">
        <v>24</v>
      </c>
      <c r="AW524">
        <v>6</v>
      </c>
      <c r="AX524" t="s">
        <v>74</v>
      </c>
      <c r="AY524" t="s">
        <v>74</v>
      </c>
      <c r="AZ524" t="s">
        <v>74</v>
      </c>
      <c r="BA524" t="s">
        <v>74</v>
      </c>
      <c r="BB524">
        <v>863</v>
      </c>
      <c r="BC524">
        <v>873</v>
      </c>
      <c r="BD524" t="s">
        <v>74</v>
      </c>
      <c r="BE524" t="s">
        <v>10736</v>
      </c>
      <c r="BF524" t="str">
        <f>HYPERLINK("http://dx.doi.org/10.1007/s00792-020-01200-1","http://dx.doi.org/10.1007/s00792-020-01200-1")</f>
        <v>http://dx.doi.org/10.1007/s00792-020-01200-1</v>
      </c>
      <c r="BG524" t="s">
        <v>74</v>
      </c>
      <c r="BH524" t="s">
        <v>9526</v>
      </c>
      <c r="BI524">
        <v>11</v>
      </c>
      <c r="BJ524" t="s">
        <v>9976</v>
      </c>
      <c r="BK524" t="s">
        <v>100</v>
      </c>
      <c r="BL524" t="s">
        <v>9976</v>
      </c>
      <c r="BM524" t="s">
        <v>9977</v>
      </c>
      <c r="BN524">
        <v>32944821</v>
      </c>
      <c r="BO524" t="s">
        <v>74</v>
      </c>
      <c r="BP524" t="s">
        <v>74</v>
      </c>
      <c r="BQ524" t="s">
        <v>74</v>
      </c>
      <c r="BR524" t="s">
        <v>104</v>
      </c>
      <c r="BS524" t="s">
        <v>10737</v>
      </c>
      <c r="BT524" t="str">
        <f>HYPERLINK("https%3A%2F%2Fwww.webofscience.com%2Fwos%2Fwoscc%2Ffull-record%2FWOS:000571188600001","View Full Record in Web of Science")</f>
        <v>View Full Record in Web of Science</v>
      </c>
    </row>
    <row r="525" spans="1:72" x14ac:dyDescent="0.15">
      <c r="A525" t="s">
        <v>72</v>
      </c>
      <c r="B525" t="s">
        <v>10738</v>
      </c>
      <c r="C525" t="s">
        <v>74</v>
      </c>
      <c r="D525" t="s">
        <v>74</v>
      </c>
      <c r="E525" t="s">
        <v>74</v>
      </c>
      <c r="F525" t="s">
        <v>10739</v>
      </c>
      <c r="G525" t="s">
        <v>74</v>
      </c>
      <c r="H525" t="s">
        <v>74</v>
      </c>
      <c r="I525" t="s">
        <v>10740</v>
      </c>
      <c r="J525" t="s">
        <v>77</v>
      </c>
      <c r="K525" t="s">
        <v>74</v>
      </c>
      <c r="L525" t="s">
        <v>74</v>
      </c>
      <c r="M525" t="s">
        <v>78</v>
      </c>
      <c r="N525" t="s">
        <v>79</v>
      </c>
      <c r="O525" t="s">
        <v>74</v>
      </c>
      <c r="P525" t="s">
        <v>74</v>
      </c>
      <c r="Q525" t="s">
        <v>74</v>
      </c>
      <c r="R525" t="s">
        <v>74</v>
      </c>
      <c r="S525" t="s">
        <v>74</v>
      </c>
      <c r="T525" t="s">
        <v>74</v>
      </c>
      <c r="U525" t="s">
        <v>10741</v>
      </c>
      <c r="V525" t="s">
        <v>10742</v>
      </c>
      <c r="W525" t="s">
        <v>10743</v>
      </c>
      <c r="X525" t="s">
        <v>10744</v>
      </c>
      <c r="Y525" t="s">
        <v>10745</v>
      </c>
      <c r="Z525" t="s">
        <v>10746</v>
      </c>
      <c r="AA525" t="s">
        <v>10747</v>
      </c>
      <c r="AB525" t="s">
        <v>10748</v>
      </c>
      <c r="AC525" t="s">
        <v>10749</v>
      </c>
      <c r="AD525" t="s">
        <v>10750</v>
      </c>
      <c r="AE525" t="s">
        <v>10751</v>
      </c>
      <c r="AF525" t="s">
        <v>74</v>
      </c>
      <c r="AG525">
        <v>164</v>
      </c>
      <c r="AH525">
        <v>192</v>
      </c>
      <c r="AI525">
        <v>206</v>
      </c>
      <c r="AJ525">
        <v>8</v>
      </c>
      <c r="AK525">
        <v>27</v>
      </c>
      <c r="AL525" t="s">
        <v>91</v>
      </c>
      <c r="AM525" t="s">
        <v>92</v>
      </c>
      <c r="AN525" t="s">
        <v>93</v>
      </c>
      <c r="AO525" t="s">
        <v>94</v>
      </c>
      <c r="AP525" t="s">
        <v>95</v>
      </c>
      <c r="AQ525" t="s">
        <v>74</v>
      </c>
      <c r="AR525" t="s">
        <v>77</v>
      </c>
      <c r="AS525" t="s">
        <v>96</v>
      </c>
      <c r="AT525" t="s">
        <v>10664</v>
      </c>
      <c r="AU525">
        <v>2020</v>
      </c>
      <c r="AV525">
        <v>14</v>
      </c>
      <c r="AW525">
        <v>9</v>
      </c>
      <c r="AX525" t="s">
        <v>74</v>
      </c>
      <c r="AY525" t="s">
        <v>74</v>
      </c>
      <c r="AZ525" t="s">
        <v>74</v>
      </c>
      <c r="BA525" t="s">
        <v>74</v>
      </c>
      <c r="BB525">
        <v>3033</v>
      </c>
      <c r="BC525">
        <v>3070</v>
      </c>
      <c r="BD525" t="s">
        <v>74</v>
      </c>
      <c r="BE525" t="s">
        <v>10752</v>
      </c>
      <c r="BF525" t="str">
        <f>HYPERLINK("http://dx.doi.org/10.5194/tc-14-3033-2020","http://dx.doi.org/10.5194/tc-14-3033-2020")</f>
        <v>http://dx.doi.org/10.5194/tc-14-3033-2020</v>
      </c>
      <c r="BG525" t="s">
        <v>74</v>
      </c>
      <c r="BH525" t="s">
        <v>74</v>
      </c>
      <c r="BI525">
        <v>38</v>
      </c>
      <c r="BJ525" t="s">
        <v>99</v>
      </c>
      <c r="BK525" t="s">
        <v>100</v>
      </c>
      <c r="BL525" t="s">
        <v>101</v>
      </c>
      <c r="BM525" t="s">
        <v>10702</v>
      </c>
      <c r="BN525" t="s">
        <v>74</v>
      </c>
      <c r="BO525" t="s">
        <v>10753</v>
      </c>
      <c r="BP525" t="s">
        <v>417</v>
      </c>
      <c r="BQ525" t="s">
        <v>418</v>
      </c>
      <c r="BR525" t="s">
        <v>104</v>
      </c>
      <c r="BS525" t="s">
        <v>10754</v>
      </c>
      <c r="BT525" t="str">
        <f>HYPERLINK("https%3A%2F%2Fwww.webofscience.com%2Fwos%2Fwoscc%2Ffull-record%2FWOS:000572935000001","View Full Record in Web of Science")</f>
        <v>View Full Record in Web of Science</v>
      </c>
    </row>
    <row r="526" spans="1:72" x14ac:dyDescent="0.15">
      <c r="A526" t="s">
        <v>72</v>
      </c>
      <c r="B526" t="s">
        <v>10755</v>
      </c>
      <c r="C526" t="s">
        <v>74</v>
      </c>
      <c r="D526" t="s">
        <v>74</v>
      </c>
      <c r="E526" t="s">
        <v>74</v>
      </c>
      <c r="F526" t="s">
        <v>10756</v>
      </c>
      <c r="G526" t="s">
        <v>74</v>
      </c>
      <c r="H526" t="s">
        <v>74</v>
      </c>
      <c r="I526" t="s">
        <v>10757</v>
      </c>
      <c r="J526" t="s">
        <v>77</v>
      </c>
      <c r="K526" t="s">
        <v>74</v>
      </c>
      <c r="L526" t="s">
        <v>74</v>
      </c>
      <c r="M526" t="s">
        <v>78</v>
      </c>
      <c r="N526" t="s">
        <v>79</v>
      </c>
      <c r="O526" t="s">
        <v>74</v>
      </c>
      <c r="P526" t="s">
        <v>74</v>
      </c>
      <c r="Q526" t="s">
        <v>74</v>
      </c>
      <c r="R526" t="s">
        <v>74</v>
      </c>
      <c r="S526" t="s">
        <v>74</v>
      </c>
      <c r="T526" t="s">
        <v>74</v>
      </c>
      <c r="U526" t="s">
        <v>10758</v>
      </c>
      <c r="V526" t="s">
        <v>10759</v>
      </c>
      <c r="W526" t="s">
        <v>10760</v>
      </c>
      <c r="X526" t="s">
        <v>10761</v>
      </c>
      <c r="Y526" t="s">
        <v>10762</v>
      </c>
      <c r="Z526" t="s">
        <v>10763</v>
      </c>
      <c r="AA526" t="s">
        <v>10764</v>
      </c>
      <c r="AB526" t="s">
        <v>10765</v>
      </c>
      <c r="AC526" t="s">
        <v>10766</v>
      </c>
      <c r="AD526" t="s">
        <v>10767</v>
      </c>
      <c r="AE526" t="s">
        <v>10768</v>
      </c>
      <c r="AF526" t="s">
        <v>74</v>
      </c>
      <c r="AG526">
        <v>113</v>
      </c>
      <c r="AH526">
        <v>150</v>
      </c>
      <c r="AI526">
        <v>171</v>
      </c>
      <c r="AJ526">
        <v>6</v>
      </c>
      <c r="AK526">
        <v>21</v>
      </c>
      <c r="AL526" t="s">
        <v>91</v>
      </c>
      <c r="AM526" t="s">
        <v>92</v>
      </c>
      <c r="AN526" t="s">
        <v>93</v>
      </c>
      <c r="AO526" t="s">
        <v>94</v>
      </c>
      <c r="AP526" t="s">
        <v>95</v>
      </c>
      <c r="AQ526" t="s">
        <v>74</v>
      </c>
      <c r="AR526" t="s">
        <v>77</v>
      </c>
      <c r="AS526" t="s">
        <v>96</v>
      </c>
      <c r="AT526" t="s">
        <v>10664</v>
      </c>
      <c r="AU526">
        <v>2020</v>
      </c>
      <c r="AV526">
        <v>14</v>
      </c>
      <c r="AW526">
        <v>9</v>
      </c>
      <c r="AX526" t="s">
        <v>74</v>
      </c>
      <c r="AY526" t="s">
        <v>74</v>
      </c>
      <c r="AZ526" t="s">
        <v>74</v>
      </c>
      <c r="BA526" t="s">
        <v>74</v>
      </c>
      <c r="BB526">
        <v>3071</v>
      </c>
      <c r="BC526">
        <v>3096</v>
      </c>
      <c r="BD526" t="s">
        <v>74</v>
      </c>
      <c r="BE526" t="s">
        <v>10769</v>
      </c>
      <c r="BF526" t="str">
        <f>HYPERLINK("http://dx.doi.org/10.5194/tc-14-3071-2020","http://dx.doi.org/10.5194/tc-14-3071-2020")</f>
        <v>http://dx.doi.org/10.5194/tc-14-3071-2020</v>
      </c>
      <c r="BG526" t="s">
        <v>74</v>
      </c>
      <c r="BH526" t="s">
        <v>74</v>
      </c>
      <c r="BI526">
        <v>26</v>
      </c>
      <c r="BJ526" t="s">
        <v>99</v>
      </c>
      <c r="BK526" t="s">
        <v>100</v>
      </c>
      <c r="BL526" t="s">
        <v>101</v>
      </c>
      <c r="BM526" t="s">
        <v>10702</v>
      </c>
      <c r="BN526" t="s">
        <v>74</v>
      </c>
      <c r="BO526" t="s">
        <v>10703</v>
      </c>
      <c r="BP526" t="s">
        <v>417</v>
      </c>
      <c r="BQ526" t="s">
        <v>418</v>
      </c>
      <c r="BR526" t="s">
        <v>104</v>
      </c>
      <c r="BS526" t="s">
        <v>10770</v>
      </c>
      <c r="BT526" t="str">
        <f>HYPERLINK("https%3A%2F%2Fwww.webofscience.com%2Fwos%2Fwoscc%2Ffull-record%2FWOS:000572935000002","View Full Record in Web of Science")</f>
        <v>View Full Record in Web of Science</v>
      </c>
    </row>
    <row r="527" spans="1:72" x14ac:dyDescent="0.15">
      <c r="A527" t="s">
        <v>72</v>
      </c>
      <c r="B527" t="s">
        <v>10771</v>
      </c>
      <c r="C527" t="s">
        <v>74</v>
      </c>
      <c r="D527" t="s">
        <v>74</v>
      </c>
      <c r="E527" t="s">
        <v>74</v>
      </c>
      <c r="F527" t="s">
        <v>10772</v>
      </c>
      <c r="G527" t="s">
        <v>74</v>
      </c>
      <c r="H527" t="s">
        <v>74</v>
      </c>
      <c r="I527" t="s">
        <v>10773</v>
      </c>
      <c r="J527" t="s">
        <v>6064</v>
      </c>
      <c r="K527" t="s">
        <v>74</v>
      </c>
      <c r="L527" t="s">
        <v>74</v>
      </c>
      <c r="M527" t="s">
        <v>78</v>
      </c>
      <c r="N527" t="s">
        <v>79</v>
      </c>
      <c r="O527" t="s">
        <v>74</v>
      </c>
      <c r="P527" t="s">
        <v>74</v>
      </c>
      <c r="Q527" t="s">
        <v>74</v>
      </c>
      <c r="R527" t="s">
        <v>74</v>
      </c>
      <c r="S527" t="s">
        <v>74</v>
      </c>
      <c r="T527" t="s">
        <v>10774</v>
      </c>
      <c r="U527" t="s">
        <v>10775</v>
      </c>
      <c r="V527" t="s">
        <v>10776</v>
      </c>
      <c r="W527" t="s">
        <v>10777</v>
      </c>
      <c r="X527" t="s">
        <v>10778</v>
      </c>
      <c r="Y527" t="s">
        <v>10779</v>
      </c>
      <c r="Z527" t="s">
        <v>10780</v>
      </c>
      <c r="AA527" t="s">
        <v>10781</v>
      </c>
      <c r="AB527" t="s">
        <v>10782</v>
      </c>
      <c r="AC527" t="s">
        <v>10783</v>
      </c>
      <c r="AD527" t="s">
        <v>10784</v>
      </c>
      <c r="AE527" t="s">
        <v>10785</v>
      </c>
      <c r="AF527" t="s">
        <v>74</v>
      </c>
      <c r="AG527">
        <v>48</v>
      </c>
      <c r="AH527">
        <v>10</v>
      </c>
      <c r="AI527">
        <v>10</v>
      </c>
      <c r="AJ527">
        <v>2</v>
      </c>
      <c r="AK527">
        <v>4</v>
      </c>
      <c r="AL527" t="s">
        <v>122</v>
      </c>
      <c r="AM527" t="s">
        <v>123</v>
      </c>
      <c r="AN527" t="s">
        <v>124</v>
      </c>
      <c r="AO527" t="s">
        <v>6076</v>
      </c>
      <c r="AP527" t="s">
        <v>74</v>
      </c>
      <c r="AQ527" t="s">
        <v>74</v>
      </c>
      <c r="AR527" t="s">
        <v>6077</v>
      </c>
      <c r="AS527" t="s">
        <v>6078</v>
      </c>
      <c r="AT527" t="s">
        <v>10786</v>
      </c>
      <c r="AU527">
        <v>2020</v>
      </c>
      <c r="AV527">
        <v>7</v>
      </c>
      <c r="AW527">
        <v>9</v>
      </c>
      <c r="AX527" t="s">
        <v>74</v>
      </c>
      <c r="AY527" t="s">
        <v>74</v>
      </c>
      <c r="AZ527" t="s">
        <v>74</v>
      </c>
      <c r="BA527" t="s">
        <v>74</v>
      </c>
      <c r="BB527" t="s">
        <v>74</v>
      </c>
      <c r="BC527" t="s">
        <v>74</v>
      </c>
      <c r="BD527">
        <v>200603</v>
      </c>
      <c r="BE527" t="s">
        <v>10787</v>
      </c>
      <c r="BF527" t="str">
        <f>HYPERLINK("http://dx.doi.org/10.1098/rsos.200603","http://dx.doi.org/10.1098/rsos.200603")</f>
        <v>http://dx.doi.org/10.1098/rsos.200603</v>
      </c>
      <c r="BG527" t="s">
        <v>74</v>
      </c>
      <c r="BH527" t="s">
        <v>74</v>
      </c>
      <c r="BI527">
        <v>11</v>
      </c>
      <c r="BJ527" t="s">
        <v>329</v>
      </c>
      <c r="BK527" t="s">
        <v>100</v>
      </c>
      <c r="BL527" t="s">
        <v>330</v>
      </c>
      <c r="BM527" t="s">
        <v>10788</v>
      </c>
      <c r="BN527">
        <v>33047024</v>
      </c>
      <c r="BO527" t="s">
        <v>5105</v>
      </c>
      <c r="BP527" t="s">
        <v>74</v>
      </c>
      <c r="BQ527" t="s">
        <v>74</v>
      </c>
      <c r="BR527" t="s">
        <v>104</v>
      </c>
      <c r="BS527" t="s">
        <v>10789</v>
      </c>
      <c r="BT527" t="str">
        <f>HYPERLINK("https%3A%2F%2Fwww.webofscience.com%2Fwos%2Fwoscc%2Ffull-record%2FWOS:000573549100001","View Full Record in Web of Science")</f>
        <v>View Full Record in Web of Science</v>
      </c>
    </row>
    <row r="528" spans="1:72" x14ac:dyDescent="0.15">
      <c r="A528" t="s">
        <v>72</v>
      </c>
      <c r="B528" t="s">
        <v>10790</v>
      </c>
      <c r="C528" t="s">
        <v>74</v>
      </c>
      <c r="D528" t="s">
        <v>74</v>
      </c>
      <c r="E528" t="s">
        <v>74</v>
      </c>
      <c r="F528" t="s">
        <v>10791</v>
      </c>
      <c r="G528" t="s">
        <v>74</v>
      </c>
      <c r="H528" t="s">
        <v>74</v>
      </c>
      <c r="I528" t="s">
        <v>10792</v>
      </c>
      <c r="J528" t="s">
        <v>3687</v>
      </c>
      <c r="K528" t="s">
        <v>74</v>
      </c>
      <c r="L528" t="s">
        <v>74</v>
      </c>
      <c r="M528" t="s">
        <v>78</v>
      </c>
      <c r="N528" t="s">
        <v>79</v>
      </c>
      <c r="O528" t="s">
        <v>74</v>
      </c>
      <c r="P528" t="s">
        <v>74</v>
      </c>
      <c r="Q528" t="s">
        <v>74</v>
      </c>
      <c r="R528" t="s">
        <v>74</v>
      </c>
      <c r="S528" t="s">
        <v>74</v>
      </c>
      <c r="T528" t="s">
        <v>74</v>
      </c>
      <c r="U528" t="s">
        <v>10793</v>
      </c>
      <c r="V528" t="s">
        <v>10794</v>
      </c>
      <c r="W528" t="s">
        <v>10795</v>
      </c>
      <c r="X528" t="s">
        <v>10796</v>
      </c>
      <c r="Y528" t="s">
        <v>10797</v>
      </c>
      <c r="Z528" t="s">
        <v>10798</v>
      </c>
      <c r="AA528" t="s">
        <v>10799</v>
      </c>
      <c r="AB528" t="s">
        <v>10800</v>
      </c>
      <c r="AC528" t="s">
        <v>10801</v>
      </c>
      <c r="AD528" t="s">
        <v>10802</v>
      </c>
      <c r="AE528" t="s">
        <v>10803</v>
      </c>
      <c r="AF528" t="s">
        <v>74</v>
      </c>
      <c r="AG528">
        <v>67</v>
      </c>
      <c r="AH528">
        <v>12</v>
      </c>
      <c r="AI528">
        <v>12</v>
      </c>
      <c r="AJ528">
        <v>5</v>
      </c>
      <c r="AK528">
        <v>40</v>
      </c>
      <c r="AL528" t="s">
        <v>1710</v>
      </c>
      <c r="AM528" t="s">
        <v>609</v>
      </c>
      <c r="AN528" t="s">
        <v>1711</v>
      </c>
      <c r="AO528" t="s">
        <v>3699</v>
      </c>
      <c r="AP528" t="s">
        <v>3700</v>
      </c>
      <c r="AQ528" t="s">
        <v>74</v>
      </c>
      <c r="AR528" t="s">
        <v>3701</v>
      </c>
      <c r="AS528" t="s">
        <v>3702</v>
      </c>
      <c r="AT528" t="s">
        <v>10786</v>
      </c>
      <c r="AU528">
        <v>2020</v>
      </c>
      <c r="AV528">
        <v>47</v>
      </c>
      <c r="AW528">
        <v>17</v>
      </c>
      <c r="AX528" t="s">
        <v>74</v>
      </c>
      <c r="AY528" t="s">
        <v>74</v>
      </c>
      <c r="AZ528" t="s">
        <v>74</v>
      </c>
      <c r="BA528" t="s">
        <v>74</v>
      </c>
      <c r="BB528" t="s">
        <v>74</v>
      </c>
      <c r="BC528" t="s">
        <v>74</v>
      </c>
      <c r="BD528" t="s">
        <v>10804</v>
      </c>
      <c r="BE528" t="s">
        <v>10805</v>
      </c>
      <c r="BF528" t="str">
        <f>HYPERLINK("http://dx.doi.org/10.1029/2020GL088320","http://dx.doi.org/10.1029/2020GL088320")</f>
        <v>http://dx.doi.org/10.1029/2020GL088320</v>
      </c>
      <c r="BG528" t="s">
        <v>74</v>
      </c>
      <c r="BH528" t="s">
        <v>74</v>
      </c>
      <c r="BI528">
        <v>10</v>
      </c>
      <c r="BJ528" t="s">
        <v>534</v>
      </c>
      <c r="BK528" t="s">
        <v>100</v>
      </c>
      <c r="BL528" t="s">
        <v>535</v>
      </c>
      <c r="BM528" t="s">
        <v>10806</v>
      </c>
      <c r="BN528" t="s">
        <v>74</v>
      </c>
      <c r="BO528" t="s">
        <v>74</v>
      </c>
      <c r="BP528" t="s">
        <v>74</v>
      </c>
      <c r="BQ528" t="s">
        <v>74</v>
      </c>
      <c r="BR528" t="s">
        <v>104</v>
      </c>
      <c r="BS528" t="s">
        <v>10807</v>
      </c>
      <c r="BT528" t="str">
        <f>HYPERLINK("https%3A%2F%2Fwww.webofscience.com%2Fwos%2Fwoscc%2Ffull-record%2FWOS:000572406100019","View Full Record in Web of Science")</f>
        <v>View Full Record in Web of Science</v>
      </c>
    </row>
    <row r="529" spans="1:72" x14ac:dyDescent="0.15">
      <c r="A529" t="s">
        <v>72</v>
      </c>
      <c r="B529" t="s">
        <v>10808</v>
      </c>
      <c r="C529" t="s">
        <v>74</v>
      </c>
      <c r="D529" t="s">
        <v>74</v>
      </c>
      <c r="E529" t="s">
        <v>74</v>
      </c>
      <c r="F529" t="s">
        <v>10809</v>
      </c>
      <c r="G529" t="s">
        <v>74</v>
      </c>
      <c r="H529" t="s">
        <v>74</v>
      </c>
      <c r="I529" t="s">
        <v>10810</v>
      </c>
      <c r="J529" t="s">
        <v>4067</v>
      </c>
      <c r="K529" t="s">
        <v>74</v>
      </c>
      <c r="L529" t="s">
        <v>74</v>
      </c>
      <c r="M529" t="s">
        <v>78</v>
      </c>
      <c r="N529" t="s">
        <v>79</v>
      </c>
      <c r="O529" t="s">
        <v>74</v>
      </c>
      <c r="P529" t="s">
        <v>74</v>
      </c>
      <c r="Q529" t="s">
        <v>74</v>
      </c>
      <c r="R529" t="s">
        <v>74</v>
      </c>
      <c r="S529" t="s">
        <v>74</v>
      </c>
      <c r="T529" t="s">
        <v>10811</v>
      </c>
      <c r="U529" t="s">
        <v>10812</v>
      </c>
      <c r="V529" t="s">
        <v>10813</v>
      </c>
      <c r="W529" t="s">
        <v>10814</v>
      </c>
      <c r="X529" t="s">
        <v>10815</v>
      </c>
      <c r="Y529" t="s">
        <v>10816</v>
      </c>
      <c r="Z529" t="s">
        <v>10817</v>
      </c>
      <c r="AA529" t="s">
        <v>10818</v>
      </c>
      <c r="AB529" t="s">
        <v>10819</v>
      </c>
      <c r="AC529" t="s">
        <v>10820</v>
      </c>
      <c r="AD529" t="s">
        <v>10821</v>
      </c>
      <c r="AE529" t="s">
        <v>10822</v>
      </c>
      <c r="AF529" t="s">
        <v>74</v>
      </c>
      <c r="AG529">
        <v>47</v>
      </c>
      <c r="AH529">
        <v>13</v>
      </c>
      <c r="AI529">
        <v>13</v>
      </c>
      <c r="AJ529">
        <v>3</v>
      </c>
      <c r="AK529">
        <v>11</v>
      </c>
      <c r="AL529" t="s">
        <v>1710</v>
      </c>
      <c r="AM529" t="s">
        <v>609</v>
      </c>
      <c r="AN529" t="s">
        <v>1711</v>
      </c>
      <c r="AO529" t="s">
        <v>4079</v>
      </c>
      <c r="AP529" t="s">
        <v>4080</v>
      </c>
      <c r="AQ529" t="s">
        <v>74</v>
      </c>
      <c r="AR529" t="s">
        <v>4081</v>
      </c>
      <c r="AS529" t="s">
        <v>4082</v>
      </c>
      <c r="AT529" t="s">
        <v>10786</v>
      </c>
      <c r="AU529">
        <v>2020</v>
      </c>
      <c r="AV529">
        <v>125</v>
      </c>
      <c r="AW529">
        <v>17</v>
      </c>
      <c r="AX529" t="s">
        <v>74</v>
      </c>
      <c r="AY529" t="s">
        <v>74</v>
      </c>
      <c r="AZ529" t="s">
        <v>74</v>
      </c>
      <c r="BA529" t="s">
        <v>74</v>
      </c>
      <c r="BB529" t="s">
        <v>74</v>
      </c>
      <c r="BC529" t="s">
        <v>74</v>
      </c>
      <c r="BD529" t="s">
        <v>10823</v>
      </c>
      <c r="BE529" t="s">
        <v>10824</v>
      </c>
      <c r="BF529" t="str">
        <f>HYPERLINK("http://dx.doi.org/10.1029/2020JD032863","http://dx.doi.org/10.1029/2020JD032863")</f>
        <v>http://dx.doi.org/10.1029/2020JD032863</v>
      </c>
      <c r="BG529" t="s">
        <v>74</v>
      </c>
      <c r="BH529" t="s">
        <v>74</v>
      </c>
      <c r="BI529">
        <v>14</v>
      </c>
      <c r="BJ529" t="s">
        <v>800</v>
      </c>
      <c r="BK529" t="s">
        <v>100</v>
      </c>
      <c r="BL529" t="s">
        <v>800</v>
      </c>
      <c r="BM529" t="s">
        <v>10825</v>
      </c>
      <c r="BN529" t="s">
        <v>74</v>
      </c>
      <c r="BO529" t="s">
        <v>1259</v>
      </c>
      <c r="BP529" t="s">
        <v>74</v>
      </c>
      <c r="BQ529" t="s">
        <v>74</v>
      </c>
      <c r="BR529" t="s">
        <v>104</v>
      </c>
      <c r="BS529" t="s">
        <v>10826</v>
      </c>
      <c r="BT529" t="str">
        <f>HYPERLINK("https%3A%2F%2Fwww.webofscience.com%2Fwos%2Fwoscc%2Ffull-record%2FWOS:000571890800022","View Full Record in Web of Science")</f>
        <v>View Full Record in Web of Science</v>
      </c>
    </row>
    <row r="530" spans="1:72" x14ac:dyDescent="0.15">
      <c r="A530" t="s">
        <v>72</v>
      </c>
      <c r="B530" t="s">
        <v>10827</v>
      </c>
      <c r="C530" t="s">
        <v>74</v>
      </c>
      <c r="D530" t="s">
        <v>74</v>
      </c>
      <c r="E530" t="s">
        <v>74</v>
      </c>
      <c r="F530" t="s">
        <v>10828</v>
      </c>
      <c r="G530" t="s">
        <v>74</v>
      </c>
      <c r="H530" t="s">
        <v>74</v>
      </c>
      <c r="I530" t="s">
        <v>10829</v>
      </c>
      <c r="J530" t="s">
        <v>10830</v>
      </c>
      <c r="K530" t="s">
        <v>74</v>
      </c>
      <c r="L530" t="s">
        <v>74</v>
      </c>
      <c r="M530" t="s">
        <v>78</v>
      </c>
      <c r="N530" t="s">
        <v>79</v>
      </c>
      <c r="O530" t="s">
        <v>74</v>
      </c>
      <c r="P530" t="s">
        <v>74</v>
      </c>
      <c r="Q530" t="s">
        <v>74</v>
      </c>
      <c r="R530" t="s">
        <v>74</v>
      </c>
      <c r="S530" t="s">
        <v>74</v>
      </c>
      <c r="T530" t="s">
        <v>74</v>
      </c>
      <c r="U530" t="s">
        <v>10831</v>
      </c>
      <c r="V530" t="s">
        <v>10832</v>
      </c>
      <c r="W530" t="s">
        <v>10833</v>
      </c>
      <c r="X530" t="s">
        <v>10834</v>
      </c>
      <c r="Y530" t="s">
        <v>10835</v>
      </c>
      <c r="Z530" t="s">
        <v>10836</v>
      </c>
      <c r="AA530" t="s">
        <v>10837</v>
      </c>
      <c r="AB530" t="s">
        <v>10838</v>
      </c>
      <c r="AC530" t="s">
        <v>10839</v>
      </c>
      <c r="AD530" t="s">
        <v>10840</v>
      </c>
      <c r="AE530" t="s">
        <v>10841</v>
      </c>
      <c r="AF530" t="s">
        <v>74</v>
      </c>
      <c r="AG530">
        <v>36</v>
      </c>
      <c r="AH530">
        <v>6</v>
      </c>
      <c r="AI530">
        <v>8</v>
      </c>
      <c r="AJ530">
        <v>1</v>
      </c>
      <c r="AK530">
        <v>7</v>
      </c>
      <c r="AL530" t="s">
        <v>482</v>
      </c>
      <c r="AM530" t="s">
        <v>483</v>
      </c>
      <c r="AN530" t="s">
        <v>484</v>
      </c>
      <c r="AO530" t="s">
        <v>10842</v>
      </c>
      <c r="AP530" t="s">
        <v>10843</v>
      </c>
      <c r="AQ530" t="s">
        <v>74</v>
      </c>
      <c r="AR530" t="s">
        <v>10844</v>
      </c>
      <c r="AS530" t="s">
        <v>10845</v>
      </c>
      <c r="AT530" t="s">
        <v>1212</v>
      </c>
      <c r="AU530">
        <v>2020</v>
      </c>
      <c r="AV530">
        <v>77</v>
      </c>
      <c r="AW530">
        <v>11</v>
      </c>
      <c r="AX530" t="s">
        <v>74</v>
      </c>
      <c r="AY530" t="s">
        <v>74</v>
      </c>
      <c r="AZ530" t="s">
        <v>74</v>
      </c>
      <c r="BA530" t="s">
        <v>74</v>
      </c>
      <c r="BB530">
        <v>3573</v>
      </c>
      <c r="BC530">
        <v>3581</v>
      </c>
      <c r="BD530" t="s">
        <v>74</v>
      </c>
      <c r="BE530" t="s">
        <v>10846</v>
      </c>
      <c r="BF530" t="str">
        <f>HYPERLINK("http://dx.doi.org/10.1007/s00284-020-02199-6","http://dx.doi.org/10.1007/s00284-020-02199-6")</f>
        <v>http://dx.doi.org/10.1007/s00284-020-02199-6</v>
      </c>
      <c r="BG530" t="s">
        <v>74</v>
      </c>
      <c r="BH530" t="s">
        <v>9526</v>
      </c>
      <c r="BI530">
        <v>9</v>
      </c>
      <c r="BJ530" t="s">
        <v>229</v>
      </c>
      <c r="BK530" t="s">
        <v>100</v>
      </c>
      <c r="BL530" t="s">
        <v>229</v>
      </c>
      <c r="BM530" t="s">
        <v>10847</v>
      </c>
      <c r="BN530">
        <v>32939638</v>
      </c>
      <c r="BO530" t="s">
        <v>74</v>
      </c>
      <c r="BP530" t="s">
        <v>74</v>
      </c>
      <c r="BQ530" t="s">
        <v>74</v>
      </c>
      <c r="BR530" t="s">
        <v>104</v>
      </c>
      <c r="BS530" t="s">
        <v>10848</v>
      </c>
      <c r="BT530" t="str">
        <f>HYPERLINK("https%3A%2F%2Fwww.webofscience.com%2Fwos%2Fwoscc%2Ffull-record%2FWOS:000570047900001","View Full Record in Web of Science")</f>
        <v>View Full Record in Web of Science</v>
      </c>
    </row>
    <row r="531" spans="1:72" x14ac:dyDescent="0.15">
      <c r="A531" t="s">
        <v>72</v>
      </c>
      <c r="B531" t="s">
        <v>10849</v>
      </c>
      <c r="C531" t="s">
        <v>74</v>
      </c>
      <c r="D531" t="s">
        <v>74</v>
      </c>
      <c r="E531" t="s">
        <v>74</v>
      </c>
      <c r="F531" t="s">
        <v>10850</v>
      </c>
      <c r="G531" t="s">
        <v>74</v>
      </c>
      <c r="H531" t="s">
        <v>74</v>
      </c>
      <c r="I531" t="s">
        <v>10851</v>
      </c>
      <c r="J531" t="s">
        <v>5645</v>
      </c>
      <c r="K531" t="s">
        <v>74</v>
      </c>
      <c r="L531" t="s">
        <v>74</v>
      </c>
      <c r="M531" t="s">
        <v>78</v>
      </c>
      <c r="N531" t="s">
        <v>79</v>
      </c>
      <c r="O531" t="s">
        <v>74</v>
      </c>
      <c r="P531" t="s">
        <v>74</v>
      </c>
      <c r="Q531" t="s">
        <v>74</v>
      </c>
      <c r="R531" t="s">
        <v>74</v>
      </c>
      <c r="S531" t="s">
        <v>74</v>
      </c>
      <c r="T531" t="s">
        <v>10852</v>
      </c>
      <c r="U531" t="s">
        <v>10853</v>
      </c>
      <c r="V531" t="s">
        <v>10854</v>
      </c>
      <c r="W531" t="s">
        <v>10855</v>
      </c>
      <c r="X531" t="s">
        <v>10856</v>
      </c>
      <c r="Y531" t="s">
        <v>10857</v>
      </c>
      <c r="Z531" t="s">
        <v>10858</v>
      </c>
      <c r="AA531" t="s">
        <v>10859</v>
      </c>
      <c r="AB531" t="s">
        <v>10860</v>
      </c>
      <c r="AC531" t="s">
        <v>10861</v>
      </c>
      <c r="AD531" t="s">
        <v>10861</v>
      </c>
      <c r="AE531" t="s">
        <v>10862</v>
      </c>
      <c r="AF531" t="s">
        <v>74</v>
      </c>
      <c r="AG531">
        <v>67</v>
      </c>
      <c r="AH531">
        <v>16</v>
      </c>
      <c r="AI531">
        <v>17</v>
      </c>
      <c r="AJ531">
        <v>2</v>
      </c>
      <c r="AK531">
        <v>25</v>
      </c>
      <c r="AL531" t="s">
        <v>219</v>
      </c>
      <c r="AM531" t="s">
        <v>220</v>
      </c>
      <c r="AN531" t="s">
        <v>221</v>
      </c>
      <c r="AO531" t="s">
        <v>5658</v>
      </c>
      <c r="AP531" t="s">
        <v>5659</v>
      </c>
      <c r="AQ531" t="s">
        <v>74</v>
      </c>
      <c r="AR531" t="s">
        <v>5660</v>
      </c>
      <c r="AS531" t="s">
        <v>5661</v>
      </c>
      <c r="AT531" t="s">
        <v>252</v>
      </c>
      <c r="AU531">
        <v>2021</v>
      </c>
      <c r="AV531">
        <v>31</v>
      </c>
      <c r="AW531">
        <v>1</v>
      </c>
      <c r="AX531" t="s">
        <v>74</v>
      </c>
      <c r="AY531" t="s">
        <v>74</v>
      </c>
      <c r="AZ531" t="s">
        <v>74</v>
      </c>
      <c r="BA531" t="s">
        <v>74</v>
      </c>
      <c r="BB531" t="s">
        <v>74</v>
      </c>
      <c r="BC531" t="s">
        <v>74</v>
      </c>
      <c r="BD531" t="s">
        <v>74</v>
      </c>
      <c r="BE531" t="s">
        <v>10863</v>
      </c>
      <c r="BF531" t="str">
        <f>HYPERLINK("http://dx.doi.org/10.1002/eap.2214","http://dx.doi.org/10.1002/eap.2214")</f>
        <v>http://dx.doi.org/10.1002/eap.2214</v>
      </c>
      <c r="BG531" t="s">
        <v>74</v>
      </c>
      <c r="BH531" t="s">
        <v>9526</v>
      </c>
      <c r="BI531">
        <v>14</v>
      </c>
      <c r="BJ531" t="s">
        <v>5663</v>
      </c>
      <c r="BK531" t="s">
        <v>100</v>
      </c>
      <c r="BL531" t="s">
        <v>284</v>
      </c>
      <c r="BM531" t="s">
        <v>5664</v>
      </c>
      <c r="BN531">
        <v>32761934</v>
      </c>
      <c r="BO531" t="s">
        <v>1894</v>
      </c>
      <c r="BP531" t="s">
        <v>74</v>
      </c>
      <c r="BQ531" t="s">
        <v>74</v>
      </c>
      <c r="BR531" t="s">
        <v>104</v>
      </c>
      <c r="BS531" t="s">
        <v>10864</v>
      </c>
      <c r="BT531" t="str">
        <f>HYPERLINK("https%3A%2F%2Fwww.webofscience.com%2Fwos%2Fwoscc%2Ffull-record%2FWOS:000569460700001","View Full Record in Web of Science")</f>
        <v>View Full Record in Web of Science</v>
      </c>
    </row>
    <row r="532" spans="1:72" x14ac:dyDescent="0.15">
      <c r="A532" t="s">
        <v>72</v>
      </c>
      <c r="B532" t="s">
        <v>10865</v>
      </c>
      <c r="C532" t="s">
        <v>74</v>
      </c>
      <c r="D532" t="s">
        <v>74</v>
      </c>
      <c r="E532" t="s">
        <v>74</v>
      </c>
      <c r="F532" t="s">
        <v>10866</v>
      </c>
      <c r="G532" t="s">
        <v>74</v>
      </c>
      <c r="H532" t="s">
        <v>74</v>
      </c>
      <c r="I532" t="s">
        <v>10867</v>
      </c>
      <c r="J532" t="s">
        <v>878</v>
      </c>
      <c r="K532" t="s">
        <v>74</v>
      </c>
      <c r="L532" t="s">
        <v>74</v>
      </c>
      <c r="M532" t="s">
        <v>78</v>
      </c>
      <c r="N532" t="s">
        <v>79</v>
      </c>
      <c r="O532" t="s">
        <v>74</v>
      </c>
      <c r="P532" t="s">
        <v>74</v>
      </c>
      <c r="Q532" t="s">
        <v>74</v>
      </c>
      <c r="R532" t="s">
        <v>74</v>
      </c>
      <c r="S532" t="s">
        <v>74</v>
      </c>
      <c r="T532" t="s">
        <v>10868</v>
      </c>
      <c r="U532" t="s">
        <v>10869</v>
      </c>
      <c r="V532" t="s">
        <v>10870</v>
      </c>
      <c r="W532" t="s">
        <v>10871</v>
      </c>
      <c r="X532" t="s">
        <v>10872</v>
      </c>
      <c r="Y532" t="s">
        <v>10873</v>
      </c>
      <c r="Z532" t="s">
        <v>10874</v>
      </c>
      <c r="AA532" t="s">
        <v>10875</v>
      </c>
      <c r="AB532" t="s">
        <v>10876</v>
      </c>
      <c r="AC532" t="s">
        <v>10877</v>
      </c>
      <c r="AD532" t="s">
        <v>10878</v>
      </c>
      <c r="AE532" t="s">
        <v>10879</v>
      </c>
      <c r="AF532" t="s">
        <v>74</v>
      </c>
      <c r="AG532">
        <v>92</v>
      </c>
      <c r="AH532">
        <v>3</v>
      </c>
      <c r="AI532">
        <v>3</v>
      </c>
      <c r="AJ532">
        <v>4</v>
      </c>
      <c r="AK532">
        <v>19</v>
      </c>
      <c r="AL532" t="s">
        <v>482</v>
      </c>
      <c r="AM532" t="s">
        <v>483</v>
      </c>
      <c r="AN532" t="s">
        <v>484</v>
      </c>
      <c r="AO532" t="s">
        <v>891</v>
      </c>
      <c r="AP532" t="s">
        <v>892</v>
      </c>
      <c r="AQ532" t="s">
        <v>74</v>
      </c>
      <c r="AR532" t="s">
        <v>878</v>
      </c>
      <c r="AS532" t="s">
        <v>893</v>
      </c>
      <c r="AT532" t="s">
        <v>10611</v>
      </c>
      <c r="AU532">
        <v>2021</v>
      </c>
      <c r="AV532">
        <v>24</v>
      </c>
      <c r="AW532">
        <v>4</v>
      </c>
      <c r="AX532" t="s">
        <v>74</v>
      </c>
      <c r="AY532" t="s">
        <v>74</v>
      </c>
      <c r="AZ532" t="s">
        <v>74</v>
      </c>
      <c r="BA532" t="s">
        <v>74</v>
      </c>
      <c r="BB532">
        <v>855</v>
      </c>
      <c r="BC532">
        <v>874</v>
      </c>
      <c r="BD532" t="s">
        <v>74</v>
      </c>
      <c r="BE532" t="s">
        <v>10880</v>
      </c>
      <c r="BF532" t="str">
        <f>HYPERLINK("http://dx.doi.org/10.1007/s10021-020-00553-0","http://dx.doi.org/10.1007/s10021-020-00553-0")</f>
        <v>http://dx.doi.org/10.1007/s10021-020-00553-0</v>
      </c>
      <c r="BG532" t="s">
        <v>74</v>
      </c>
      <c r="BH532" t="s">
        <v>9526</v>
      </c>
      <c r="BI532">
        <v>20</v>
      </c>
      <c r="BJ532" t="s">
        <v>823</v>
      </c>
      <c r="BK532" t="s">
        <v>100</v>
      </c>
      <c r="BL532" t="s">
        <v>284</v>
      </c>
      <c r="BM532" t="s">
        <v>10613</v>
      </c>
      <c r="BN532" t="s">
        <v>74</v>
      </c>
      <c r="BO532" t="s">
        <v>1432</v>
      </c>
      <c r="BP532" t="s">
        <v>74</v>
      </c>
      <c r="BQ532" t="s">
        <v>74</v>
      </c>
      <c r="BR532" t="s">
        <v>104</v>
      </c>
      <c r="BS532" t="s">
        <v>10881</v>
      </c>
      <c r="BT532" t="str">
        <f>HYPERLINK("https%3A%2F%2Fwww.webofscience.com%2Fwos%2Fwoscc%2Ffull-record%2FWOS:000570038000001","View Full Record in Web of Science")</f>
        <v>View Full Record in Web of Science</v>
      </c>
    </row>
    <row r="533" spans="1:72" x14ac:dyDescent="0.15">
      <c r="A533" t="s">
        <v>72</v>
      </c>
      <c r="B533" t="s">
        <v>10882</v>
      </c>
      <c r="C533" t="s">
        <v>74</v>
      </c>
      <c r="D533" t="s">
        <v>74</v>
      </c>
      <c r="E533" t="s">
        <v>74</v>
      </c>
      <c r="F533" t="s">
        <v>10883</v>
      </c>
      <c r="G533" t="s">
        <v>74</v>
      </c>
      <c r="H533" t="s">
        <v>74</v>
      </c>
      <c r="I533" t="s">
        <v>10884</v>
      </c>
      <c r="J533" t="s">
        <v>3687</v>
      </c>
      <c r="K533" t="s">
        <v>74</v>
      </c>
      <c r="L533" t="s">
        <v>74</v>
      </c>
      <c r="M533" t="s">
        <v>78</v>
      </c>
      <c r="N533" t="s">
        <v>79</v>
      </c>
      <c r="O533" t="s">
        <v>74</v>
      </c>
      <c r="P533" t="s">
        <v>74</v>
      </c>
      <c r="Q533" t="s">
        <v>74</v>
      </c>
      <c r="R533" t="s">
        <v>74</v>
      </c>
      <c r="S533" t="s">
        <v>74</v>
      </c>
      <c r="T533" t="s">
        <v>74</v>
      </c>
      <c r="U533" t="s">
        <v>10885</v>
      </c>
      <c r="V533" t="s">
        <v>10886</v>
      </c>
      <c r="W533" t="s">
        <v>10887</v>
      </c>
      <c r="X533" t="s">
        <v>10888</v>
      </c>
      <c r="Y533" t="s">
        <v>10889</v>
      </c>
      <c r="Z533" t="s">
        <v>10890</v>
      </c>
      <c r="AA533" t="s">
        <v>10891</v>
      </c>
      <c r="AB533" t="s">
        <v>10892</v>
      </c>
      <c r="AC533" t="s">
        <v>10893</v>
      </c>
      <c r="AD533" t="s">
        <v>10894</v>
      </c>
      <c r="AE533" t="s">
        <v>10895</v>
      </c>
      <c r="AF533" t="s">
        <v>74</v>
      </c>
      <c r="AG533">
        <v>51</v>
      </c>
      <c r="AH533">
        <v>22</v>
      </c>
      <c r="AI533">
        <v>23</v>
      </c>
      <c r="AJ533">
        <v>2</v>
      </c>
      <c r="AK533">
        <v>11</v>
      </c>
      <c r="AL533" t="s">
        <v>1710</v>
      </c>
      <c r="AM533" t="s">
        <v>609</v>
      </c>
      <c r="AN533" t="s">
        <v>1711</v>
      </c>
      <c r="AO533" t="s">
        <v>3699</v>
      </c>
      <c r="AP533" t="s">
        <v>3700</v>
      </c>
      <c r="AQ533" t="s">
        <v>74</v>
      </c>
      <c r="AR533" t="s">
        <v>3701</v>
      </c>
      <c r="AS533" t="s">
        <v>3702</v>
      </c>
      <c r="AT533" t="s">
        <v>10786</v>
      </c>
      <c r="AU533">
        <v>2020</v>
      </c>
      <c r="AV533">
        <v>47</v>
      </c>
      <c r="AW533">
        <v>17</v>
      </c>
      <c r="AX533" t="s">
        <v>74</v>
      </c>
      <c r="AY533" t="s">
        <v>74</v>
      </c>
      <c r="AZ533" t="s">
        <v>74</v>
      </c>
      <c r="BA533" t="s">
        <v>74</v>
      </c>
      <c r="BB533" t="s">
        <v>74</v>
      </c>
      <c r="BC533" t="s">
        <v>74</v>
      </c>
      <c r="BD533" t="s">
        <v>10896</v>
      </c>
      <c r="BE533" t="s">
        <v>10897</v>
      </c>
      <c r="BF533" t="str">
        <f>HYPERLINK("http://dx.doi.org/10.1029/2020GL088845","http://dx.doi.org/10.1029/2020GL088845")</f>
        <v>http://dx.doi.org/10.1029/2020GL088845</v>
      </c>
      <c r="BG533" t="s">
        <v>74</v>
      </c>
      <c r="BH533" t="s">
        <v>74</v>
      </c>
      <c r="BI533">
        <v>10</v>
      </c>
      <c r="BJ533" t="s">
        <v>534</v>
      </c>
      <c r="BK533" t="s">
        <v>100</v>
      </c>
      <c r="BL533" t="s">
        <v>535</v>
      </c>
      <c r="BM533" t="s">
        <v>10806</v>
      </c>
      <c r="BN533" t="s">
        <v>74</v>
      </c>
      <c r="BO533" t="s">
        <v>1432</v>
      </c>
      <c r="BP533" t="s">
        <v>74</v>
      </c>
      <c r="BQ533" t="s">
        <v>74</v>
      </c>
      <c r="BR533" t="s">
        <v>104</v>
      </c>
      <c r="BS533" t="s">
        <v>10898</v>
      </c>
      <c r="BT533" t="str">
        <f>HYPERLINK("https%3A%2F%2Fwww.webofscience.com%2Fwos%2Fwoscc%2Ffull-record%2FWOS:000572406100057","View Full Record in Web of Science")</f>
        <v>View Full Record in Web of Science</v>
      </c>
    </row>
    <row r="534" spans="1:72" x14ac:dyDescent="0.15">
      <c r="A534" t="s">
        <v>72</v>
      </c>
      <c r="B534" t="s">
        <v>10899</v>
      </c>
      <c r="C534" t="s">
        <v>74</v>
      </c>
      <c r="D534" t="s">
        <v>74</v>
      </c>
      <c r="E534" t="s">
        <v>74</v>
      </c>
      <c r="F534" t="s">
        <v>10900</v>
      </c>
      <c r="G534" t="s">
        <v>74</v>
      </c>
      <c r="H534" t="s">
        <v>74</v>
      </c>
      <c r="I534" t="s">
        <v>10901</v>
      </c>
      <c r="J534" t="s">
        <v>4067</v>
      </c>
      <c r="K534" t="s">
        <v>74</v>
      </c>
      <c r="L534" t="s">
        <v>74</v>
      </c>
      <c r="M534" t="s">
        <v>78</v>
      </c>
      <c r="N534" t="s">
        <v>79</v>
      </c>
      <c r="O534" t="s">
        <v>74</v>
      </c>
      <c r="P534" t="s">
        <v>74</v>
      </c>
      <c r="Q534" t="s">
        <v>74</v>
      </c>
      <c r="R534" t="s">
        <v>74</v>
      </c>
      <c r="S534" t="s">
        <v>74</v>
      </c>
      <c r="T534" t="s">
        <v>10902</v>
      </c>
      <c r="U534" t="s">
        <v>10903</v>
      </c>
      <c r="V534" t="s">
        <v>10904</v>
      </c>
      <c r="W534" t="s">
        <v>10905</v>
      </c>
      <c r="X534" t="s">
        <v>10906</v>
      </c>
      <c r="Y534" t="s">
        <v>10907</v>
      </c>
      <c r="Z534" t="s">
        <v>10908</v>
      </c>
      <c r="AA534" t="s">
        <v>10909</v>
      </c>
      <c r="AB534" t="s">
        <v>10910</v>
      </c>
      <c r="AC534" t="s">
        <v>10911</v>
      </c>
      <c r="AD534" t="s">
        <v>10912</v>
      </c>
      <c r="AE534" t="s">
        <v>10913</v>
      </c>
      <c r="AF534" t="s">
        <v>74</v>
      </c>
      <c r="AG534">
        <v>62</v>
      </c>
      <c r="AH534">
        <v>38</v>
      </c>
      <c r="AI534">
        <v>40</v>
      </c>
      <c r="AJ534">
        <v>4</v>
      </c>
      <c r="AK534">
        <v>11</v>
      </c>
      <c r="AL534" t="s">
        <v>1710</v>
      </c>
      <c r="AM534" t="s">
        <v>609</v>
      </c>
      <c r="AN534" t="s">
        <v>1711</v>
      </c>
      <c r="AO534" t="s">
        <v>4079</v>
      </c>
      <c r="AP534" t="s">
        <v>4080</v>
      </c>
      <c r="AQ534" t="s">
        <v>74</v>
      </c>
      <c r="AR534" t="s">
        <v>4081</v>
      </c>
      <c r="AS534" t="s">
        <v>4082</v>
      </c>
      <c r="AT534" t="s">
        <v>10786</v>
      </c>
      <c r="AU534">
        <v>2020</v>
      </c>
      <c r="AV534">
        <v>125</v>
      </c>
      <c r="AW534">
        <v>17</v>
      </c>
      <c r="AX534" t="s">
        <v>74</v>
      </c>
      <c r="AY534" t="s">
        <v>74</v>
      </c>
      <c r="AZ534" t="s">
        <v>74</v>
      </c>
      <c r="BA534" t="s">
        <v>74</v>
      </c>
      <c r="BB534" t="s">
        <v>74</v>
      </c>
      <c r="BC534" t="s">
        <v>74</v>
      </c>
      <c r="BD534" t="s">
        <v>10914</v>
      </c>
      <c r="BE534" t="s">
        <v>10915</v>
      </c>
      <c r="BF534" t="str">
        <f>HYPERLINK("http://dx.doi.org/10.1029/2020JD032463","http://dx.doi.org/10.1029/2020JD032463")</f>
        <v>http://dx.doi.org/10.1029/2020JD032463</v>
      </c>
      <c r="BG534" t="s">
        <v>74</v>
      </c>
      <c r="BH534" t="s">
        <v>74</v>
      </c>
      <c r="BI534">
        <v>25</v>
      </c>
      <c r="BJ534" t="s">
        <v>800</v>
      </c>
      <c r="BK534" t="s">
        <v>100</v>
      </c>
      <c r="BL534" t="s">
        <v>800</v>
      </c>
      <c r="BM534" t="s">
        <v>10825</v>
      </c>
      <c r="BN534" t="s">
        <v>74</v>
      </c>
      <c r="BO534" t="s">
        <v>1919</v>
      </c>
      <c r="BP534" t="s">
        <v>74</v>
      </c>
      <c r="BQ534" t="s">
        <v>74</v>
      </c>
      <c r="BR534" t="s">
        <v>104</v>
      </c>
      <c r="BS534" t="s">
        <v>10916</v>
      </c>
      <c r="BT534" t="str">
        <f>HYPERLINK("https%3A%2F%2Fwww.webofscience.com%2Fwos%2Fwoscc%2Ffull-record%2FWOS:000571890800021","View Full Record in Web of Science")</f>
        <v>View Full Record in Web of Science</v>
      </c>
    </row>
    <row r="535" spans="1:72" x14ac:dyDescent="0.15">
      <c r="A535" t="s">
        <v>72</v>
      </c>
      <c r="B535" t="s">
        <v>10917</v>
      </c>
      <c r="C535" t="s">
        <v>74</v>
      </c>
      <c r="D535" t="s">
        <v>74</v>
      </c>
      <c r="E535" t="s">
        <v>74</v>
      </c>
      <c r="F535" t="s">
        <v>10918</v>
      </c>
      <c r="G535" t="s">
        <v>74</v>
      </c>
      <c r="H535" t="s">
        <v>74</v>
      </c>
      <c r="I535" t="s">
        <v>10919</v>
      </c>
      <c r="J535" t="s">
        <v>309</v>
      </c>
      <c r="K535" t="s">
        <v>74</v>
      </c>
      <c r="L535" t="s">
        <v>74</v>
      </c>
      <c r="M535" t="s">
        <v>78</v>
      </c>
      <c r="N535" t="s">
        <v>79</v>
      </c>
      <c r="O535" t="s">
        <v>74</v>
      </c>
      <c r="P535" t="s">
        <v>74</v>
      </c>
      <c r="Q535" t="s">
        <v>74</v>
      </c>
      <c r="R535" t="s">
        <v>74</v>
      </c>
      <c r="S535" t="s">
        <v>74</v>
      </c>
      <c r="T535" t="s">
        <v>74</v>
      </c>
      <c r="U535" t="s">
        <v>10920</v>
      </c>
      <c r="V535" t="s">
        <v>10921</v>
      </c>
      <c r="W535" t="s">
        <v>10922</v>
      </c>
      <c r="X535" t="s">
        <v>10923</v>
      </c>
      <c r="Y535" t="s">
        <v>10924</v>
      </c>
      <c r="Z535" t="s">
        <v>10925</v>
      </c>
      <c r="AA535" t="s">
        <v>10926</v>
      </c>
      <c r="AB535" t="s">
        <v>10927</v>
      </c>
      <c r="AC535" t="s">
        <v>10928</v>
      </c>
      <c r="AD535" t="s">
        <v>10929</v>
      </c>
      <c r="AE535" t="s">
        <v>10930</v>
      </c>
      <c r="AF535" t="s">
        <v>74</v>
      </c>
      <c r="AG535">
        <v>76</v>
      </c>
      <c r="AH535">
        <v>9</v>
      </c>
      <c r="AI535">
        <v>9</v>
      </c>
      <c r="AJ535">
        <v>0</v>
      </c>
      <c r="AK535">
        <v>14</v>
      </c>
      <c r="AL535" t="s">
        <v>321</v>
      </c>
      <c r="AM535" t="s">
        <v>322</v>
      </c>
      <c r="AN535" t="s">
        <v>323</v>
      </c>
      <c r="AO535" t="s">
        <v>324</v>
      </c>
      <c r="AP535" t="s">
        <v>74</v>
      </c>
      <c r="AQ535" t="s">
        <v>74</v>
      </c>
      <c r="AR535" t="s">
        <v>325</v>
      </c>
      <c r="AS535" t="s">
        <v>326</v>
      </c>
      <c r="AT535" t="s">
        <v>10786</v>
      </c>
      <c r="AU535">
        <v>2020</v>
      </c>
      <c r="AV535">
        <v>10</v>
      </c>
      <c r="AW535">
        <v>1</v>
      </c>
      <c r="AX535" t="s">
        <v>74</v>
      </c>
      <c r="AY535" t="s">
        <v>74</v>
      </c>
      <c r="AZ535" t="s">
        <v>74</v>
      </c>
      <c r="BA535" t="s">
        <v>74</v>
      </c>
      <c r="BB535" t="s">
        <v>74</v>
      </c>
      <c r="BC535" t="s">
        <v>74</v>
      </c>
      <c r="BD535">
        <v>15215</v>
      </c>
      <c r="BE535" t="s">
        <v>10931</v>
      </c>
      <c r="BF535" t="str">
        <f>HYPERLINK("http://dx.doi.org/10.1038/s41598-020-72103-6","http://dx.doi.org/10.1038/s41598-020-72103-6")</f>
        <v>http://dx.doi.org/10.1038/s41598-020-72103-6</v>
      </c>
      <c r="BG535" t="s">
        <v>74</v>
      </c>
      <c r="BH535" t="s">
        <v>74</v>
      </c>
      <c r="BI535">
        <v>10</v>
      </c>
      <c r="BJ535" t="s">
        <v>329</v>
      </c>
      <c r="BK535" t="s">
        <v>100</v>
      </c>
      <c r="BL535" t="s">
        <v>330</v>
      </c>
      <c r="BM535" t="s">
        <v>10932</v>
      </c>
      <c r="BN535">
        <v>32939006</v>
      </c>
      <c r="BO535" t="s">
        <v>5105</v>
      </c>
      <c r="BP535" t="s">
        <v>74</v>
      </c>
      <c r="BQ535" t="s">
        <v>74</v>
      </c>
      <c r="BR535" t="s">
        <v>104</v>
      </c>
      <c r="BS535" t="s">
        <v>10933</v>
      </c>
      <c r="BT535" t="str">
        <f>HYPERLINK("https%3A%2F%2Fwww.webofscience.com%2Fwos%2Fwoscc%2Ffull-record%2FWOS:000573768800023","View Full Record in Web of Science")</f>
        <v>View Full Record in Web of Science</v>
      </c>
    </row>
    <row r="536" spans="1:72" x14ac:dyDescent="0.15">
      <c r="A536" t="s">
        <v>72</v>
      </c>
      <c r="B536" t="s">
        <v>10934</v>
      </c>
      <c r="C536" t="s">
        <v>74</v>
      </c>
      <c r="D536" t="s">
        <v>74</v>
      </c>
      <c r="E536" t="s">
        <v>74</v>
      </c>
      <c r="F536" t="s">
        <v>10935</v>
      </c>
      <c r="G536" t="s">
        <v>74</v>
      </c>
      <c r="H536" t="s">
        <v>74</v>
      </c>
      <c r="I536" t="s">
        <v>10936</v>
      </c>
      <c r="J536" t="s">
        <v>381</v>
      </c>
      <c r="K536" t="s">
        <v>74</v>
      </c>
      <c r="L536" t="s">
        <v>74</v>
      </c>
      <c r="M536" t="s">
        <v>78</v>
      </c>
      <c r="N536" t="s">
        <v>79</v>
      </c>
      <c r="O536" t="s">
        <v>74</v>
      </c>
      <c r="P536" t="s">
        <v>74</v>
      </c>
      <c r="Q536" t="s">
        <v>74</v>
      </c>
      <c r="R536" t="s">
        <v>74</v>
      </c>
      <c r="S536" t="s">
        <v>74</v>
      </c>
      <c r="T536" t="s">
        <v>74</v>
      </c>
      <c r="U536" t="s">
        <v>10937</v>
      </c>
      <c r="V536" t="s">
        <v>10938</v>
      </c>
      <c r="W536" t="s">
        <v>10939</v>
      </c>
      <c r="X536" t="s">
        <v>10940</v>
      </c>
      <c r="Y536" t="s">
        <v>10941</v>
      </c>
      <c r="Z536" t="s">
        <v>10942</v>
      </c>
      <c r="AA536" t="s">
        <v>10943</v>
      </c>
      <c r="AB536" t="s">
        <v>10944</v>
      </c>
      <c r="AC536" t="s">
        <v>10945</v>
      </c>
      <c r="AD536" t="s">
        <v>10946</v>
      </c>
      <c r="AE536" t="s">
        <v>10947</v>
      </c>
      <c r="AF536" t="s">
        <v>74</v>
      </c>
      <c r="AG536">
        <v>51</v>
      </c>
      <c r="AH536">
        <v>20</v>
      </c>
      <c r="AI536">
        <v>21</v>
      </c>
      <c r="AJ536">
        <v>1</v>
      </c>
      <c r="AK536">
        <v>22</v>
      </c>
      <c r="AL536" t="s">
        <v>413</v>
      </c>
      <c r="AM536" t="s">
        <v>322</v>
      </c>
      <c r="AN536" t="s">
        <v>323</v>
      </c>
      <c r="AO536" t="s">
        <v>74</v>
      </c>
      <c r="AP536" t="s">
        <v>392</v>
      </c>
      <c r="AQ536" t="s">
        <v>74</v>
      </c>
      <c r="AR536" t="s">
        <v>393</v>
      </c>
      <c r="AS536" t="s">
        <v>394</v>
      </c>
      <c r="AT536" t="s">
        <v>10948</v>
      </c>
      <c r="AU536">
        <v>2020</v>
      </c>
      <c r="AV536">
        <v>11</v>
      </c>
      <c r="AW536">
        <v>1</v>
      </c>
      <c r="AX536" t="s">
        <v>74</v>
      </c>
      <c r="AY536" t="s">
        <v>74</v>
      </c>
      <c r="AZ536" t="s">
        <v>74</v>
      </c>
      <c r="BA536" t="s">
        <v>74</v>
      </c>
      <c r="BB536" t="s">
        <v>74</v>
      </c>
      <c r="BC536" t="s">
        <v>74</v>
      </c>
      <c r="BD536">
        <v>4630</v>
      </c>
      <c r="BE536" t="s">
        <v>10949</v>
      </c>
      <c r="BF536" t="str">
        <f>HYPERLINK("http://dx.doi.org/10.1038/s41467-020-18299-7","http://dx.doi.org/10.1038/s41467-020-18299-7")</f>
        <v>http://dx.doi.org/10.1038/s41467-020-18299-7</v>
      </c>
      <c r="BG536" t="s">
        <v>74</v>
      </c>
      <c r="BH536" t="s">
        <v>74</v>
      </c>
      <c r="BI536">
        <v>9</v>
      </c>
      <c r="BJ536" t="s">
        <v>329</v>
      </c>
      <c r="BK536" t="s">
        <v>100</v>
      </c>
      <c r="BL536" t="s">
        <v>330</v>
      </c>
      <c r="BM536" t="s">
        <v>10950</v>
      </c>
      <c r="BN536">
        <v>32934223</v>
      </c>
      <c r="BO536" t="s">
        <v>5105</v>
      </c>
      <c r="BP536" t="s">
        <v>74</v>
      </c>
      <c r="BQ536" t="s">
        <v>74</v>
      </c>
      <c r="BR536" t="s">
        <v>104</v>
      </c>
      <c r="BS536" t="s">
        <v>10951</v>
      </c>
      <c r="BT536" t="str">
        <f>HYPERLINK("https%3A%2F%2Fwww.webofscience.com%2Fwos%2Fwoscc%2Ffull-record%2FWOS:000607161500003","View Full Record in Web of Science")</f>
        <v>View Full Record in Web of Science</v>
      </c>
    </row>
    <row r="537" spans="1:72" x14ac:dyDescent="0.15">
      <c r="A537" t="s">
        <v>72</v>
      </c>
      <c r="B537" t="s">
        <v>10952</v>
      </c>
      <c r="C537" t="s">
        <v>74</v>
      </c>
      <c r="D537" t="s">
        <v>74</v>
      </c>
      <c r="E537" t="s">
        <v>74</v>
      </c>
      <c r="F537" t="s">
        <v>10953</v>
      </c>
      <c r="G537" t="s">
        <v>74</v>
      </c>
      <c r="H537" t="s">
        <v>74</v>
      </c>
      <c r="I537" t="s">
        <v>10954</v>
      </c>
      <c r="J537" t="s">
        <v>2049</v>
      </c>
      <c r="K537" t="s">
        <v>74</v>
      </c>
      <c r="L537" t="s">
        <v>74</v>
      </c>
      <c r="M537" t="s">
        <v>78</v>
      </c>
      <c r="N537" t="s">
        <v>79</v>
      </c>
      <c r="O537" t="s">
        <v>74</v>
      </c>
      <c r="P537" t="s">
        <v>74</v>
      </c>
      <c r="Q537" t="s">
        <v>74</v>
      </c>
      <c r="R537" t="s">
        <v>74</v>
      </c>
      <c r="S537" t="s">
        <v>74</v>
      </c>
      <c r="T537" t="s">
        <v>74</v>
      </c>
      <c r="U537" t="s">
        <v>10955</v>
      </c>
      <c r="V537" t="s">
        <v>10956</v>
      </c>
      <c r="W537" t="s">
        <v>10957</v>
      </c>
      <c r="X537" t="s">
        <v>10958</v>
      </c>
      <c r="Y537" t="s">
        <v>10959</v>
      </c>
      <c r="Z537" t="s">
        <v>10960</v>
      </c>
      <c r="AA537" t="s">
        <v>10961</v>
      </c>
      <c r="AB537" t="s">
        <v>10962</v>
      </c>
      <c r="AC537" t="s">
        <v>10963</v>
      </c>
      <c r="AD537" t="s">
        <v>10964</v>
      </c>
      <c r="AE537" t="s">
        <v>10965</v>
      </c>
      <c r="AF537" t="s">
        <v>74</v>
      </c>
      <c r="AG537">
        <v>38</v>
      </c>
      <c r="AH537">
        <v>87</v>
      </c>
      <c r="AI537">
        <v>95</v>
      </c>
      <c r="AJ537">
        <v>3</v>
      </c>
      <c r="AK537">
        <v>15</v>
      </c>
      <c r="AL537" t="s">
        <v>1495</v>
      </c>
      <c r="AM537" t="s">
        <v>1496</v>
      </c>
      <c r="AN537" t="s">
        <v>1497</v>
      </c>
      <c r="AO537" t="s">
        <v>2062</v>
      </c>
      <c r="AP537" t="s">
        <v>2063</v>
      </c>
      <c r="AQ537" t="s">
        <v>74</v>
      </c>
      <c r="AR537" t="s">
        <v>2064</v>
      </c>
      <c r="AS537" t="s">
        <v>2065</v>
      </c>
      <c r="AT537" t="s">
        <v>10948</v>
      </c>
      <c r="AU537">
        <v>2020</v>
      </c>
      <c r="AV537">
        <v>33</v>
      </c>
      <c r="AW537">
        <v>18</v>
      </c>
      <c r="AX537" t="s">
        <v>74</v>
      </c>
      <c r="AY537" t="s">
        <v>74</v>
      </c>
      <c r="AZ537" t="s">
        <v>74</v>
      </c>
      <c r="BA537" t="s">
        <v>74</v>
      </c>
      <c r="BB537">
        <v>8107</v>
      </c>
      <c r="BC537">
        <v>8123</v>
      </c>
      <c r="BD537" t="s">
        <v>74</v>
      </c>
      <c r="BE537" t="s">
        <v>10966</v>
      </c>
      <c r="BF537" t="str">
        <f>HYPERLINK("http://dx.doi.org/10.1175/JCLI-D-19-0976.1","http://dx.doi.org/10.1175/JCLI-D-19-0976.1")</f>
        <v>http://dx.doi.org/10.1175/JCLI-D-19-0976.1</v>
      </c>
      <c r="BG537" t="s">
        <v>74</v>
      </c>
      <c r="BH537" t="s">
        <v>74</v>
      </c>
      <c r="BI537">
        <v>17</v>
      </c>
      <c r="BJ537" t="s">
        <v>800</v>
      </c>
      <c r="BK537" t="s">
        <v>100</v>
      </c>
      <c r="BL537" t="s">
        <v>800</v>
      </c>
      <c r="BM537" t="s">
        <v>10967</v>
      </c>
      <c r="BN537" t="s">
        <v>74</v>
      </c>
      <c r="BO537" t="s">
        <v>10968</v>
      </c>
      <c r="BP537" t="s">
        <v>74</v>
      </c>
      <c r="BQ537" t="s">
        <v>74</v>
      </c>
      <c r="BR537" t="s">
        <v>104</v>
      </c>
      <c r="BS537" t="s">
        <v>10969</v>
      </c>
      <c r="BT537" t="str">
        <f>HYPERLINK("https%3A%2F%2Fwww.webofscience.com%2Fwos%2Fwoscc%2Ffull-record%2FWOS:000589810400021","View Full Record in Web of Science")</f>
        <v>View Full Record in Web of Science</v>
      </c>
    </row>
    <row r="538" spans="1:72" x14ac:dyDescent="0.15">
      <c r="A538" t="s">
        <v>72</v>
      </c>
      <c r="B538" t="s">
        <v>10970</v>
      </c>
      <c r="C538" t="s">
        <v>74</v>
      </c>
      <c r="D538" t="s">
        <v>74</v>
      </c>
      <c r="E538" t="s">
        <v>74</v>
      </c>
      <c r="F538" t="s">
        <v>10971</v>
      </c>
      <c r="G538" t="s">
        <v>74</v>
      </c>
      <c r="H538" t="s">
        <v>74</v>
      </c>
      <c r="I538" t="s">
        <v>10972</v>
      </c>
      <c r="J538" t="s">
        <v>901</v>
      </c>
      <c r="K538" t="s">
        <v>74</v>
      </c>
      <c r="L538" t="s">
        <v>74</v>
      </c>
      <c r="M538" t="s">
        <v>78</v>
      </c>
      <c r="N538" t="s">
        <v>79</v>
      </c>
      <c r="O538" t="s">
        <v>74</v>
      </c>
      <c r="P538" t="s">
        <v>74</v>
      </c>
      <c r="Q538" t="s">
        <v>74</v>
      </c>
      <c r="R538" t="s">
        <v>74</v>
      </c>
      <c r="S538" t="s">
        <v>74</v>
      </c>
      <c r="T538" t="s">
        <v>10973</v>
      </c>
      <c r="U538" t="s">
        <v>10974</v>
      </c>
      <c r="V538" t="s">
        <v>10975</v>
      </c>
      <c r="W538" t="s">
        <v>10976</v>
      </c>
      <c r="X538" t="s">
        <v>10977</v>
      </c>
      <c r="Y538" t="s">
        <v>10978</v>
      </c>
      <c r="Z538" t="s">
        <v>10979</v>
      </c>
      <c r="AA538" t="s">
        <v>10980</v>
      </c>
      <c r="AB538" t="s">
        <v>10981</v>
      </c>
      <c r="AC538" t="s">
        <v>10982</v>
      </c>
      <c r="AD538" t="s">
        <v>10983</v>
      </c>
      <c r="AE538" t="s">
        <v>10984</v>
      </c>
      <c r="AF538" t="s">
        <v>74</v>
      </c>
      <c r="AG538">
        <v>64</v>
      </c>
      <c r="AH538">
        <v>21</v>
      </c>
      <c r="AI538">
        <v>21</v>
      </c>
      <c r="AJ538">
        <v>0</v>
      </c>
      <c r="AK538">
        <v>5</v>
      </c>
      <c r="AL538" t="s">
        <v>866</v>
      </c>
      <c r="AM538" t="s">
        <v>867</v>
      </c>
      <c r="AN538" t="s">
        <v>868</v>
      </c>
      <c r="AO538" t="s">
        <v>74</v>
      </c>
      <c r="AP538" t="s">
        <v>914</v>
      </c>
      <c r="AQ538" t="s">
        <v>74</v>
      </c>
      <c r="AR538" t="s">
        <v>915</v>
      </c>
      <c r="AS538" t="s">
        <v>916</v>
      </c>
      <c r="AT538" t="s">
        <v>10948</v>
      </c>
      <c r="AU538">
        <v>2020</v>
      </c>
      <c r="AV538">
        <v>7</v>
      </c>
      <c r="AW538" t="s">
        <v>74</v>
      </c>
      <c r="AX538" t="s">
        <v>74</v>
      </c>
      <c r="AY538" t="s">
        <v>74</v>
      </c>
      <c r="AZ538" t="s">
        <v>74</v>
      </c>
      <c r="BA538" t="s">
        <v>74</v>
      </c>
      <c r="BB538" t="s">
        <v>74</v>
      </c>
      <c r="BC538" t="s">
        <v>74</v>
      </c>
      <c r="BD538">
        <v>543489</v>
      </c>
      <c r="BE538" t="s">
        <v>10985</v>
      </c>
      <c r="BF538" t="str">
        <f>HYPERLINK("http://dx.doi.org/10.3389/fmars.2020.543489","http://dx.doi.org/10.3389/fmars.2020.543489")</f>
        <v>http://dx.doi.org/10.3389/fmars.2020.543489</v>
      </c>
      <c r="BG538" t="s">
        <v>74</v>
      </c>
      <c r="BH538" t="s">
        <v>74</v>
      </c>
      <c r="BI538">
        <v>17</v>
      </c>
      <c r="BJ538" t="s">
        <v>918</v>
      </c>
      <c r="BK538" t="s">
        <v>100</v>
      </c>
      <c r="BL538" t="s">
        <v>919</v>
      </c>
      <c r="BM538" t="s">
        <v>10986</v>
      </c>
      <c r="BN538" t="s">
        <v>74</v>
      </c>
      <c r="BO538" t="s">
        <v>512</v>
      </c>
      <c r="BP538" t="s">
        <v>74</v>
      </c>
      <c r="BQ538" t="s">
        <v>74</v>
      </c>
      <c r="BR538" t="s">
        <v>104</v>
      </c>
      <c r="BS538" t="s">
        <v>10987</v>
      </c>
      <c r="BT538" t="str">
        <f>HYPERLINK("https%3A%2F%2Fwww.webofscience.com%2Fwos%2Fwoscc%2Ffull-record%2FWOS:000573881800001","View Full Record in Web of Science")</f>
        <v>View Full Record in Web of Science</v>
      </c>
    </row>
    <row r="539" spans="1:72" x14ac:dyDescent="0.15">
      <c r="A539" t="s">
        <v>72</v>
      </c>
      <c r="B539" t="s">
        <v>10988</v>
      </c>
      <c r="C539" t="s">
        <v>74</v>
      </c>
      <c r="D539" t="s">
        <v>74</v>
      </c>
      <c r="E539" t="s">
        <v>74</v>
      </c>
      <c r="F539" t="s">
        <v>10989</v>
      </c>
      <c r="G539" t="s">
        <v>74</v>
      </c>
      <c r="H539" t="s">
        <v>74</v>
      </c>
      <c r="I539" t="s">
        <v>10990</v>
      </c>
      <c r="J539" t="s">
        <v>901</v>
      </c>
      <c r="K539" t="s">
        <v>74</v>
      </c>
      <c r="L539" t="s">
        <v>74</v>
      </c>
      <c r="M539" t="s">
        <v>78</v>
      </c>
      <c r="N539" t="s">
        <v>79</v>
      </c>
      <c r="O539" t="s">
        <v>74</v>
      </c>
      <c r="P539" t="s">
        <v>74</v>
      </c>
      <c r="Q539" t="s">
        <v>74</v>
      </c>
      <c r="R539" t="s">
        <v>74</v>
      </c>
      <c r="S539" t="s">
        <v>74</v>
      </c>
      <c r="T539" t="s">
        <v>10991</v>
      </c>
      <c r="U539" t="s">
        <v>10992</v>
      </c>
      <c r="V539" t="s">
        <v>10993</v>
      </c>
      <c r="W539" t="s">
        <v>10994</v>
      </c>
      <c r="X539" t="s">
        <v>10995</v>
      </c>
      <c r="Y539" t="s">
        <v>10996</v>
      </c>
      <c r="Z539" t="s">
        <v>10997</v>
      </c>
      <c r="AA539" t="s">
        <v>10998</v>
      </c>
      <c r="AB539" t="s">
        <v>10999</v>
      </c>
      <c r="AC539" t="s">
        <v>11000</v>
      </c>
      <c r="AD539" t="s">
        <v>11001</v>
      </c>
      <c r="AE539" t="s">
        <v>11002</v>
      </c>
      <c r="AF539" t="s">
        <v>74</v>
      </c>
      <c r="AG539">
        <v>57</v>
      </c>
      <c r="AH539">
        <v>126</v>
      </c>
      <c r="AI539">
        <v>136</v>
      </c>
      <c r="AJ539">
        <v>8</v>
      </c>
      <c r="AK539">
        <v>59</v>
      </c>
      <c r="AL539" t="s">
        <v>866</v>
      </c>
      <c r="AM539" t="s">
        <v>867</v>
      </c>
      <c r="AN539" t="s">
        <v>868</v>
      </c>
      <c r="AO539" t="s">
        <v>74</v>
      </c>
      <c r="AP539" t="s">
        <v>914</v>
      </c>
      <c r="AQ539" t="s">
        <v>74</v>
      </c>
      <c r="AR539" t="s">
        <v>915</v>
      </c>
      <c r="AS539" t="s">
        <v>916</v>
      </c>
      <c r="AT539" t="s">
        <v>10948</v>
      </c>
      <c r="AU539">
        <v>2020</v>
      </c>
      <c r="AV539">
        <v>7</v>
      </c>
      <c r="AW539" t="s">
        <v>74</v>
      </c>
      <c r="AX539" t="s">
        <v>74</v>
      </c>
      <c r="AY539" t="s">
        <v>74</v>
      </c>
      <c r="AZ539" t="s">
        <v>74</v>
      </c>
      <c r="BA539" t="s">
        <v>74</v>
      </c>
      <c r="BB539" t="s">
        <v>74</v>
      </c>
      <c r="BC539" t="s">
        <v>74</v>
      </c>
      <c r="BD539">
        <v>700</v>
      </c>
      <c r="BE539" t="s">
        <v>11003</v>
      </c>
      <c r="BF539" t="str">
        <f>HYPERLINK("http://dx.doi.org/10.3389/fmars.2020.00700","http://dx.doi.org/10.3389/fmars.2020.00700")</f>
        <v>http://dx.doi.org/10.3389/fmars.2020.00700</v>
      </c>
      <c r="BG539" t="s">
        <v>74</v>
      </c>
      <c r="BH539" t="s">
        <v>74</v>
      </c>
      <c r="BI539">
        <v>23</v>
      </c>
      <c r="BJ539" t="s">
        <v>918</v>
      </c>
      <c r="BK539" t="s">
        <v>100</v>
      </c>
      <c r="BL539" t="s">
        <v>919</v>
      </c>
      <c r="BM539" t="s">
        <v>11004</v>
      </c>
      <c r="BN539" t="s">
        <v>74</v>
      </c>
      <c r="BO539" t="s">
        <v>397</v>
      </c>
      <c r="BP539" t="s">
        <v>417</v>
      </c>
      <c r="BQ539" t="s">
        <v>418</v>
      </c>
      <c r="BR539" t="s">
        <v>104</v>
      </c>
      <c r="BS539" t="s">
        <v>11005</v>
      </c>
      <c r="BT539" t="str">
        <f>HYPERLINK("https%3A%2F%2Fwww.webofscience.com%2Fwos%2Fwoscc%2Ffull-record%2FWOS:000573881200001","View Full Record in Web of Science")</f>
        <v>View Full Record in Web of Science</v>
      </c>
    </row>
    <row r="540" spans="1:72" x14ac:dyDescent="0.15">
      <c r="A540" t="s">
        <v>72</v>
      </c>
      <c r="B540" t="s">
        <v>11006</v>
      </c>
      <c r="C540" t="s">
        <v>74</v>
      </c>
      <c r="D540" t="s">
        <v>74</v>
      </c>
      <c r="E540" t="s">
        <v>74</v>
      </c>
      <c r="F540" t="s">
        <v>11007</v>
      </c>
      <c r="G540" t="s">
        <v>74</v>
      </c>
      <c r="H540" t="s">
        <v>74</v>
      </c>
      <c r="I540" t="s">
        <v>11008</v>
      </c>
      <c r="J540" t="s">
        <v>925</v>
      </c>
      <c r="K540" t="s">
        <v>74</v>
      </c>
      <c r="L540" t="s">
        <v>74</v>
      </c>
      <c r="M540" t="s">
        <v>78</v>
      </c>
      <c r="N540" t="s">
        <v>79</v>
      </c>
      <c r="O540" t="s">
        <v>74</v>
      </c>
      <c r="P540" t="s">
        <v>74</v>
      </c>
      <c r="Q540" t="s">
        <v>74</v>
      </c>
      <c r="R540" t="s">
        <v>74</v>
      </c>
      <c r="S540" t="s">
        <v>74</v>
      </c>
      <c r="T540" t="s">
        <v>74</v>
      </c>
      <c r="U540" t="s">
        <v>11009</v>
      </c>
      <c r="V540" t="s">
        <v>11010</v>
      </c>
      <c r="W540" t="s">
        <v>11011</v>
      </c>
      <c r="X540" t="s">
        <v>11012</v>
      </c>
      <c r="Y540" t="s">
        <v>11013</v>
      </c>
      <c r="Z540" t="s">
        <v>11014</v>
      </c>
      <c r="AA540" t="s">
        <v>11015</v>
      </c>
      <c r="AB540" t="s">
        <v>11016</v>
      </c>
      <c r="AC540" t="s">
        <v>11017</v>
      </c>
      <c r="AD540" t="s">
        <v>11018</v>
      </c>
      <c r="AE540" t="s">
        <v>11019</v>
      </c>
      <c r="AF540" t="s">
        <v>74</v>
      </c>
      <c r="AG540">
        <v>87</v>
      </c>
      <c r="AH540">
        <v>22</v>
      </c>
      <c r="AI540">
        <v>26</v>
      </c>
      <c r="AJ540">
        <v>13</v>
      </c>
      <c r="AK540">
        <v>132</v>
      </c>
      <c r="AL540" t="s">
        <v>937</v>
      </c>
      <c r="AM540" t="s">
        <v>609</v>
      </c>
      <c r="AN540" t="s">
        <v>938</v>
      </c>
      <c r="AO540" t="s">
        <v>939</v>
      </c>
      <c r="AP540" t="s">
        <v>940</v>
      </c>
      <c r="AQ540" t="s">
        <v>74</v>
      </c>
      <c r="AR540" t="s">
        <v>941</v>
      </c>
      <c r="AS540" t="s">
        <v>942</v>
      </c>
      <c r="AT540" t="s">
        <v>10948</v>
      </c>
      <c r="AU540">
        <v>2020</v>
      </c>
      <c r="AV540">
        <v>54</v>
      </c>
      <c r="AW540">
        <v>18</v>
      </c>
      <c r="AX540" t="s">
        <v>74</v>
      </c>
      <c r="AY540" t="s">
        <v>74</v>
      </c>
      <c r="AZ540" t="s">
        <v>74</v>
      </c>
      <c r="BA540" t="s">
        <v>74</v>
      </c>
      <c r="BB540">
        <v>11344</v>
      </c>
      <c r="BC540">
        <v>11355</v>
      </c>
      <c r="BD540" t="s">
        <v>74</v>
      </c>
      <c r="BE540" t="s">
        <v>11020</v>
      </c>
      <c r="BF540" t="str">
        <f>HYPERLINK("http://dx.doi.org/10.1021/acs.est.0c04462","http://dx.doi.org/10.1021/acs.est.0c04462")</f>
        <v>http://dx.doi.org/10.1021/acs.est.0c04462</v>
      </c>
      <c r="BG540" t="s">
        <v>74</v>
      </c>
      <c r="BH540" t="s">
        <v>74</v>
      </c>
      <c r="BI540">
        <v>12</v>
      </c>
      <c r="BJ540" t="s">
        <v>945</v>
      </c>
      <c r="BK540" t="s">
        <v>100</v>
      </c>
      <c r="BL540" t="s">
        <v>946</v>
      </c>
      <c r="BM540" t="s">
        <v>11021</v>
      </c>
      <c r="BN540">
        <v>32822538</v>
      </c>
      <c r="BO540" t="s">
        <v>74</v>
      </c>
      <c r="BP540" t="s">
        <v>74</v>
      </c>
      <c r="BQ540" t="s">
        <v>74</v>
      </c>
      <c r="BR540" t="s">
        <v>104</v>
      </c>
      <c r="BS540" t="s">
        <v>11022</v>
      </c>
      <c r="BT540" t="str">
        <f>HYPERLINK("https%3A%2F%2Fwww.webofscience.com%2Fwos%2Fwoscc%2Ffull-record%2FWOS:000572834700037","View Full Record in Web of Science")</f>
        <v>View Full Record in Web of Science</v>
      </c>
    </row>
    <row r="541" spans="1:72" x14ac:dyDescent="0.15">
      <c r="A541" t="s">
        <v>72</v>
      </c>
      <c r="B541" t="s">
        <v>11023</v>
      </c>
      <c r="C541" t="s">
        <v>74</v>
      </c>
      <c r="D541" t="s">
        <v>74</v>
      </c>
      <c r="E541" t="s">
        <v>74</v>
      </c>
      <c r="F541" t="s">
        <v>11024</v>
      </c>
      <c r="G541" t="s">
        <v>74</v>
      </c>
      <c r="H541" t="s">
        <v>74</v>
      </c>
      <c r="I541" t="s">
        <v>11025</v>
      </c>
      <c r="J541" t="s">
        <v>8716</v>
      </c>
      <c r="K541" t="s">
        <v>74</v>
      </c>
      <c r="L541" t="s">
        <v>74</v>
      </c>
      <c r="M541" t="s">
        <v>78</v>
      </c>
      <c r="N541" t="s">
        <v>79</v>
      </c>
      <c r="O541" t="s">
        <v>74</v>
      </c>
      <c r="P541" t="s">
        <v>74</v>
      </c>
      <c r="Q541" t="s">
        <v>74</v>
      </c>
      <c r="R541" t="s">
        <v>74</v>
      </c>
      <c r="S541" t="s">
        <v>74</v>
      </c>
      <c r="T541" t="s">
        <v>11026</v>
      </c>
      <c r="U541" t="s">
        <v>11027</v>
      </c>
      <c r="V541" t="s">
        <v>11028</v>
      </c>
      <c r="W541" t="s">
        <v>11029</v>
      </c>
      <c r="X541" t="s">
        <v>11030</v>
      </c>
      <c r="Y541" t="s">
        <v>11031</v>
      </c>
      <c r="Z541" t="s">
        <v>11032</v>
      </c>
      <c r="AA541" t="s">
        <v>11033</v>
      </c>
      <c r="AB541" t="s">
        <v>11034</v>
      </c>
      <c r="AC541" t="s">
        <v>11035</v>
      </c>
      <c r="AD541" t="s">
        <v>11036</v>
      </c>
      <c r="AE541" t="s">
        <v>11037</v>
      </c>
      <c r="AF541" t="s">
        <v>74</v>
      </c>
      <c r="AG541">
        <v>124</v>
      </c>
      <c r="AH541">
        <v>8</v>
      </c>
      <c r="AI541">
        <v>8</v>
      </c>
      <c r="AJ541">
        <v>1</v>
      </c>
      <c r="AK541">
        <v>6</v>
      </c>
      <c r="AL541" t="s">
        <v>275</v>
      </c>
      <c r="AM541" t="s">
        <v>276</v>
      </c>
      <c r="AN541" t="s">
        <v>277</v>
      </c>
      <c r="AO541" t="s">
        <v>8729</v>
      </c>
      <c r="AP541" t="s">
        <v>8730</v>
      </c>
      <c r="AQ541" t="s">
        <v>74</v>
      </c>
      <c r="AR541" t="s">
        <v>8731</v>
      </c>
      <c r="AS541" t="s">
        <v>8732</v>
      </c>
      <c r="AT541" t="s">
        <v>10948</v>
      </c>
      <c r="AU541">
        <v>2020</v>
      </c>
      <c r="AV541">
        <v>402</v>
      </c>
      <c r="AW541" t="s">
        <v>74</v>
      </c>
      <c r="AX541" t="s">
        <v>74</v>
      </c>
      <c r="AY541" t="s">
        <v>74</v>
      </c>
      <c r="AZ541" t="s">
        <v>74</v>
      </c>
      <c r="BA541" t="s">
        <v>74</v>
      </c>
      <c r="BB541" t="s">
        <v>74</v>
      </c>
      <c r="BC541" t="s">
        <v>74</v>
      </c>
      <c r="BD541">
        <v>106986</v>
      </c>
      <c r="BE541" t="s">
        <v>11038</v>
      </c>
      <c r="BF541" t="str">
        <f>HYPERLINK("http://dx.doi.org/10.1016/j.jvolgeores.2020.106986","http://dx.doi.org/10.1016/j.jvolgeores.2020.106986")</f>
        <v>http://dx.doi.org/10.1016/j.jvolgeores.2020.106986</v>
      </c>
      <c r="BG541" t="s">
        <v>74</v>
      </c>
      <c r="BH541" t="s">
        <v>74</v>
      </c>
      <c r="BI541">
        <v>17</v>
      </c>
      <c r="BJ541" t="s">
        <v>534</v>
      </c>
      <c r="BK541" t="s">
        <v>100</v>
      </c>
      <c r="BL541" t="s">
        <v>535</v>
      </c>
      <c r="BM541" t="s">
        <v>11039</v>
      </c>
      <c r="BN541" t="s">
        <v>74</v>
      </c>
      <c r="BO541" t="s">
        <v>1259</v>
      </c>
      <c r="BP541" t="s">
        <v>74</v>
      </c>
      <c r="BQ541" t="s">
        <v>74</v>
      </c>
      <c r="BR541" t="s">
        <v>104</v>
      </c>
      <c r="BS541" t="s">
        <v>11040</v>
      </c>
      <c r="BT541" t="str">
        <f>HYPERLINK("https%3A%2F%2Fwww.webofscience.com%2Fwos%2Fwoscc%2Ffull-record%2FWOS:000572978400006","View Full Record in Web of Science")</f>
        <v>View Full Record in Web of Science</v>
      </c>
    </row>
    <row r="542" spans="1:72" x14ac:dyDescent="0.15">
      <c r="A542" t="s">
        <v>72</v>
      </c>
      <c r="B542" t="s">
        <v>11041</v>
      </c>
      <c r="C542" t="s">
        <v>74</v>
      </c>
      <c r="D542" t="s">
        <v>74</v>
      </c>
      <c r="E542" t="s">
        <v>74</v>
      </c>
      <c r="F542" t="s">
        <v>11042</v>
      </c>
      <c r="G542" t="s">
        <v>74</v>
      </c>
      <c r="H542" t="s">
        <v>74</v>
      </c>
      <c r="I542" t="s">
        <v>11043</v>
      </c>
      <c r="J542" t="s">
        <v>11044</v>
      </c>
      <c r="K542" t="s">
        <v>74</v>
      </c>
      <c r="L542" t="s">
        <v>74</v>
      </c>
      <c r="M542" t="s">
        <v>78</v>
      </c>
      <c r="N542" t="s">
        <v>79</v>
      </c>
      <c r="O542" t="s">
        <v>74</v>
      </c>
      <c r="P542" t="s">
        <v>74</v>
      </c>
      <c r="Q542" t="s">
        <v>74</v>
      </c>
      <c r="R542" t="s">
        <v>74</v>
      </c>
      <c r="S542" t="s">
        <v>74</v>
      </c>
      <c r="T542" t="s">
        <v>11045</v>
      </c>
      <c r="U542" t="s">
        <v>74</v>
      </c>
      <c r="V542" t="s">
        <v>11046</v>
      </c>
      <c r="W542" t="s">
        <v>11047</v>
      </c>
      <c r="X542" t="s">
        <v>11048</v>
      </c>
      <c r="Y542" t="s">
        <v>11049</v>
      </c>
      <c r="Z542" t="s">
        <v>11050</v>
      </c>
      <c r="AA542" t="s">
        <v>74</v>
      </c>
      <c r="AB542" t="s">
        <v>74</v>
      </c>
      <c r="AC542" t="s">
        <v>74</v>
      </c>
      <c r="AD542" t="s">
        <v>74</v>
      </c>
      <c r="AE542" t="s">
        <v>74</v>
      </c>
      <c r="AF542" t="s">
        <v>74</v>
      </c>
      <c r="AG542">
        <v>39</v>
      </c>
      <c r="AH542">
        <v>0</v>
      </c>
      <c r="AI542">
        <v>0</v>
      </c>
      <c r="AJ542">
        <v>1</v>
      </c>
      <c r="AK542">
        <v>5</v>
      </c>
      <c r="AL542" t="s">
        <v>5077</v>
      </c>
      <c r="AM542" t="s">
        <v>693</v>
      </c>
      <c r="AN542" t="s">
        <v>5078</v>
      </c>
      <c r="AO542" t="s">
        <v>11051</v>
      </c>
      <c r="AP542" t="s">
        <v>11052</v>
      </c>
      <c r="AQ542" t="s">
        <v>74</v>
      </c>
      <c r="AR542" t="s">
        <v>11053</v>
      </c>
      <c r="AS542" t="s">
        <v>11054</v>
      </c>
      <c r="AT542" t="s">
        <v>11055</v>
      </c>
      <c r="AU542">
        <v>2021</v>
      </c>
      <c r="AV542">
        <v>15</v>
      </c>
      <c r="AW542">
        <v>3</v>
      </c>
      <c r="AX542" t="s">
        <v>74</v>
      </c>
      <c r="AY542" t="s">
        <v>74</v>
      </c>
      <c r="AZ542" t="s">
        <v>74</v>
      </c>
      <c r="BA542" t="s">
        <v>74</v>
      </c>
      <c r="BB542">
        <v>238</v>
      </c>
      <c r="BC542">
        <v>255</v>
      </c>
      <c r="BD542" t="s">
        <v>74</v>
      </c>
      <c r="BE542" t="s">
        <v>11056</v>
      </c>
      <c r="BF542" t="str">
        <f>HYPERLINK("http://dx.doi.org/10.1080/17503280.2020.1815125","http://dx.doi.org/10.1080/17503280.2020.1815125")</f>
        <v>http://dx.doi.org/10.1080/17503280.2020.1815125</v>
      </c>
      <c r="BG542" t="s">
        <v>74</v>
      </c>
      <c r="BH542" t="s">
        <v>9526</v>
      </c>
      <c r="BI542">
        <v>18</v>
      </c>
      <c r="BJ542" t="s">
        <v>11057</v>
      </c>
      <c r="BK542" t="s">
        <v>1214</v>
      </c>
      <c r="BL542" t="s">
        <v>11058</v>
      </c>
      <c r="BM542" t="s">
        <v>11059</v>
      </c>
      <c r="BN542" t="s">
        <v>74</v>
      </c>
      <c r="BO542" t="s">
        <v>74</v>
      </c>
      <c r="BP542" t="s">
        <v>74</v>
      </c>
      <c r="BQ542" t="s">
        <v>74</v>
      </c>
      <c r="BR542" t="s">
        <v>104</v>
      </c>
      <c r="BS542" t="s">
        <v>11060</v>
      </c>
      <c r="BT542" t="str">
        <f>HYPERLINK("https%3A%2F%2Fwww.webofscience.com%2Fwos%2Fwoscc%2Ffull-record%2FWOS:000572265400001","View Full Record in Web of Science")</f>
        <v>View Full Record in Web of Science</v>
      </c>
    </row>
    <row r="543" spans="1:72" x14ac:dyDescent="0.15">
      <c r="A543" t="s">
        <v>72</v>
      </c>
      <c r="B543" t="s">
        <v>11061</v>
      </c>
      <c r="C543" t="s">
        <v>74</v>
      </c>
      <c r="D543" t="s">
        <v>74</v>
      </c>
      <c r="E543" t="s">
        <v>74</v>
      </c>
      <c r="F543" t="s">
        <v>11062</v>
      </c>
      <c r="G543" t="s">
        <v>74</v>
      </c>
      <c r="H543" t="s">
        <v>74</v>
      </c>
      <c r="I543" t="s">
        <v>11063</v>
      </c>
      <c r="J543" t="s">
        <v>469</v>
      </c>
      <c r="K543" t="s">
        <v>74</v>
      </c>
      <c r="L543" t="s">
        <v>74</v>
      </c>
      <c r="M543" t="s">
        <v>78</v>
      </c>
      <c r="N543" t="s">
        <v>79</v>
      </c>
      <c r="O543" t="s">
        <v>74</v>
      </c>
      <c r="P543" t="s">
        <v>74</v>
      </c>
      <c r="Q543" t="s">
        <v>74</v>
      </c>
      <c r="R543" t="s">
        <v>74</v>
      </c>
      <c r="S543" t="s">
        <v>74</v>
      </c>
      <c r="T543" t="s">
        <v>11064</v>
      </c>
      <c r="U543" t="s">
        <v>11065</v>
      </c>
      <c r="V543" t="s">
        <v>11066</v>
      </c>
      <c r="W543" t="s">
        <v>11067</v>
      </c>
      <c r="X543" t="s">
        <v>11068</v>
      </c>
      <c r="Y543" t="s">
        <v>11069</v>
      </c>
      <c r="Z543" t="s">
        <v>11070</v>
      </c>
      <c r="AA543" t="s">
        <v>11071</v>
      </c>
      <c r="AB543" t="s">
        <v>11072</v>
      </c>
      <c r="AC543" t="s">
        <v>11073</v>
      </c>
      <c r="AD543" t="s">
        <v>11074</v>
      </c>
      <c r="AE543" t="s">
        <v>11075</v>
      </c>
      <c r="AF543" t="s">
        <v>74</v>
      </c>
      <c r="AG543">
        <v>124</v>
      </c>
      <c r="AH543">
        <v>4</v>
      </c>
      <c r="AI543">
        <v>5</v>
      </c>
      <c r="AJ543">
        <v>2</v>
      </c>
      <c r="AK543">
        <v>9</v>
      </c>
      <c r="AL543" t="s">
        <v>482</v>
      </c>
      <c r="AM543" t="s">
        <v>483</v>
      </c>
      <c r="AN543" t="s">
        <v>484</v>
      </c>
      <c r="AO543" t="s">
        <v>485</v>
      </c>
      <c r="AP543" t="s">
        <v>486</v>
      </c>
      <c r="AQ543" t="s">
        <v>74</v>
      </c>
      <c r="AR543" t="s">
        <v>487</v>
      </c>
      <c r="AS543" t="s">
        <v>488</v>
      </c>
      <c r="AT543" t="s">
        <v>2623</v>
      </c>
      <c r="AU543">
        <v>2021</v>
      </c>
      <c r="AV543">
        <v>81</v>
      </c>
      <c r="AW543">
        <v>2</v>
      </c>
      <c r="AX543" t="s">
        <v>74</v>
      </c>
      <c r="AY543" t="s">
        <v>74</v>
      </c>
      <c r="AZ543" t="s">
        <v>74</v>
      </c>
      <c r="BA543" t="s">
        <v>74</v>
      </c>
      <c r="BB543">
        <v>396</v>
      </c>
      <c r="BC543">
        <v>409</v>
      </c>
      <c r="BD543" t="s">
        <v>74</v>
      </c>
      <c r="BE543" t="s">
        <v>11076</v>
      </c>
      <c r="BF543" t="str">
        <f>HYPERLINK("http://dx.doi.org/10.1007/s00248-020-01589-4","http://dx.doi.org/10.1007/s00248-020-01589-4")</f>
        <v>http://dx.doi.org/10.1007/s00248-020-01589-4</v>
      </c>
      <c r="BG543" t="s">
        <v>74</v>
      </c>
      <c r="BH543" t="s">
        <v>9526</v>
      </c>
      <c r="BI543">
        <v>14</v>
      </c>
      <c r="BJ543" t="s">
        <v>491</v>
      </c>
      <c r="BK543" t="s">
        <v>100</v>
      </c>
      <c r="BL543" t="s">
        <v>492</v>
      </c>
      <c r="BM543" t="s">
        <v>11077</v>
      </c>
      <c r="BN543">
        <v>32935183</v>
      </c>
      <c r="BO543" t="s">
        <v>701</v>
      </c>
      <c r="BP543" t="s">
        <v>74</v>
      </c>
      <c r="BQ543" t="s">
        <v>74</v>
      </c>
      <c r="BR543" t="s">
        <v>104</v>
      </c>
      <c r="BS543" t="s">
        <v>11078</v>
      </c>
      <c r="BT543" t="str">
        <f>HYPERLINK("https%3A%2F%2Fwww.webofscience.com%2Fwos%2Fwoscc%2Ffull-record%2FWOS:000569570800001","View Full Record in Web of Science")</f>
        <v>View Full Record in Web of Science</v>
      </c>
    </row>
    <row r="544" spans="1:72" x14ac:dyDescent="0.15">
      <c r="A544" t="s">
        <v>72</v>
      </c>
      <c r="B544" t="s">
        <v>11079</v>
      </c>
      <c r="C544" t="s">
        <v>74</v>
      </c>
      <c r="D544" t="s">
        <v>74</v>
      </c>
      <c r="E544" t="s">
        <v>74</v>
      </c>
      <c r="F544" t="s">
        <v>11080</v>
      </c>
      <c r="G544" t="s">
        <v>74</v>
      </c>
      <c r="H544" t="s">
        <v>74</v>
      </c>
      <c r="I544" t="s">
        <v>11081</v>
      </c>
      <c r="J544" t="s">
        <v>207</v>
      </c>
      <c r="K544" t="s">
        <v>74</v>
      </c>
      <c r="L544" t="s">
        <v>74</v>
      </c>
      <c r="M544" t="s">
        <v>78</v>
      </c>
      <c r="N544" t="s">
        <v>79</v>
      </c>
      <c r="O544" t="s">
        <v>74</v>
      </c>
      <c r="P544" t="s">
        <v>74</v>
      </c>
      <c r="Q544" t="s">
        <v>74</v>
      </c>
      <c r="R544" t="s">
        <v>74</v>
      </c>
      <c r="S544" t="s">
        <v>74</v>
      </c>
      <c r="T544" t="s">
        <v>74</v>
      </c>
      <c r="U544" t="s">
        <v>11082</v>
      </c>
      <c r="V544" t="s">
        <v>11083</v>
      </c>
      <c r="W544" t="s">
        <v>11084</v>
      </c>
      <c r="X544" t="s">
        <v>11085</v>
      </c>
      <c r="Y544" t="s">
        <v>11086</v>
      </c>
      <c r="Z544" t="s">
        <v>11087</v>
      </c>
      <c r="AA544" t="s">
        <v>9205</v>
      </c>
      <c r="AB544" t="s">
        <v>11088</v>
      </c>
      <c r="AC544" t="s">
        <v>11089</v>
      </c>
      <c r="AD544" t="s">
        <v>11090</v>
      </c>
      <c r="AE544" t="s">
        <v>11091</v>
      </c>
      <c r="AF544" t="s">
        <v>74</v>
      </c>
      <c r="AG544">
        <v>69</v>
      </c>
      <c r="AH544">
        <v>10</v>
      </c>
      <c r="AI544">
        <v>11</v>
      </c>
      <c r="AJ544">
        <v>3</v>
      </c>
      <c r="AK544">
        <v>34</v>
      </c>
      <c r="AL544" t="s">
        <v>219</v>
      </c>
      <c r="AM544" t="s">
        <v>220</v>
      </c>
      <c r="AN544" t="s">
        <v>221</v>
      </c>
      <c r="AO544" t="s">
        <v>222</v>
      </c>
      <c r="AP544" t="s">
        <v>223</v>
      </c>
      <c r="AQ544" t="s">
        <v>74</v>
      </c>
      <c r="AR544" t="s">
        <v>224</v>
      </c>
      <c r="AS544" t="s">
        <v>225</v>
      </c>
      <c r="AT544" t="s">
        <v>1212</v>
      </c>
      <c r="AU544">
        <v>2020</v>
      </c>
      <c r="AV544">
        <v>22</v>
      </c>
      <c r="AW544">
        <v>11</v>
      </c>
      <c r="AX544" t="s">
        <v>74</v>
      </c>
      <c r="AY544" t="s">
        <v>74</v>
      </c>
      <c r="AZ544" t="s">
        <v>74</v>
      </c>
      <c r="BA544" t="s">
        <v>74</v>
      </c>
      <c r="BB544">
        <v>4620</v>
      </c>
      <c r="BC544">
        <v>4632</v>
      </c>
      <c r="BD544" t="s">
        <v>74</v>
      </c>
      <c r="BE544" t="s">
        <v>11092</v>
      </c>
      <c r="BF544" t="str">
        <f>HYPERLINK("http://dx.doi.org/10.1111/1462-2920.15198","http://dx.doi.org/10.1111/1462-2920.15198")</f>
        <v>http://dx.doi.org/10.1111/1462-2920.15198</v>
      </c>
      <c r="BG544" t="s">
        <v>74</v>
      </c>
      <c r="BH544" t="s">
        <v>9526</v>
      </c>
      <c r="BI544">
        <v>13</v>
      </c>
      <c r="BJ544" t="s">
        <v>229</v>
      </c>
      <c r="BK544" t="s">
        <v>100</v>
      </c>
      <c r="BL544" t="s">
        <v>229</v>
      </c>
      <c r="BM544" t="s">
        <v>11093</v>
      </c>
      <c r="BN544">
        <v>32803809</v>
      </c>
      <c r="BO544" t="s">
        <v>775</v>
      </c>
      <c r="BP544" t="s">
        <v>74</v>
      </c>
      <c r="BQ544" t="s">
        <v>74</v>
      </c>
      <c r="BR544" t="s">
        <v>104</v>
      </c>
      <c r="BS544" t="s">
        <v>11094</v>
      </c>
      <c r="BT544" t="str">
        <f>HYPERLINK("https%3A%2F%2Fwww.webofscience.com%2Fwos%2Fwoscc%2Ffull-record%2FWOS:000569353300001","View Full Record in Web of Science")</f>
        <v>View Full Record in Web of Science</v>
      </c>
    </row>
    <row r="545" spans="1:72" x14ac:dyDescent="0.15">
      <c r="A545" t="s">
        <v>72</v>
      </c>
      <c r="B545" t="s">
        <v>11095</v>
      </c>
      <c r="C545" t="s">
        <v>74</v>
      </c>
      <c r="D545" t="s">
        <v>74</v>
      </c>
      <c r="E545" t="s">
        <v>74</v>
      </c>
      <c r="F545" t="s">
        <v>11096</v>
      </c>
      <c r="G545" t="s">
        <v>74</v>
      </c>
      <c r="H545" t="s">
        <v>74</v>
      </c>
      <c r="I545" t="s">
        <v>11097</v>
      </c>
      <c r="J545" t="s">
        <v>11098</v>
      </c>
      <c r="K545" t="s">
        <v>74</v>
      </c>
      <c r="L545" t="s">
        <v>74</v>
      </c>
      <c r="M545" t="s">
        <v>78</v>
      </c>
      <c r="N545" t="s">
        <v>79</v>
      </c>
      <c r="O545" t="s">
        <v>74</v>
      </c>
      <c r="P545" t="s">
        <v>74</v>
      </c>
      <c r="Q545" t="s">
        <v>74</v>
      </c>
      <c r="R545" t="s">
        <v>74</v>
      </c>
      <c r="S545" t="s">
        <v>74</v>
      </c>
      <c r="T545" t="s">
        <v>11099</v>
      </c>
      <c r="U545" t="s">
        <v>11100</v>
      </c>
      <c r="V545" t="s">
        <v>11101</v>
      </c>
      <c r="W545" t="s">
        <v>11102</v>
      </c>
      <c r="X545" t="s">
        <v>11103</v>
      </c>
      <c r="Y545" t="s">
        <v>11104</v>
      </c>
      <c r="Z545" t="s">
        <v>11105</v>
      </c>
      <c r="AA545" t="s">
        <v>11106</v>
      </c>
      <c r="AB545" t="s">
        <v>11107</v>
      </c>
      <c r="AC545" t="s">
        <v>11108</v>
      </c>
      <c r="AD545" t="s">
        <v>11109</v>
      </c>
      <c r="AE545" t="s">
        <v>11110</v>
      </c>
      <c r="AF545" t="s">
        <v>74</v>
      </c>
      <c r="AG545">
        <v>79</v>
      </c>
      <c r="AH545">
        <v>5</v>
      </c>
      <c r="AI545">
        <v>5</v>
      </c>
      <c r="AJ545">
        <v>0</v>
      </c>
      <c r="AK545">
        <v>11</v>
      </c>
      <c r="AL545" t="s">
        <v>219</v>
      </c>
      <c r="AM545" t="s">
        <v>220</v>
      </c>
      <c r="AN545" t="s">
        <v>221</v>
      </c>
      <c r="AO545" t="s">
        <v>11111</v>
      </c>
      <c r="AP545" t="s">
        <v>11112</v>
      </c>
      <c r="AQ545" t="s">
        <v>74</v>
      </c>
      <c r="AR545" t="s">
        <v>11098</v>
      </c>
      <c r="AS545" t="s">
        <v>11113</v>
      </c>
      <c r="AT545" t="s">
        <v>252</v>
      </c>
      <c r="AU545">
        <v>2021</v>
      </c>
      <c r="AV545">
        <v>19</v>
      </c>
      <c r="AW545">
        <v>1</v>
      </c>
      <c r="AX545" t="s">
        <v>74</v>
      </c>
      <c r="AY545" t="s">
        <v>74</v>
      </c>
      <c r="AZ545" t="s">
        <v>74</v>
      </c>
      <c r="BA545" t="s">
        <v>74</v>
      </c>
      <c r="BB545">
        <v>63</v>
      </c>
      <c r="BC545">
        <v>74</v>
      </c>
      <c r="BD545" t="s">
        <v>74</v>
      </c>
      <c r="BE545" t="s">
        <v>11114</v>
      </c>
      <c r="BF545" t="str">
        <f>HYPERLINK("http://dx.doi.org/10.1111/gbi.12414","http://dx.doi.org/10.1111/gbi.12414")</f>
        <v>http://dx.doi.org/10.1111/gbi.12414</v>
      </c>
      <c r="BG545" t="s">
        <v>74</v>
      </c>
      <c r="BH545" t="s">
        <v>9526</v>
      </c>
      <c r="BI545">
        <v>12</v>
      </c>
      <c r="BJ545" t="s">
        <v>11115</v>
      </c>
      <c r="BK545" t="s">
        <v>100</v>
      </c>
      <c r="BL545" t="s">
        <v>11116</v>
      </c>
      <c r="BM545" t="s">
        <v>11117</v>
      </c>
      <c r="BN545">
        <v>32931664</v>
      </c>
      <c r="BO545" t="s">
        <v>1432</v>
      </c>
      <c r="BP545" t="s">
        <v>74</v>
      </c>
      <c r="BQ545" t="s">
        <v>74</v>
      </c>
      <c r="BR545" t="s">
        <v>104</v>
      </c>
      <c r="BS545" t="s">
        <v>11118</v>
      </c>
      <c r="BT545" t="str">
        <f>HYPERLINK("https%3A%2F%2Fwww.webofscience.com%2Fwos%2Fwoscc%2Ffull-record%2FWOS:000569223600001","View Full Record in Web of Science")</f>
        <v>View Full Record in Web of Science</v>
      </c>
    </row>
    <row r="546" spans="1:72" x14ac:dyDescent="0.15">
      <c r="A546" t="s">
        <v>72</v>
      </c>
      <c r="B546" t="s">
        <v>11119</v>
      </c>
      <c r="C546" t="s">
        <v>74</v>
      </c>
      <c r="D546" t="s">
        <v>74</v>
      </c>
      <c r="E546" t="s">
        <v>74</v>
      </c>
      <c r="F546" t="s">
        <v>11120</v>
      </c>
      <c r="G546" t="s">
        <v>74</v>
      </c>
      <c r="H546" t="s">
        <v>74</v>
      </c>
      <c r="I546" t="s">
        <v>11121</v>
      </c>
      <c r="J546" t="s">
        <v>11122</v>
      </c>
      <c r="K546" t="s">
        <v>74</v>
      </c>
      <c r="L546" t="s">
        <v>74</v>
      </c>
      <c r="M546" t="s">
        <v>78</v>
      </c>
      <c r="N546" t="s">
        <v>79</v>
      </c>
      <c r="O546" t="s">
        <v>74</v>
      </c>
      <c r="P546" t="s">
        <v>74</v>
      </c>
      <c r="Q546" t="s">
        <v>74</v>
      </c>
      <c r="R546" t="s">
        <v>74</v>
      </c>
      <c r="S546" t="s">
        <v>74</v>
      </c>
      <c r="T546" t="s">
        <v>11123</v>
      </c>
      <c r="U546" t="s">
        <v>11124</v>
      </c>
      <c r="V546" t="s">
        <v>11125</v>
      </c>
      <c r="W546" t="s">
        <v>11126</v>
      </c>
      <c r="X546" t="s">
        <v>11127</v>
      </c>
      <c r="Y546" t="s">
        <v>11128</v>
      </c>
      <c r="Z546" t="s">
        <v>11129</v>
      </c>
      <c r="AA546" t="s">
        <v>11130</v>
      </c>
      <c r="AB546" t="s">
        <v>11131</v>
      </c>
      <c r="AC546" t="s">
        <v>11132</v>
      </c>
      <c r="AD546" t="s">
        <v>11133</v>
      </c>
      <c r="AE546" t="s">
        <v>11134</v>
      </c>
      <c r="AF546" t="s">
        <v>74</v>
      </c>
      <c r="AG546">
        <v>58</v>
      </c>
      <c r="AH546">
        <v>9</v>
      </c>
      <c r="AI546">
        <v>9</v>
      </c>
      <c r="AJ546">
        <v>1</v>
      </c>
      <c r="AK546">
        <v>16</v>
      </c>
      <c r="AL546" t="s">
        <v>219</v>
      </c>
      <c r="AM546" t="s">
        <v>220</v>
      </c>
      <c r="AN546" t="s">
        <v>221</v>
      </c>
      <c r="AO546" t="s">
        <v>11135</v>
      </c>
      <c r="AP546" t="s">
        <v>11136</v>
      </c>
      <c r="AQ546" t="s">
        <v>74</v>
      </c>
      <c r="AR546" t="s">
        <v>11122</v>
      </c>
      <c r="AS546" t="s">
        <v>11137</v>
      </c>
      <c r="AT546" t="s">
        <v>437</v>
      </c>
      <c r="AU546">
        <v>2021</v>
      </c>
      <c r="AV546">
        <v>163</v>
      </c>
      <c r="AW546">
        <v>2</v>
      </c>
      <c r="AX546" t="s">
        <v>74</v>
      </c>
      <c r="AY546" t="s">
        <v>74</v>
      </c>
      <c r="AZ546" t="s">
        <v>74</v>
      </c>
      <c r="BA546" t="s">
        <v>74</v>
      </c>
      <c r="BB546">
        <v>463</v>
      </c>
      <c r="BC546">
        <v>472</v>
      </c>
      <c r="BD546" t="s">
        <v>74</v>
      </c>
      <c r="BE546" t="s">
        <v>11138</v>
      </c>
      <c r="BF546" t="str">
        <f>HYPERLINK("http://dx.doi.org/10.1111/ibi.12874","http://dx.doi.org/10.1111/ibi.12874")</f>
        <v>http://dx.doi.org/10.1111/ibi.12874</v>
      </c>
      <c r="BG546" t="s">
        <v>74</v>
      </c>
      <c r="BH546" t="s">
        <v>9526</v>
      </c>
      <c r="BI546">
        <v>10</v>
      </c>
      <c r="BJ546" t="s">
        <v>8579</v>
      </c>
      <c r="BK546" t="s">
        <v>100</v>
      </c>
      <c r="BL546" t="s">
        <v>1553</v>
      </c>
      <c r="BM546" t="s">
        <v>11139</v>
      </c>
      <c r="BN546" t="s">
        <v>74</v>
      </c>
      <c r="BO546" t="s">
        <v>3641</v>
      </c>
      <c r="BP546" t="s">
        <v>74</v>
      </c>
      <c r="BQ546" t="s">
        <v>74</v>
      </c>
      <c r="BR546" t="s">
        <v>104</v>
      </c>
      <c r="BS546" t="s">
        <v>11140</v>
      </c>
      <c r="BT546" t="str">
        <f>HYPERLINK("https%3A%2F%2Fwww.webofscience.com%2Fwos%2Fwoscc%2Ffull-record%2FWOS:000569228100001","View Full Record in Web of Science")</f>
        <v>View Full Record in Web of Science</v>
      </c>
    </row>
    <row r="547" spans="1:72" x14ac:dyDescent="0.15">
      <c r="A547" t="s">
        <v>72</v>
      </c>
      <c r="B547" t="s">
        <v>11141</v>
      </c>
      <c r="C547" t="s">
        <v>74</v>
      </c>
      <c r="D547" t="s">
        <v>74</v>
      </c>
      <c r="E547" t="s">
        <v>74</v>
      </c>
      <c r="F547" t="s">
        <v>11142</v>
      </c>
      <c r="G547" t="s">
        <v>74</v>
      </c>
      <c r="H547" t="s">
        <v>74</v>
      </c>
      <c r="I547" t="s">
        <v>11143</v>
      </c>
      <c r="J547" t="s">
        <v>309</v>
      </c>
      <c r="K547" t="s">
        <v>74</v>
      </c>
      <c r="L547" t="s">
        <v>74</v>
      </c>
      <c r="M547" t="s">
        <v>78</v>
      </c>
      <c r="N547" t="s">
        <v>79</v>
      </c>
      <c r="O547" t="s">
        <v>74</v>
      </c>
      <c r="P547" t="s">
        <v>74</v>
      </c>
      <c r="Q547" t="s">
        <v>74</v>
      </c>
      <c r="R547" t="s">
        <v>74</v>
      </c>
      <c r="S547" t="s">
        <v>74</v>
      </c>
      <c r="T547" t="s">
        <v>74</v>
      </c>
      <c r="U547" t="s">
        <v>11144</v>
      </c>
      <c r="V547" t="s">
        <v>11145</v>
      </c>
      <c r="W547" t="s">
        <v>11146</v>
      </c>
      <c r="X547" t="s">
        <v>11147</v>
      </c>
      <c r="Y547" t="s">
        <v>11148</v>
      </c>
      <c r="Z547" t="s">
        <v>11149</v>
      </c>
      <c r="AA547" t="s">
        <v>11150</v>
      </c>
      <c r="AB547" t="s">
        <v>11151</v>
      </c>
      <c r="AC547" t="s">
        <v>11152</v>
      </c>
      <c r="AD547" t="s">
        <v>11153</v>
      </c>
      <c r="AE547" t="s">
        <v>11154</v>
      </c>
      <c r="AF547" t="s">
        <v>74</v>
      </c>
      <c r="AG547">
        <v>33</v>
      </c>
      <c r="AH547">
        <v>20</v>
      </c>
      <c r="AI547">
        <v>21</v>
      </c>
      <c r="AJ547">
        <v>0</v>
      </c>
      <c r="AK547">
        <v>7</v>
      </c>
      <c r="AL547" t="s">
        <v>321</v>
      </c>
      <c r="AM547" t="s">
        <v>322</v>
      </c>
      <c r="AN547" t="s">
        <v>323</v>
      </c>
      <c r="AO547" t="s">
        <v>324</v>
      </c>
      <c r="AP547" t="s">
        <v>74</v>
      </c>
      <c r="AQ547" t="s">
        <v>74</v>
      </c>
      <c r="AR547" t="s">
        <v>325</v>
      </c>
      <c r="AS547" t="s">
        <v>326</v>
      </c>
      <c r="AT547" t="s">
        <v>10948</v>
      </c>
      <c r="AU547">
        <v>2020</v>
      </c>
      <c r="AV547">
        <v>10</v>
      </c>
      <c r="AW547">
        <v>1</v>
      </c>
      <c r="AX547" t="s">
        <v>74</v>
      </c>
      <c r="AY547" t="s">
        <v>74</v>
      </c>
      <c r="AZ547" t="s">
        <v>74</v>
      </c>
      <c r="BA547" t="s">
        <v>74</v>
      </c>
      <c r="BB547" t="s">
        <v>74</v>
      </c>
      <c r="BC547" t="s">
        <v>74</v>
      </c>
      <c r="BD547">
        <v>14415</v>
      </c>
      <c r="BE547" t="s">
        <v>11155</v>
      </c>
      <c r="BF547" t="str">
        <f>HYPERLINK("http://dx.doi.org/10.1038/s41598-020-71290-6","http://dx.doi.org/10.1038/s41598-020-71290-6")</f>
        <v>http://dx.doi.org/10.1038/s41598-020-71290-6</v>
      </c>
      <c r="BG547" t="s">
        <v>74</v>
      </c>
      <c r="BH547" t="s">
        <v>74</v>
      </c>
      <c r="BI547">
        <v>7</v>
      </c>
      <c r="BJ547" t="s">
        <v>329</v>
      </c>
      <c r="BK547" t="s">
        <v>100</v>
      </c>
      <c r="BL547" t="s">
        <v>330</v>
      </c>
      <c r="BM547" t="s">
        <v>11156</v>
      </c>
      <c r="BN547">
        <v>32934273</v>
      </c>
      <c r="BO547" t="s">
        <v>332</v>
      </c>
      <c r="BP547" t="s">
        <v>74</v>
      </c>
      <c r="BQ547" t="s">
        <v>74</v>
      </c>
      <c r="BR547" t="s">
        <v>104</v>
      </c>
      <c r="BS547" t="s">
        <v>11157</v>
      </c>
      <c r="BT547" t="str">
        <f>HYPERLINK("https%3A%2F%2Fwww.webofscience.com%2Fwos%2Fwoscc%2Ffull-record%2FWOS:000573749400001","View Full Record in Web of Science")</f>
        <v>View Full Record in Web of Science</v>
      </c>
    </row>
    <row r="548" spans="1:72" x14ac:dyDescent="0.15">
      <c r="A548" t="s">
        <v>72</v>
      </c>
      <c r="B548" t="s">
        <v>11158</v>
      </c>
      <c r="C548" t="s">
        <v>74</v>
      </c>
      <c r="D548" t="s">
        <v>74</v>
      </c>
      <c r="E548" t="s">
        <v>74</v>
      </c>
      <c r="F548" t="s">
        <v>11159</v>
      </c>
      <c r="G548" t="s">
        <v>74</v>
      </c>
      <c r="H548" t="s">
        <v>74</v>
      </c>
      <c r="I548" t="s">
        <v>11160</v>
      </c>
      <c r="J548" t="s">
        <v>3351</v>
      </c>
      <c r="K548" t="s">
        <v>74</v>
      </c>
      <c r="L548" t="s">
        <v>74</v>
      </c>
      <c r="M548" t="s">
        <v>78</v>
      </c>
      <c r="N548" t="s">
        <v>79</v>
      </c>
      <c r="O548" t="s">
        <v>74</v>
      </c>
      <c r="P548" t="s">
        <v>74</v>
      </c>
      <c r="Q548" t="s">
        <v>74</v>
      </c>
      <c r="R548" t="s">
        <v>74</v>
      </c>
      <c r="S548" t="s">
        <v>74</v>
      </c>
      <c r="T548" t="s">
        <v>11161</v>
      </c>
      <c r="U548" t="s">
        <v>11162</v>
      </c>
      <c r="V548" t="s">
        <v>11163</v>
      </c>
      <c r="W548" t="s">
        <v>11164</v>
      </c>
      <c r="X548" t="s">
        <v>11165</v>
      </c>
      <c r="Y548" t="s">
        <v>11166</v>
      </c>
      <c r="Z548" t="s">
        <v>11167</v>
      </c>
      <c r="AA548" t="s">
        <v>11168</v>
      </c>
      <c r="AB548" t="s">
        <v>11169</v>
      </c>
      <c r="AC548" t="s">
        <v>11170</v>
      </c>
      <c r="AD548" t="s">
        <v>11171</v>
      </c>
      <c r="AE548" t="s">
        <v>11172</v>
      </c>
      <c r="AF548" t="s">
        <v>74</v>
      </c>
      <c r="AG548">
        <v>56</v>
      </c>
      <c r="AH548">
        <v>11</v>
      </c>
      <c r="AI548">
        <v>13</v>
      </c>
      <c r="AJ548">
        <v>0</v>
      </c>
      <c r="AK548">
        <v>8</v>
      </c>
      <c r="AL548" t="s">
        <v>275</v>
      </c>
      <c r="AM548" t="s">
        <v>276</v>
      </c>
      <c r="AN548" t="s">
        <v>277</v>
      </c>
      <c r="AO548" t="s">
        <v>3364</v>
      </c>
      <c r="AP548" t="s">
        <v>3365</v>
      </c>
      <c r="AQ548" t="s">
        <v>74</v>
      </c>
      <c r="AR548" t="s">
        <v>3366</v>
      </c>
      <c r="AS548" t="s">
        <v>3367</v>
      </c>
      <c r="AT548" t="s">
        <v>10948</v>
      </c>
      <c r="AU548">
        <v>2020</v>
      </c>
      <c r="AV548">
        <v>546</v>
      </c>
      <c r="AW548" t="s">
        <v>74</v>
      </c>
      <c r="AX548" t="s">
        <v>74</v>
      </c>
      <c r="AY548" t="s">
        <v>74</v>
      </c>
      <c r="AZ548" t="s">
        <v>74</v>
      </c>
      <c r="BA548" t="s">
        <v>74</v>
      </c>
      <c r="BB548" t="s">
        <v>74</v>
      </c>
      <c r="BC548" t="s">
        <v>74</v>
      </c>
      <c r="BD548">
        <v>116437</v>
      </c>
      <c r="BE548" t="s">
        <v>11173</v>
      </c>
      <c r="BF548" t="str">
        <f>HYPERLINK("http://dx.doi.org/10.1016/j.epsl.2020.116437","http://dx.doi.org/10.1016/j.epsl.2020.116437")</f>
        <v>http://dx.doi.org/10.1016/j.epsl.2020.116437</v>
      </c>
      <c r="BG548" t="s">
        <v>74</v>
      </c>
      <c r="BH548" t="s">
        <v>74</v>
      </c>
      <c r="BI548">
        <v>13</v>
      </c>
      <c r="BJ548" t="s">
        <v>1361</v>
      </c>
      <c r="BK548" t="s">
        <v>100</v>
      </c>
      <c r="BL548" t="s">
        <v>1361</v>
      </c>
      <c r="BM548" t="s">
        <v>11174</v>
      </c>
      <c r="BN548" t="s">
        <v>74</v>
      </c>
      <c r="BO548" t="s">
        <v>74</v>
      </c>
      <c r="BP548" t="s">
        <v>74</v>
      </c>
      <c r="BQ548" t="s">
        <v>74</v>
      </c>
      <c r="BR548" t="s">
        <v>104</v>
      </c>
      <c r="BS548" t="s">
        <v>11175</v>
      </c>
      <c r="BT548" t="str">
        <f>HYPERLINK("https%3A%2F%2Fwww.webofscience.com%2Fwos%2Fwoscc%2Ffull-record%2FWOS:000552134300013","View Full Record in Web of Science")</f>
        <v>View Full Record in Web of Science</v>
      </c>
    </row>
    <row r="549" spans="1:72" x14ac:dyDescent="0.15">
      <c r="A549" t="s">
        <v>72</v>
      </c>
      <c r="B549" t="s">
        <v>11176</v>
      </c>
      <c r="C549" t="s">
        <v>74</v>
      </c>
      <c r="D549" t="s">
        <v>74</v>
      </c>
      <c r="E549" t="s">
        <v>74</v>
      </c>
      <c r="F549" t="s">
        <v>11177</v>
      </c>
      <c r="G549" t="s">
        <v>74</v>
      </c>
      <c r="H549" t="s">
        <v>74</v>
      </c>
      <c r="I549" t="s">
        <v>11178</v>
      </c>
      <c r="J549" t="s">
        <v>3351</v>
      </c>
      <c r="K549" t="s">
        <v>74</v>
      </c>
      <c r="L549" t="s">
        <v>74</v>
      </c>
      <c r="M549" t="s">
        <v>78</v>
      </c>
      <c r="N549" t="s">
        <v>79</v>
      </c>
      <c r="O549" t="s">
        <v>74</v>
      </c>
      <c r="P549" t="s">
        <v>74</v>
      </c>
      <c r="Q549" t="s">
        <v>74</v>
      </c>
      <c r="R549" t="s">
        <v>74</v>
      </c>
      <c r="S549" t="s">
        <v>74</v>
      </c>
      <c r="T549" t="s">
        <v>11179</v>
      </c>
      <c r="U549" t="s">
        <v>11180</v>
      </c>
      <c r="V549" t="s">
        <v>11181</v>
      </c>
      <c r="W549" t="s">
        <v>11182</v>
      </c>
      <c r="X549" t="s">
        <v>11183</v>
      </c>
      <c r="Y549" t="s">
        <v>11184</v>
      </c>
      <c r="Z549" t="s">
        <v>11185</v>
      </c>
      <c r="AA549" t="s">
        <v>11186</v>
      </c>
      <c r="AB549" t="s">
        <v>11187</v>
      </c>
      <c r="AC549" t="s">
        <v>11188</v>
      </c>
      <c r="AD549" t="s">
        <v>11189</v>
      </c>
      <c r="AE549" t="s">
        <v>11190</v>
      </c>
      <c r="AF549" t="s">
        <v>74</v>
      </c>
      <c r="AG549">
        <v>57</v>
      </c>
      <c r="AH549">
        <v>19</v>
      </c>
      <c r="AI549">
        <v>19</v>
      </c>
      <c r="AJ549">
        <v>0</v>
      </c>
      <c r="AK549">
        <v>8</v>
      </c>
      <c r="AL549" t="s">
        <v>275</v>
      </c>
      <c r="AM549" t="s">
        <v>276</v>
      </c>
      <c r="AN549" t="s">
        <v>277</v>
      </c>
      <c r="AO549" t="s">
        <v>3364</v>
      </c>
      <c r="AP549" t="s">
        <v>3365</v>
      </c>
      <c r="AQ549" t="s">
        <v>74</v>
      </c>
      <c r="AR549" t="s">
        <v>3366</v>
      </c>
      <c r="AS549" t="s">
        <v>3367</v>
      </c>
      <c r="AT549" t="s">
        <v>10948</v>
      </c>
      <c r="AU549">
        <v>2020</v>
      </c>
      <c r="AV549">
        <v>546</v>
      </c>
      <c r="AW549" t="s">
        <v>74</v>
      </c>
      <c r="AX549" t="s">
        <v>74</v>
      </c>
      <c r="AY549" t="s">
        <v>74</v>
      </c>
      <c r="AZ549" t="s">
        <v>74</v>
      </c>
      <c r="BA549" t="s">
        <v>74</v>
      </c>
      <c r="BB549" t="s">
        <v>74</v>
      </c>
      <c r="BC549" t="s">
        <v>74</v>
      </c>
      <c r="BD549">
        <v>116444</v>
      </c>
      <c r="BE549" t="s">
        <v>11191</v>
      </c>
      <c r="BF549" t="str">
        <f>HYPERLINK("http://dx.doi.org/10.1016/j.epsl.2020.116444","http://dx.doi.org/10.1016/j.epsl.2020.116444")</f>
        <v>http://dx.doi.org/10.1016/j.epsl.2020.116444</v>
      </c>
      <c r="BG549" t="s">
        <v>74</v>
      </c>
      <c r="BH549" t="s">
        <v>74</v>
      </c>
      <c r="BI549">
        <v>12</v>
      </c>
      <c r="BJ549" t="s">
        <v>1361</v>
      </c>
      <c r="BK549" t="s">
        <v>100</v>
      </c>
      <c r="BL549" t="s">
        <v>1361</v>
      </c>
      <c r="BM549" t="s">
        <v>11174</v>
      </c>
      <c r="BN549" t="s">
        <v>74</v>
      </c>
      <c r="BO549" t="s">
        <v>376</v>
      </c>
      <c r="BP549" t="s">
        <v>74</v>
      </c>
      <c r="BQ549" t="s">
        <v>74</v>
      </c>
      <c r="BR549" t="s">
        <v>104</v>
      </c>
      <c r="BS549" t="s">
        <v>11192</v>
      </c>
      <c r="BT549" t="str">
        <f>HYPERLINK("https%3A%2F%2Fwww.webofscience.com%2Fwos%2Fwoscc%2Ffull-record%2FWOS:000552134300015","View Full Record in Web of Science")</f>
        <v>View Full Record in Web of Science</v>
      </c>
    </row>
    <row r="550" spans="1:72" x14ac:dyDescent="0.15">
      <c r="A550" t="s">
        <v>72</v>
      </c>
      <c r="B550" t="s">
        <v>11193</v>
      </c>
      <c r="C550" t="s">
        <v>74</v>
      </c>
      <c r="D550" t="s">
        <v>74</v>
      </c>
      <c r="E550" t="s">
        <v>74</v>
      </c>
      <c r="F550" t="s">
        <v>11194</v>
      </c>
      <c r="G550" t="s">
        <v>74</v>
      </c>
      <c r="H550" t="s">
        <v>74</v>
      </c>
      <c r="I550" t="s">
        <v>11195</v>
      </c>
      <c r="J550" t="s">
        <v>5387</v>
      </c>
      <c r="K550" t="s">
        <v>74</v>
      </c>
      <c r="L550" t="s">
        <v>74</v>
      </c>
      <c r="M550" t="s">
        <v>78</v>
      </c>
      <c r="N550" t="s">
        <v>6486</v>
      </c>
      <c r="O550" t="s">
        <v>11196</v>
      </c>
      <c r="P550" t="s">
        <v>11197</v>
      </c>
      <c r="Q550" t="s">
        <v>11198</v>
      </c>
      <c r="R550" t="s">
        <v>74</v>
      </c>
      <c r="S550" t="s">
        <v>74</v>
      </c>
      <c r="T550" t="s">
        <v>11199</v>
      </c>
      <c r="U550" t="s">
        <v>11200</v>
      </c>
      <c r="V550" t="s">
        <v>11201</v>
      </c>
      <c r="W550" t="s">
        <v>11202</v>
      </c>
      <c r="X550" t="s">
        <v>11203</v>
      </c>
      <c r="Y550" t="s">
        <v>11204</v>
      </c>
      <c r="Z550" t="s">
        <v>11205</v>
      </c>
      <c r="AA550" t="s">
        <v>11206</v>
      </c>
      <c r="AB550" t="s">
        <v>11207</v>
      </c>
      <c r="AC550" t="s">
        <v>11208</v>
      </c>
      <c r="AD550" t="s">
        <v>74</v>
      </c>
      <c r="AE550" t="s">
        <v>11209</v>
      </c>
      <c r="AF550" t="s">
        <v>74</v>
      </c>
      <c r="AG550">
        <v>62</v>
      </c>
      <c r="AH550">
        <v>2</v>
      </c>
      <c r="AI550">
        <v>2</v>
      </c>
      <c r="AJ550">
        <v>0</v>
      </c>
      <c r="AK550">
        <v>3</v>
      </c>
      <c r="AL550" t="s">
        <v>1522</v>
      </c>
      <c r="AM550" t="s">
        <v>1407</v>
      </c>
      <c r="AN550" t="s">
        <v>1523</v>
      </c>
      <c r="AO550" t="s">
        <v>5399</v>
      </c>
      <c r="AP550" t="s">
        <v>5400</v>
      </c>
      <c r="AQ550" t="s">
        <v>74</v>
      </c>
      <c r="AR550" t="s">
        <v>5401</v>
      </c>
      <c r="AS550" t="s">
        <v>5402</v>
      </c>
      <c r="AT550" t="s">
        <v>10948</v>
      </c>
      <c r="AU550">
        <v>2020</v>
      </c>
      <c r="AV550">
        <v>206</v>
      </c>
      <c r="AW550" t="s">
        <v>74</v>
      </c>
      <c r="AX550" t="s">
        <v>74</v>
      </c>
      <c r="AY550" t="s">
        <v>74</v>
      </c>
      <c r="AZ550" t="s">
        <v>74</v>
      </c>
      <c r="BA550" t="s">
        <v>74</v>
      </c>
      <c r="BB550" t="s">
        <v>74</v>
      </c>
      <c r="BC550" t="s">
        <v>74</v>
      </c>
      <c r="BD550">
        <v>105325</v>
      </c>
      <c r="BE550" t="s">
        <v>11210</v>
      </c>
      <c r="BF550" t="str">
        <f>HYPERLINK("http://dx.doi.org/10.1016/j.jastp.2020.105325","http://dx.doi.org/10.1016/j.jastp.2020.105325")</f>
        <v>http://dx.doi.org/10.1016/j.jastp.2020.105325</v>
      </c>
      <c r="BG550" t="s">
        <v>74</v>
      </c>
      <c r="BH550" t="s">
        <v>74</v>
      </c>
      <c r="BI550">
        <v>11</v>
      </c>
      <c r="BJ550" t="s">
        <v>5404</v>
      </c>
      <c r="BK550" t="s">
        <v>6508</v>
      </c>
      <c r="BL550" t="s">
        <v>5404</v>
      </c>
      <c r="BM550" t="s">
        <v>11211</v>
      </c>
      <c r="BN550" t="s">
        <v>74</v>
      </c>
      <c r="BO550" t="s">
        <v>74</v>
      </c>
      <c r="BP550" t="s">
        <v>74</v>
      </c>
      <c r="BQ550" t="s">
        <v>74</v>
      </c>
      <c r="BR550" t="s">
        <v>104</v>
      </c>
      <c r="BS550" t="s">
        <v>11212</v>
      </c>
      <c r="BT550" t="str">
        <f>HYPERLINK("https%3A%2F%2Fwww.webofscience.com%2Fwos%2Fwoscc%2Ffull-record%2FWOS:000543364200005","View Full Record in Web of Science")</f>
        <v>View Full Record in Web of Science</v>
      </c>
    </row>
    <row r="551" spans="1:72" x14ac:dyDescent="0.15">
      <c r="A551" t="s">
        <v>72</v>
      </c>
      <c r="B551" t="s">
        <v>11213</v>
      </c>
      <c r="C551" t="s">
        <v>74</v>
      </c>
      <c r="D551" t="s">
        <v>74</v>
      </c>
      <c r="E551" t="s">
        <v>74</v>
      </c>
      <c r="F551" t="s">
        <v>11214</v>
      </c>
      <c r="G551" t="s">
        <v>74</v>
      </c>
      <c r="H551" t="s">
        <v>74</v>
      </c>
      <c r="I551" t="s">
        <v>11215</v>
      </c>
      <c r="J551" t="s">
        <v>263</v>
      </c>
      <c r="K551" t="s">
        <v>74</v>
      </c>
      <c r="L551" t="s">
        <v>74</v>
      </c>
      <c r="M551" t="s">
        <v>78</v>
      </c>
      <c r="N551" t="s">
        <v>138</v>
      </c>
      <c r="O551" t="s">
        <v>74</v>
      </c>
      <c r="P551" t="s">
        <v>74</v>
      </c>
      <c r="Q551" t="s">
        <v>74</v>
      </c>
      <c r="R551" t="s">
        <v>74</v>
      </c>
      <c r="S551" t="s">
        <v>74</v>
      </c>
      <c r="T551" t="s">
        <v>11216</v>
      </c>
      <c r="U551" t="s">
        <v>11217</v>
      </c>
      <c r="V551" t="s">
        <v>11218</v>
      </c>
      <c r="W551" t="s">
        <v>11219</v>
      </c>
      <c r="X551" t="s">
        <v>11220</v>
      </c>
      <c r="Y551" t="s">
        <v>11221</v>
      </c>
      <c r="Z551" t="s">
        <v>11222</v>
      </c>
      <c r="AA551" t="s">
        <v>11223</v>
      </c>
      <c r="AB551" t="s">
        <v>11224</v>
      </c>
      <c r="AC551" t="s">
        <v>11225</v>
      </c>
      <c r="AD551" t="s">
        <v>11226</v>
      </c>
      <c r="AE551" t="s">
        <v>11227</v>
      </c>
      <c r="AF551" t="s">
        <v>74</v>
      </c>
      <c r="AG551">
        <v>111</v>
      </c>
      <c r="AH551">
        <v>32</v>
      </c>
      <c r="AI551">
        <v>34</v>
      </c>
      <c r="AJ551">
        <v>10</v>
      </c>
      <c r="AK551">
        <v>126</v>
      </c>
      <c r="AL551" t="s">
        <v>275</v>
      </c>
      <c r="AM551" t="s">
        <v>276</v>
      </c>
      <c r="AN551" t="s">
        <v>277</v>
      </c>
      <c r="AO551" t="s">
        <v>278</v>
      </c>
      <c r="AP551" t="s">
        <v>279</v>
      </c>
      <c r="AQ551" t="s">
        <v>74</v>
      </c>
      <c r="AR551" t="s">
        <v>280</v>
      </c>
      <c r="AS551" t="s">
        <v>281</v>
      </c>
      <c r="AT551" t="s">
        <v>10948</v>
      </c>
      <c r="AU551">
        <v>2020</v>
      </c>
      <c r="AV551">
        <v>735</v>
      </c>
      <c r="AW551" t="s">
        <v>74</v>
      </c>
      <c r="AX551" t="s">
        <v>74</v>
      </c>
      <c r="AY551" t="s">
        <v>74</v>
      </c>
      <c r="AZ551" t="s">
        <v>74</v>
      </c>
      <c r="BA551" t="s">
        <v>74</v>
      </c>
      <c r="BB551" t="s">
        <v>74</v>
      </c>
      <c r="BC551" t="s">
        <v>74</v>
      </c>
      <c r="BD551">
        <v>139475</v>
      </c>
      <c r="BE551" t="s">
        <v>11228</v>
      </c>
      <c r="BF551" t="str">
        <f>HYPERLINK("http://dx.doi.org/10.1016/j.scitotenv.2020.139475","http://dx.doi.org/10.1016/j.scitotenv.2020.139475")</f>
        <v>http://dx.doi.org/10.1016/j.scitotenv.2020.139475</v>
      </c>
      <c r="BG551" t="s">
        <v>74</v>
      </c>
      <c r="BH551" t="s">
        <v>74</v>
      </c>
      <c r="BI551">
        <v>13</v>
      </c>
      <c r="BJ551" t="s">
        <v>283</v>
      </c>
      <c r="BK551" t="s">
        <v>100</v>
      </c>
      <c r="BL551" t="s">
        <v>284</v>
      </c>
      <c r="BM551" t="s">
        <v>11229</v>
      </c>
      <c r="BN551">
        <v>32485451</v>
      </c>
      <c r="BO551" t="s">
        <v>74</v>
      </c>
      <c r="BP551" t="s">
        <v>74</v>
      </c>
      <c r="BQ551" t="s">
        <v>74</v>
      </c>
      <c r="BR551" t="s">
        <v>104</v>
      </c>
      <c r="BS551" t="s">
        <v>11230</v>
      </c>
      <c r="BT551" t="str">
        <f>HYPERLINK("https%3A%2F%2Fwww.webofscience.com%2Fwos%2Fwoscc%2Ffull-record%2FWOS:000542563900003","View Full Record in Web of Science")</f>
        <v>View Full Record in Web of Science</v>
      </c>
    </row>
    <row r="552" spans="1:72" x14ac:dyDescent="0.15">
      <c r="A552" t="s">
        <v>72</v>
      </c>
      <c r="B552" t="s">
        <v>11231</v>
      </c>
      <c r="C552" t="s">
        <v>74</v>
      </c>
      <c r="D552" t="s">
        <v>74</v>
      </c>
      <c r="E552" t="s">
        <v>74</v>
      </c>
      <c r="F552" t="s">
        <v>11232</v>
      </c>
      <c r="G552" t="s">
        <v>74</v>
      </c>
      <c r="H552" t="s">
        <v>74</v>
      </c>
      <c r="I552" t="s">
        <v>11233</v>
      </c>
      <c r="J552" t="s">
        <v>263</v>
      </c>
      <c r="K552" t="s">
        <v>74</v>
      </c>
      <c r="L552" t="s">
        <v>74</v>
      </c>
      <c r="M552" t="s">
        <v>78</v>
      </c>
      <c r="N552" t="s">
        <v>138</v>
      </c>
      <c r="O552" t="s">
        <v>74</v>
      </c>
      <c r="P552" t="s">
        <v>74</v>
      </c>
      <c r="Q552" t="s">
        <v>74</v>
      </c>
      <c r="R552" t="s">
        <v>74</v>
      </c>
      <c r="S552" t="s">
        <v>74</v>
      </c>
      <c r="T552" t="s">
        <v>11234</v>
      </c>
      <c r="U552" t="s">
        <v>11235</v>
      </c>
      <c r="V552" t="s">
        <v>11236</v>
      </c>
      <c r="W552" t="s">
        <v>11237</v>
      </c>
      <c r="X552" t="s">
        <v>11238</v>
      </c>
      <c r="Y552" t="s">
        <v>11239</v>
      </c>
      <c r="Z552" t="s">
        <v>11240</v>
      </c>
      <c r="AA552" t="s">
        <v>11241</v>
      </c>
      <c r="AB552" t="s">
        <v>11242</v>
      </c>
      <c r="AC552" t="s">
        <v>11243</v>
      </c>
      <c r="AD552" t="s">
        <v>11244</v>
      </c>
      <c r="AE552" t="s">
        <v>11245</v>
      </c>
      <c r="AF552" t="s">
        <v>74</v>
      </c>
      <c r="AG552">
        <v>184</v>
      </c>
      <c r="AH552">
        <v>22</v>
      </c>
      <c r="AI552">
        <v>25</v>
      </c>
      <c r="AJ552">
        <v>8</v>
      </c>
      <c r="AK552">
        <v>82</v>
      </c>
      <c r="AL552" t="s">
        <v>275</v>
      </c>
      <c r="AM552" t="s">
        <v>276</v>
      </c>
      <c r="AN552" t="s">
        <v>277</v>
      </c>
      <c r="AO552" t="s">
        <v>278</v>
      </c>
      <c r="AP552" t="s">
        <v>279</v>
      </c>
      <c r="AQ552" t="s">
        <v>74</v>
      </c>
      <c r="AR552" t="s">
        <v>280</v>
      </c>
      <c r="AS552" t="s">
        <v>281</v>
      </c>
      <c r="AT552" t="s">
        <v>10948</v>
      </c>
      <c r="AU552">
        <v>2020</v>
      </c>
      <c r="AV552">
        <v>735</v>
      </c>
      <c r="AW552" t="s">
        <v>74</v>
      </c>
      <c r="AX552" t="s">
        <v>74</v>
      </c>
      <c r="AY552" t="s">
        <v>74</v>
      </c>
      <c r="AZ552" t="s">
        <v>74</v>
      </c>
      <c r="BA552" t="s">
        <v>74</v>
      </c>
      <c r="BB552" t="s">
        <v>74</v>
      </c>
      <c r="BC552" t="s">
        <v>74</v>
      </c>
      <c r="BD552">
        <v>139275</v>
      </c>
      <c r="BE552" t="s">
        <v>11246</v>
      </c>
      <c r="BF552" t="str">
        <f>HYPERLINK("http://dx.doi.org/10.1016/j.scitotenv.2020.139275","http://dx.doi.org/10.1016/j.scitotenv.2020.139275")</f>
        <v>http://dx.doi.org/10.1016/j.scitotenv.2020.139275</v>
      </c>
      <c r="BG552" t="s">
        <v>74</v>
      </c>
      <c r="BH552" t="s">
        <v>74</v>
      </c>
      <c r="BI552">
        <v>13</v>
      </c>
      <c r="BJ552" t="s">
        <v>283</v>
      </c>
      <c r="BK552" t="s">
        <v>100</v>
      </c>
      <c r="BL552" t="s">
        <v>284</v>
      </c>
      <c r="BM552" t="s">
        <v>11247</v>
      </c>
      <c r="BN552">
        <v>32480145</v>
      </c>
      <c r="BO552" t="s">
        <v>74</v>
      </c>
      <c r="BP552" t="s">
        <v>74</v>
      </c>
      <c r="BQ552" t="s">
        <v>74</v>
      </c>
      <c r="BR552" t="s">
        <v>104</v>
      </c>
      <c r="BS552" t="s">
        <v>11248</v>
      </c>
      <c r="BT552" t="str">
        <f>HYPERLINK("https%3A%2F%2Fwww.webofscience.com%2Fwos%2Fwoscc%2Ffull-record%2FWOS:000542562100014","View Full Record in Web of Science")</f>
        <v>View Full Record in Web of Science</v>
      </c>
    </row>
    <row r="553" spans="1:72" x14ac:dyDescent="0.15">
      <c r="A553" t="s">
        <v>72</v>
      </c>
      <c r="B553" t="s">
        <v>11249</v>
      </c>
      <c r="C553" t="s">
        <v>74</v>
      </c>
      <c r="D553" t="s">
        <v>74</v>
      </c>
      <c r="E553" t="s">
        <v>74</v>
      </c>
      <c r="F553" t="s">
        <v>11250</v>
      </c>
      <c r="G553" t="s">
        <v>74</v>
      </c>
      <c r="H553" t="s">
        <v>74</v>
      </c>
      <c r="I553" t="s">
        <v>11251</v>
      </c>
      <c r="J553" t="s">
        <v>263</v>
      </c>
      <c r="K553" t="s">
        <v>74</v>
      </c>
      <c r="L553" t="s">
        <v>74</v>
      </c>
      <c r="M553" t="s">
        <v>78</v>
      </c>
      <c r="N553" t="s">
        <v>79</v>
      </c>
      <c r="O553" t="s">
        <v>74</v>
      </c>
      <c r="P553" t="s">
        <v>74</v>
      </c>
      <c r="Q553" t="s">
        <v>74</v>
      </c>
      <c r="R553" t="s">
        <v>74</v>
      </c>
      <c r="S553" t="s">
        <v>74</v>
      </c>
      <c r="T553" t="s">
        <v>11252</v>
      </c>
      <c r="U553" t="s">
        <v>11253</v>
      </c>
      <c r="V553" t="s">
        <v>11254</v>
      </c>
      <c r="W553" t="s">
        <v>11255</v>
      </c>
      <c r="X553" t="s">
        <v>11256</v>
      </c>
      <c r="Y553" t="s">
        <v>11257</v>
      </c>
      <c r="Z553" t="s">
        <v>11258</v>
      </c>
      <c r="AA553" t="s">
        <v>11259</v>
      </c>
      <c r="AB553" t="s">
        <v>11260</v>
      </c>
      <c r="AC553" t="s">
        <v>11261</v>
      </c>
      <c r="AD553" t="s">
        <v>11262</v>
      </c>
      <c r="AE553" t="s">
        <v>11263</v>
      </c>
      <c r="AF553" t="s">
        <v>74</v>
      </c>
      <c r="AG553">
        <v>76</v>
      </c>
      <c r="AH553">
        <v>4</v>
      </c>
      <c r="AI553">
        <v>4</v>
      </c>
      <c r="AJ553">
        <v>3</v>
      </c>
      <c r="AK553">
        <v>35</v>
      </c>
      <c r="AL553" t="s">
        <v>275</v>
      </c>
      <c r="AM553" t="s">
        <v>276</v>
      </c>
      <c r="AN553" t="s">
        <v>277</v>
      </c>
      <c r="AO553" t="s">
        <v>278</v>
      </c>
      <c r="AP553" t="s">
        <v>279</v>
      </c>
      <c r="AQ553" t="s">
        <v>74</v>
      </c>
      <c r="AR553" t="s">
        <v>280</v>
      </c>
      <c r="AS553" t="s">
        <v>281</v>
      </c>
      <c r="AT553" t="s">
        <v>10948</v>
      </c>
      <c r="AU553">
        <v>2020</v>
      </c>
      <c r="AV553">
        <v>735</v>
      </c>
      <c r="AW553" t="s">
        <v>74</v>
      </c>
      <c r="AX553" t="s">
        <v>74</v>
      </c>
      <c r="AY553" t="s">
        <v>74</v>
      </c>
      <c r="AZ553" t="s">
        <v>74</v>
      </c>
      <c r="BA553" t="s">
        <v>74</v>
      </c>
      <c r="BB553" t="s">
        <v>74</v>
      </c>
      <c r="BC553" t="s">
        <v>74</v>
      </c>
      <c r="BD553">
        <v>139476</v>
      </c>
      <c r="BE553" t="s">
        <v>11264</v>
      </c>
      <c r="BF553" t="str">
        <f>HYPERLINK("http://dx.doi.org/10.1016/j.scitotenv.2020.139476","http://dx.doi.org/10.1016/j.scitotenv.2020.139476")</f>
        <v>http://dx.doi.org/10.1016/j.scitotenv.2020.139476</v>
      </c>
      <c r="BG553" t="s">
        <v>74</v>
      </c>
      <c r="BH553" t="s">
        <v>74</v>
      </c>
      <c r="BI553">
        <v>10</v>
      </c>
      <c r="BJ553" t="s">
        <v>283</v>
      </c>
      <c r="BK553" t="s">
        <v>100</v>
      </c>
      <c r="BL553" t="s">
        <v>284</v>
      </c>
      <c r="BM553" t="s">
        <v>11229</v>
      </c>
      <c r="BN553">
        <v>32470672</v>
      </c>
      <c r="BO553" t="s">
        <v>74</v>
      </c>
      <c r="BP553" t="s">
        <v>74</v>
      </c>
      <c r="BQ553" t="s">
        <v>74</v>
      </c>
      <c r="BR553" t="s">
        <v>104</v>
      </c>
      <c r="BS553" t="s">
        <v>11265</v>
      </c>
      <c r="BT553" t="str">
        <f>HYPERLINK("https%3A%2F%2Fwww.webofscience.com%2Fwos%2Fwoscc%2Ffull-record%2FWOS:000542563900009","View Full Record in Web of Science")</f>
        <v>View Full Record in Web of Science</v>
      </c>
    </row>
    <row r="554" spans="1:72" x14ac:dyDescent="0.15">
      <c r="A554" t="s">
        <v>72</v>
      </c>
      <c r="B554" t="s">
        <v>11266</v>
      </c>
      <c r="C554" t="s">
        <v>74</v>
      </c>
      <c r="D554" t="s">
        <v>74</v>
      </c>
      <c r="E554" t="s">
        <v>74</v>
      </c>
      <c r="F554" t="s">
        <v>11267</v>
      </c>
      <c r="G554" t="s">
        <v>74</v>
      </c>
      <c r="H554" t="s">
        <v>74</v>
      </c>
      <c r="I554" t="s">
        <v>11268</v>
      </c>
      <c r="J554" t="s">
        <v>11269</v>
      </c>
      <c r="K554" t="s">
        <v>74</v>
      </c>
      <c r="L554" t="s">
        <v>74</v>
      </c>
      <c r="M554" t="s">
        <v>78</v>
      </c>
      <c r="N554" t="s">
        <v>79</v>
      </c>
      <c r="O554" t="s">
        <v>74</v>
      </c>
      <c r="P554" t="s">
        <v>74</v>
      </c>
      <c r="Q554" t="s">
        <v>74</v>
      </c>
      <c r="R554" t="s">
        <v>74</v>
      </c>
      <c r="S554" t="s">
        <v>74</v>
      </c>
      <c r="T554" t="s">
        <v>11270</v>
      </c>
      <c r="U554" t="s">
        <v>11271</v>
      </c>
      <c r="V554" t="s">
        <v>11272</v>
      </c>
      <c r="W554" t="s">
        <v>11273</v>
      </c>
      <c r="X554" t="s">
        <v>11274</v>
      </c>
      <c r="Y554" t="s">
        <v>11275</v>
      </c>
      <c r="Z554" t="s">
        <v>11276</v>
      </c>
      <c r="AA554" t="s">
        <v>11277</v>
      </c>
      <c r="AB554" t="s">
        <v>11278</v>
      </c>
      <c r="AC554" t="s">
        <v>11279</v>
      </c>
      <c r="AD554" t="s">
        <v>11280</v>
      </c>
      <c r="AE554" t="s">
        <v>11281</v>
      </c>
      <c r="AF554" t="s">
        <v>74</v>
      </c>
      <c r="AG554">
        <v>26</v>
      </c>
      <c r="AH554">
        <v>18</v>
      </c>
      <c r="AI554">
        <v>19</v>
      </c>
      <c r="AJ554">
        <v>0</v>
      </c>
      <c r="AK554">
        <v>3</v>
      </c>
      <c r="AL554" t="s">
        <v>11282</v>
      </c>
      <c r="AM554" t="s">
        <v>123</v>
      </c>
      <c r="AN554" t="s">
        <v>11283</v>
      </c>
      <c r="AO554" t="s">
        <v>11284</v>
      </c>
      <c r="AP554" t="s">
        <v>74</v>
      </c>
      <c r="AQ554" t="s">
        <v>74</v>
      </c>
      <c r="AR554" t="s">
        <v>11269</v>
      </c>
      <c r="AS554" t="s">
        <v>11285</v>
      </c>
      <c r="AT554" t="s">
        <v>11286</v>
      </c>
      <c r="AU554">
        <v>2020</v>
      </c>
      <c r="AV554">
        <v>21</v>
      </c>
      <c r="AW554">
        <v>1</v>
      </c>
      <c r="AX554" t="s">
        <v>74</v>
      </c>
      <c r="AY554" t="s">
        <v>74</v>
      </c>
      <c r="AZ554" t="s">
        <v>74</v>
      </c>
      <c r="BA554" t="s">
        <v>74</v>
      </c>
      <c r="BB554" t="s">
        <v>74</v>
      </c>
      <c r="BC554" t="s">
        <v>74</v>
      </c>
      <c r="BD554">
        <v>637</v>
      </c>
      <c r="BE554" t="s">
        <v>11287</v>
      </c>
      <c r="BF554" t="str">
        <f>HYPERLINK("http://dx.doi.org/10.1186/s12864-020-07063-2","http://dx.doi.org/10.1186/s12864-020-07063-2")</f>
        <v>http://dx.doi.org/10.1186/s12864-020-07063-2</v>
      </c>
      <c r="BG554" t="s">
        <v>74</v>
      </c>
      <c r="BH554" t="s">
        <v>74</v>
      </c>
      <c r="BI554">
        <v>10</v>
      </c>
      <c r="BJ554" t="s">
        <v>11288</v>
      </c>
      <c r="BK554" t="s">
        <v>100</v>
      </c>
      <c r="BL554" t="s">
        <v>11288</v>
      </c>
      <c r="BM554" t="s">
        <v>11289</v>
      </c>
      <c r="BN554">
        <v>32928113</v>
      </c>
      <c r="BO554" t="s">
        <v>2113</v>
      </c>
      <c r="BP554" t="s">
        <v>74</v>
      </c>
      <c r="BQ554" t="s">
        <v>74</v>
      </c>
      <c r="BR554" t="s">
        <v>104</v>
      </c>
      <c r="BS554" t="s">
        <v>11290</v>
      </c>
      <c r="BT554" t="str">
        <f>HYPERLINK("https%3A%2F%2Fwww.webofscience.com%2Fwos%2Fwoscc%2Ffull-record%2FWOS:000571961200009","View Full Record in Web of Science")</f>
        <v>View Full Record in Web of Science</v>
      </c>
    </row>
    <row r="555" spans="1:72" x14ac:dyDescent="0.15">
      <c r="A555" t="s">
        <v>72</v>
      </c>
      <c r="B555" t="s">
        <v>11291</v>
      </c>
      <c r="C555" t="s">
        <v>74</v>
      </c>
      <c r="D555" t="s">
        <v>74</v>
      </c>
      <c r="E555" t="s">
        <v>74</v>
      </c>
      <c r="F555" t="s">
        <v>11292</v>
      </c>
      <c r="G555" t="s">
        <v>74</v>
      </c>
      <c r="H555" t="s">
        <v>74</v>
      </c>
      <c r="I555" t="s">
        <v>11293</v>
      </c>
      <c r="J555" t="s">
        <v>11294</v>
      </c>
      <c r="K555" t="s">
        <v>74</v>
      </c>
      <c r="L555" t="s">
        <v>74</v>
      </c>
      <c r="M555" t="s">
        <v>78</v>
      </c>
      <c r="N555" t="s">
        <v>79</v>
      </c>
      <c r="O555" t="s">
        <v>74</v>
      </c>
      <c r="P555" t="s">
        <v>74</v>
      </c>
      <c r="Q555" t="s">
        <v>74</v>
      </c>
      <c r="R555" t="s">
        <v>74</v>
      </c>
      <c r="S555" t="s">
        <v>74</v>
      </c>
      <c r="T555" t="s">
        <v>11295</v>
      </c>
      <c r="U555" t="s">
        <v>11296</v>
      </c>
      <c r="V555" t="s">
        <v>11297</v>
      </c>
      <c r="W555" t="s">
        <v>11298</v>
      </c>
      <c r="X555" t="s">
        <v>11299</v>
      </c>
      <c r="Y555" t="s">
        <v>11300</v>
      </c>
      <c r="Z555" t="s">
        <v>11301</v>
      </c>
      <c r="AA555" t="s">
        <v>11302</v>
      </c>
      <c r="AB555" t="s">
        <v>11303</v>
      </c>
      <c r="AC555" t="s">
        <v>11304</v>
      </c>
      <c r="AD555" t="s">
        <v>11305</v>
      </c>
      <c r="AE555" t="s">
        <v>11306</v>
      </c>
      <c r="AF555" t="s">
        <v>74</v>
      </c>
      <c r="AG555">
        <v>37</v>
      </c>
      <c r="AH555">
        <v>16</v>
      </c>
      <c r="AI555">
        <v>16</v>
      </c>
      <c r="AJ555">
        <v>3</v>
      </c>
      <c r="AK555">
        <v>17</v>
      </c>
      <c r="AL555" t="s">
        <v>482</v>
      </c>
      <c r="AM555" t="s">
        <v>483</v>
      </c>
      <c r="AN555" t="s">
        <v>484</v>
      </c>
      <c r="AO555" t="s">
        <v>74</v>
      </c>
      <c r="AP555" t="s">
        <v>11307</v>
      </c>
      <c r="AQ555" t="s">
        <v>74</v>
      </c>
      <c r="AR555" t="s">
        <v>11308</v>
      </c>
      <c r="AS555" t="s">
        <v>11309</v>
      </c>
      <c r="AT555" t="s">
        <v>11286</v>
      </c>
      <c r="AU555">
        <v>2020</v>
      </c>
      <c r="AV555">
        <v>72</v>
      </c>
      <c r="AW555">
        <v>1</v>
      </c>
      <c r="AX555" t="s">
        <v>74</v>
      </c>
      <c r="AY555" t="s">
        <v>74</v>
      </c>
      <c r="AZ555" t="s">
        <v>74</v>
      </c>
      <c r="BA555" t="s">
        <v>74</v>
      </c>
      <c r="BB555" t="s">
        <v>74</v>
      </c>
      <c r="BC555" t="s">
        <v>74</v>
      </c>
      <c r="BD555">
        <v>133</v>
      </c>
      <c r="BE555" t="s">
        <v>11310</v>
      </c>
      <c r="BF555" t="str">
        <f>HYPERLINK("http://dx.doi.org/10.1186/s40623-020-01267-2","http://dx.doi.org/10.1186/s40623-020-01267-2")</f>
        <v>http://dx.doi.org/10.1186/s40623-020-01267-2</v>
      </c>
      <c r="BG555" t="s">
        <v>74</v>
      </c>
      <c r="BH555" t="s">
        <v>74</v>
      </c>
      <c r="BI555">
        <v>11</v>
      </c>
      <c r="BJ555" t="s">
        <v>534</v>
      </c>
      <c r="BK555" t="s">
        <v>100</v>
      </c>
      <c r="BL555" t="s">
        <v>535</v>
      </c>
      <c r="BM555" t="s">
        <v>11311</v>
      </c>
      <c r="BN555" t="s">
        <v>74</v>
      </c>
      <c r="BO555" t="s">
        <v>350</v>
      </c>
      <c r="BP555" t="s">
        <v>74</v>
      </c>
      <c r="BQ555" t="s">
        <v>74</v>
      </c>
      <c r="BR555" t="s">
        <v>104</v>
      </c>
      <c r="BS555" t="s">
        <v>11312</v>
      </c>
      <c r="BT555" t="str">
        <f>HYPERLINK("https%3A%2F%2Fwww.webofscience.com%2Fwos%2Fwoscc%2Ffull-record%2FWOS:000571925200002","View Full Record in Web of Science")</f>
        <v>View Full Record in Web of Science</v>
      </c>
    </row>
    <row r="556" spans="1:72" x14ac:dyDescent="0.15">
      <c r="A556" t="s">
        <v>72</v>
      </c>
      <c r="B556" t="s">
        <v>11313</v>
      </c>
      <c r="C556" t="s">
        <v>74</v>
      </c>
      <c r="D556" t="s">
        <v>74</v>
      </c>
      <c r="E556" t="s">
        <v>74</v>
      </c>
      <c r="F556" t="s">
        <v>11314</v>
      </c>
      <c r="G556" t="s">
        <v>74</v>
      </c>
      <c r="H556" t="s">
        <v>74</v>
      </c>
      <c r="I556" t="s">
        <v>11315</v>
      </c>
      <c r="J556" t="s">
        <v>1063</v>
      </c>
      <c r="K556" t="s">
        <v>74</v>
      </c>
      <c r="L556" t="s">
        <v>74</v>
      </c>
      <c r="M556" t="s">
        <v>78</v>
      </c>
      <c r="N556" t="s">
        <v>79</v>
      </c>
      <c r="O556" t="s">
        <v>74</v>
      </c>
      <c r="P556" t="s">
        <v>74</v>
      </c>
      <c r="Q556" t="s">
        <v>74</v>
      </c>
      <c r="R556" t="s">
        <v>74</v>
      </c>
      <c r="S556" t="s">
        <v>74</v>
      </c>
      <c r="T556" t="s">
        <v>11316</v>
      </c>
      <c r="U556" t="s">
        <v>11317</v>
      </c>
      <c r="V556" t="s">
        <v>11318</v>
      </c>
      <c r="W556" t="s">
        <v>11319</v>
      </c>
      <c r="X556" t="s">
        <v>11320</v>
      </c>
      <c r="Y556" t="s">
        <v>11321</v>
      </c>
      <c r="Z556" t="s">
        <v>11322</v>
      </c>
      <c r="AA556" t="s">
        <v>11323</v>
      </c>
      <c r="AB556" t="s">
        <v>74</v>
      </c>
      <c r="AC556" t="s">
        <v>11324</v>
      </c>
      <c r="AD556" t="s">
        <v>11325</v>
      </c>
      <c r="AE556" t="s">
        <v>11326</v>
      </c>
      <c r="AF556" t="s">
        <v>74</v>
      </c>
      <c r="AG556">
        <v>50</v>
      </c>
      <c r="AH556">
        <v>7</v>
      </c>
      <c r="AI556">
        <v>9</v>
      </c>
      <c r="AJ556">
        <v>6</v>
      </c>
      <c r="AK556">
        <v>58</v>
      </c>
      <c r="AL556" t="s">
        <v>482</v>
      </c>
      <c r="AM556" t="s">
        <v>483</v>
      </c>
      <c r="AN556" t="s">
        <v>484</v>
      </c>
      <c r="AO556" t="s">
        <v>1075</v>
      </c>
      <c r="AP556" t="s">
        <v>1076</v>
      </c>
      <c r="AQ556" t="s">
        <v>74</v>
      </c>
      <c r="AR556" t="s">
        <v>1077</v>
      </c>
      <c r="AS556" t="s">
        <v>1078</v>
      </c>
      <c r="AT556" t="s">
        <v>1212</v>
      </c>
      <c r="AU556">
        <v>2020</v>
      </c>
      <c r="AV556">
        <v>43</v>
      </c>
      <c r="AW556">
        <v>11</v>
      </c>
      <c r="AX556" t="s">
        <v>74</v>
      </c>
      <c r="AY556" t="s">
        <v>74</v>
      </c>
      <c r="AZ556" t="s">
        <v>74</v>
      </c>
      <c r="BA556" t="s">
        <v>74</v>
      </c>
      <c r="BB556">
        <v>1769</v>
      </c>
      <c r="BC556">
        <v>1781</v>
      </c>
      <c r="BD556" t="s">
        <v>74</v>
      </c>
      <c r="BE556" t="s">
        <v>11327</v>
      </c>
      <c r="BF556" t="str">
        <f>HYPERLINK("http://dx.doi.org/10.1007/s00300-020-02743-x","http://dx.doi.org/10.1007/s00300-020-02743-x")</f>
        <v>http://dx.doi.org/10.1007/s00300-020-02743-x</v>
      </c>
      <c r="BG556" t="s">
        <v>74</v>
      </c>
      <c r="BH556" t="s">
        <v>9526</v>
      </c>
      <c r="BI556">
        <v>13</v>
      </c>
      <c r="BJ556" t="s">
        <v>1080</v>
      </c>
      <c r="BK556" t="s">
        <v>100</v>
      </c>
      <c r="BL556" t="s">
        <v>256</v>
      </c>
      <c r="BM556" t="s">
        <v>9540</v>
      </c>
      <c r="BN556" t="s">
        <v>74</v>
      </c>
      <c r="BO556" t="s">
        <v>74</v>
      </c>
      <c r="BP556" t="s">
        <v>74</v>
      </c>
      <c r="BQ556" t="s">
        <v>74</v>
      </c>
      <c r="BR556" t="s">
        <v>104</v>
      </c>
      <c r="BS556" t="s">
        <v>11328</v>
      </c>
      <c r="BT556" t="str">
        <f>HYPERLINK("https%3A%2F%2Fwww.webofscience.com%2Fwos%2Fwoscc%2Ffull-record%2FWOS:000569276600001","View Full Record in Web of Science")</f>
        <v>View Full Record in Web of Science</v>
      </c>
    </row>
    <row r="557" spans="1:72" x14ac:dyDescent="0.15">
      <c r="A557" t="s">
        <v>72</v>
      </c>
      <c r="B557" t="s">
        <v>11329</v>
      </c>
      <c r="C557" t="s">
        <v>74</v>
      </c>
      <c r="D557" t="s">
        <v>74</v>
      </c>
      <c r="E557" t="s">
        <v>74</v>
      </c>
      <c r="F557" t="s">
        <v>11330</v>
      </c>
      <c r="G557" t="s">
        <v>74</v>
      </c>
      <c r="H557" t="s">
        <v>74</v>
      </c>
      <c r="I557" t="s">
        <v>11331</v>
      </c>
      <c r="J557" t="s">
        <v>780</v>
      </c>
      <c r="K557" t="s">
        <v>74</v>
      </c>
      <c r="L557" t="s">
        <v>74</v>
      </c>
      <c r="M557" t="s">
        <v>78</v>
      </c>
      <c r="N557" t="s">
        <v>79</v>
      </c>
      <c r="O557" t="s">
        <v>74</v>
      </c>
      <c r="P557" t="s">
        <v>74</v>
      </c>
      <c r="Q557" t="s">
        <v>74</v>
      </c>
      <c r="R557" t="s">
        <v>74</v>
      </c>
      <c r="S557" t="s">
        <v>74</v>
      </c>
      <c r="T557" t="s">
        <v>11332</v>
      </c>
      <c r="U557" t="s">
        <v>11333</v>
      </c>
      <c r="V557" t="s">
        <v>11334</v>
      </c>
      <c r="W557" t="s">
        <v>11335</v>
      </c>
      <c r="X557" t="s">
        <v>11336</v>
      </c>
      <c r="Y557" t="s">
        <v>11337</v>
      </c>
      <c r="Z557" t="s">
        <v>11338</v>
      </c>
      <c r="AA557" t="s">
        <v>74</v>
      </c>
      <c r="AB557" t="s">
        <v>11339</v>
      </c>
      <c r="AC557" t="s">
        <v>11340</v>
      </c>
      <c r="AD557" t="s">
        <v>11341</v>
      </c>
      <c r="AE557" t="s">
        <v>11342</v>
      </c>
      <c r="AF557" t="s">
        <v>74</v>
      </c>
      <c r="AG557">
        <v>45</v>
      </c>
      <c r="AH557">
        <v>4</v>
      </c>
      <c r="AI557">
        <v>4</v>
      </c>
      <c r="AJ557">
        <v>0</v>
      </c>
      <c r="AK557">
        <v>2</v>
      </c>
      <c r="AL557" t="s">
        <v>219</v>
      </c>
      <c r="AM557" t="s">
        <v>220</v>
      </c>
      <c r="AN557" t="s">
        <v>221</v>
      </c>
      <c r="AO557" t="s">
        <v>793</v>
      </c>
      <c r="AP557" t="s">
        <v>794</v>
      </c>
      <c r="AQ557" t="s">
        <v>74</v>
      </c>
      <c r="AR557" t="s">
        <v>795</v>
      </c>
      <c r="AS557" t="s">
        <v>796</v>
      </c>
      <c r="AT557" t="s">
        <v>252</v>
      </c>
      <c r="AU557">
        <v>2021</v>
      </c>
      <c r="AV557">
        <v>41</v>
      </c>
      <c r="AW557" t="s">
        <v>74</v>
      </c>
      <c r="AX557" t="s">
        <v>74</v>
      </c>
      <c r="AY557">
        <v>1</v>
      </c>
      <c r="AZ557" t="s">
        <v>74</v>
      </c>
      <c r="BA557" t="s">
        <v>74</v>
      </c>
      <c r="BB557" t="s">
        <v>11343</v>
      </c>
      <c r="BC557" t="s">
        <v>11344</v>
      </c>
      <c r="BD557" t="s">
        <v>74</v>
      </c>
      <c r="BE557" t="s">
        <v>11345</v>
      </c>
      <c r="BF557" t="str">
        <f>HYPERLINK("http://dx.doi.org/10.1002/joc.6736","http://dx.doi.org/10.1002/joc.6736")</f>
        <v>http://dx.doi.org/10.1002/joc.6736</v>
      </c>
      <c r="BG557" t="s">
        <v>74</v>
      </c>
      <c r="BH557" t="s">
        <v>9526</v>
      </c>
      <c r="BI557">
        <v>15</v>
      </c>
      <c r="BJ557" t="s">
        <v>800</v>
      </c>
      <c r="BK557" t="s">
        <v>100</v>
      </c>
      <c r="BL557" t="s">
        <v>800</v>
      </c>
      <c r="BM557" t="s">
        <v>801</v>
      </c>
      <c r="BN557" t="s">
        <v>74</v>
      </c>
      <c r="BO557" t="s">
        <v>74</v>
      </c>
      <c r="BP557" t="s">
        <v>74</v>
      </c>
      <c r="BQ557" t="s">
        <v>74</v>
      </c>
      <c r="BR557" t="s">
        <v>104</v>
      </c>
      <c r="BS557" t="s">
        <v>11346</v>
      </c>
      <c r="BT557" t="str">
        <f>HYPERLINK("https%3A%2F%2Fwww.webofscience.com%2Fwos%2Fwoscc%2Ffull-record%2FWOS:000568620100001","View Full Record in Web of Science")</f>
        <v>View Full Record in Web of Science</v>
      </c>
    </row>
    <row r="558" spans="1:72" x14ac:dyDescent="0.15">
      <c r="A558" t="s">
        <v>72</v>
      </c>
      <c r="B558" t="s">
        <v>11347</v>
      </c>
      <c r="C558" t="s">
        <v>74</v>
      </c>
      <c r="D558" t="s">
        <v>74</v>
      </c>
      <c r="E558" t="s">
        <v>74</v>
      </c>
      <c r="F558" t="s">
        <v>11348</v>
      </c>
      <c r="G558" t="s">
        <v>74</v>
      </c>
      <c r="H558" t="s">
        <v>74</v>
      </c>
      <c r="I558" t="s">
        <v>11349</v>
      </c>
      <c r="J558" t="s">
        <v>381</v>
      </c>
      <c r="K558" t="s">
        <v>74</v>
      </c>
      <c r="L558" t="s">
        <v>74</v>
      </c>
      <c r="M558" t="s">
        <v>78</v>
      </c>
      <c r="N558" t="s">
        <v>79</v>
      </c>
      <c r="O558" t="s">
        <v>74</v>
      </c>
      <c r="P558" t="s">
        <v>74</v>
      </c>
      <c r="Q558" t="s">
        <v>74</v>
      </c>
      <c r="R558" t="s">
        <v>74</v>
      </c>
      <c r="S558" t="s">
        <v>74</v>
      </c>
      <c r="T558" t="s">
        <v>74</v>
      </c>
      <c r="U558" t="s">
        <v>11350</v>
      </c>
      <c r="V558" t="s">
        <v>11351</v>
      </c>
      <c r="W558" t="s">
        <v>11352</v>
      </c>
      <c r="X558" t="s">
        <v>11353</v>
      </c>
      <c r="Y558" t="s">
        <v>11354</v>
      </c>
      <c r="Z558" t="s">
        <v>11355</v>
      </c>
      <c r="AA558" t="s">
        <v>74</v>
      </c>
      <c r="AB558" t="s">
        <v>11356</v>
      </c>
      <c r="AC558" t="s">
        <v>11357</v>
      </c>
      <c r="AD558" t="s">
        <v>11358</v>
      </c>
      <c r="AE558" t="s">
        <v>11359</v>
      </c>
      <c r="AF558" t="s">
        <v>74</v>
      </c>
      <c r="AG558">
        <v>71</v>
      </c>
      <c r="AH558">
        <v>90</v>
      </c>
      <c r="AI558">
        <v>93</v>
      </c>
      <c r="AJ558">
        <v>11</v>
      </c>
      <c r="AK558">
        <v>51</v>
      </c>
      <c r="AL558" t="s">
        <v>413</v>
      </c>
      <c r="AM558" t="s">
        <v>322</v>
      </c>
      <c r="AN558" t="s">
        <v>323</v>
      </c>
      <c r="AO558" t="s">
        <v>74</v>
      </c>
      <c r="AP558" t="s">
        <v>392</v>
      </c>
      <c r="AQ558" t="s">
        <v>74</v>
      </c>
      <c r="AR558" t="s">
        <v>393</v>
      </c>
      <c r="AS558" t="s">
        <v>394</v>
      </c>
      <c r="AT558" t="s">
        <v>11360</v>
      </c>
      <c r="AU558">
        <v>2020</v>
      </c>
      <c r="AV558">
        <v>11</v>
      </c>
      <c r="AW558">
        <v>1</v>
      </c>
      <c r="AX558" t="s">
        <v>74</v>
      </c>
      <c r="AY558" t="s">
        <v>74</v>
      </c>
      <c r="AZ558" t="s">
        <v>74</v>
      </c>
      <c r="BA558" t="s">
        <v>74</v>
      </c>
      <c r="BB558" t="s">
        <v>74</v>
      </c>
      <c r="BC558" t="s">
        <v>74</v>
      </c>
      <c r="BD558">
        <v>4579</v>
      </c>
      <c r="BE558" t="s">
        <v>11361</v>
      </c>
      <c r="BF558" t="str">
        <f>HYPERLINK("http://dx.doi.org/10.1038/s41467-020-18300-3","http://dx.doi.org/10.1038/s41467-020-18300-3")</f>
        <v>http://dx.doi.org/10.1038/s41467-020-18300-3</v>
      </c>
      <c r="BG558" t="s">
        <v>74</v>
      </c>
      <c r="BH558" t="s">
        <v>74</v>
      </c>
      <c r="BI558">
        <v>10</v>
      </c>
      <c r="BJ558" t="s">
        <v>329</v>
      </c>
      <c r="BK558" t="s">
        <v>100</v>
      </c>
      <c r="BL558" t="s">
        <v>330</v>
      </c>
      <c r="BM558" t="s">
        <v>11362</v>
      </c>
      <c r="BN558">
        <v>32917860</v>
      </c>
      <c r="BO558" t="s">
        <v>332</v>
      </c>
      <c r="BP558" t="s">
        <v>417</v>
      </c>
      <c r="BQ558" t="s">
        <v>418</v>
      </c>
      <c r="BR558" t="s">
        <v>104</v>
      </c>
      <c r="BS558" t="s">
        <v>11363</v>
      </c>
      <c r="BT558" t="str">
        <f>HYPERLINK("https%3A%2F%2Fwww.webofscience.com%2Fwos%2Fwoscc%2Ffull-record%2FWOS:000607147300001","View Full Record in Web of Science")</f>
        <v>View Full Record in Web of Science</v>
      </c>
    </row>
    <row r="559" spans="1:72" x14ac:dyDescent="0.15">
      <c r="A559" t="s">
        <v>72</v>
      </c>
      <c r="B559" t="s">
        <v>11364</v>
      </c>
      <c r="C559" t="s">
        <v>74</v>
      </c>
      <c r="D559" t="s">
        <v>74</v>
      </c>
      <c r="E559" t="s">
        <v>74</v>
      </c>
      <c r="F559" t="s">
        <v>11365</v>
      </c>
      <c r="G559" t="s">
        <v>74</v>
      </c>
      <c r="H559" t="s">
        <v>74</v>
      </c>
      <c r="I559" t="s">
        <v>11366</v>
      </c>
      <c r="J559" t="s">
        <v>1010</v>
      </c>
      <c r="K559" t="s">
        <v>74</v>
      </c>
      <c r="L559" t="s">
        <v>74</v>
      </c>
      <c r="M559" t="s">
        <v>78</v>
      </c>
      <c r="N559" t="s">
        <v>79</v>
      </c>
      <c r="O559" t="s">
        <v>74</v>
      </c>
      <c r="P559" t="s">
        <v>74</v>
      </c>
      <c r="Q559" t="s">
        <v>74</v>
      </c>
      <c r="R559" t="s">
        <v>74</v>
      </c>
      <c r="S559" t="s">
        <v>74</v>
      </c>
      <c r="T559" t="s">
        <v>74</v>
      </c>
      <c r="U559" t="s">
        <v>11367</v>
      </c>
      <c r="V559" t="s">
        <v>11368</v>
      </c>
      <c r="W559" t="s">
        <v>11369</v>
      </c>
      <c r="X559" t="s">
        <v>11370</v>
      </c>
      <c r="Y559" t="s">
        <v>11371</v>
      </c>
      <c r="Z559" t="s">
        <v>11372</v>
      </c>
      <c r="AA559" t="s">
        <v>11373</v>
      </c>
      <c r="AB559" t="s">
        <v>11374</v>
      </c>
      <c r="AC559" t="s">
        <v>11375</v>
      </c>
      <c r="AD559" t="s">
        <v>11376</v>
      </c>
      <c r="AE559" t="s">
        <v>11377</v>
      </c>
      <c r="AF559" t="s">
        <v>74</v>
      </c>
      <c r="AG559">
        <v>117</v>
      </c>
      <c r="AH559">
        <v>28</v>
      </c>
      <c r="AI559">
        <v>29</v>
      </c>
      <c r="AJ559">
        <v>4</v>
      </c>
      <c r="AK559">
        <v>24</v>
      </c>
      <c r="AL559" t="s">
        <v>91</v>
      </c>
      <c r="AM559" t="s">
        <v>92</v>
      </c>
      <c r="AN559" t="s">
        <v>93</v>
      </c>
      <c r="AO559" t="s">
        <v>1022</v>
      </c>
      <c r="AP559" t="s">
        <v>1023</v>
      </c>
      <c r="AQ559" t="s">
        <v>74</v>
      </c>
      <c r="AR559" t="s">
        <v>1024</v>
      </c>
      <c r="AS559" t="s">
        <v>1025</v>
      </c>
      <c r="AT559" t="s">
        <v>11360</v>
      </c>
      <c r="AU559">
        <v>2020</v>
      </c>
      <c r="AV559">
        <v>20</v>
      </c>
      <c r="AW559">
        <v>17</v>
      </c>
      <c r="AX559" t="s">
        <v>74</v>
      </c>
      <c r="AY559" t="s">
        <v>74</v>
      </c>
      <c r="AZ559" t="s">
        <v>74</v>
      </c>
      <c r="BA559" t="s">
        <v>74</v>
      </c>
      <c r="BB559">
        <v>10611</v>
      </c>
      <c r="BC559">
        <v>10635</v>
      </c>
      <c r="BD559" t="s">
        <v>74</v>
      </c>
      <c r="BE559" t="s">
        <v>11378</v>
      </c>
      <c r="BF559" t="str">
        <f>HYPERLINK("http://dx.doi.org/10.5194/acp-20-10611-2020","http://dx.doi.org/10.5194/acp-20-10611-2020")</f>
        <v>http://dx.doi.org/10.5194/acp-20-10611-2020</v>
      </c>
      <c r="BG559" t="s">
        <v>74</v>
      </c>
      <c r="BH559" t="s">
        <v>74</v>
      </c>
      <c r="BI559">
        <v>25</v>
      </c>
      <c r="BJ559" t="s">
        <v>1027</v>
      </c>
      <c r="BK559" t="s">
        <v>100</v>
      </c>
      <c r="BL559" t="s">
        <v>1028</v>
      </c>
      <c r="BM559" t="s">
        <v>11379</v>
      </c>
      <c r="BN559" t="s">
        <v>74</v>
      </c>
      <c r="BO559" t="s">
        <v>677</v>
      </c>
      <c r="BP559" t="s">
        <v>74</v>
      </c>
      <c r="BQ559" t="s">
        <v>74</v>
      </c>
      <c r="BR559" t="s">
        <v>104</v>
      </c>
      <c r="BS559" t="s">
        <v>11380</v>
      </c>
      <c r="BT559" t="str">
        <f>HYPERLINK("https%3A%2F%2Fwww.webofscience.com%2Fwos%2Fwoscc%2Ffull-record%2FWOS:000571481400001","View Full Record in Web of Science")</f>
        <v>View Full Record in Web of Science</v>
      </c>
    </row>
    <row r="560" spans="1:72" x14ac:dyDescent="0.15">
      <c r="A560" t="s">
        <v>72</v>
      </c>
      <c r="B560" t="s">
        <v>11381</v>
      </c>
      <c r="C560" t="s">
        <v>74</v>
      </c>
      <c r="D560" t="s">
        <v>74</v>
      </c>
      <c r="E560" t="s">
        <v>74</v>
      </c>
      <c r="F560" t="s">
        <v>11382</v>
      </c>
      <c r="G560" t="s">
        <v>74</v>
      </c>
      <c r="H560" t="s">
        <v>74</v>
      </c>
      <c r="I560" t="s">
        <v>11383</v>
      </c>
      <c r="J560" t="s">
        <v>901</v>
      </c>
      <c r="K560" t="s">
        <v>74</v>
      </c>
      <c r="L560" t="s">
        <v>74</v>
      </c>
      <c r="M560" t="s">
        <v>78</v>
      </c>
      <c r="N560" t="s">
        <v>79</v>
      </c>
      <c r="O560" t="s">
        <v>74</v>
      </c>
      <c r="P560" t="s">
        <v>74</v>
      </c>
      <c r="Q560" t="s">
        <v>74</v>
      </c>
      <c r="R560" t="s">
        <v>74</v>
      </c>
      <c r="S560" t="s">
        <v>74</v>
      </c>
      <c r="T560" t="s">
        <v>11384</v>
      </c>
      <c r="U560" t="s">
        <v>11385</v>
      </c>
      <c r="V560" t="s">
        <v>11386</v>
      </c>
      <c r="W560" t="s">
        <v>11387</v>
      </c>
      <c r="X560" t="s">
        <v>4710</v>
      </c>
      <c r="Y560" t="s">
        <v>11388</v>
      </c>
      <c r="Z560" t="s">
        <v>11389</v>
      </c>
      <c r="AA560" t="s">
        <v>74</v>
      </c>
      <c r="AB560" t="s">
        <v>11390</v>
      </c>
      <c r="AC560" t="s">
        <v>11391</v>
      </c>
      <c r="AD560" t="s">
        <v>11392</v>
      </c>
      <c r="AE560" t="s">
        <v>11393</v>
      </c>
      <c r="AF560" t="s">
        <v>74</v>
      </c>
      <c r="AG560">
        <v>53</v>
      </c>
      <c r="AH560">
        <v>4</v>
      </c>
      <c r="AI560">
        <v>4</v>
      </c>
      <c r="AJ560">
        <v>1</v>
      </c>
      <c r="AK560">
        <v>11</v>
      </c>
      <c r="AL560" t="s">
        <v>866</v>
      </c>
      <c r="AM560" t="s">
        <v>867</v>
      </c>
      <c r="AN560" t="s">
        <v>868</v>
      </c>
      <c r="AO560" t="s">
        <v>74</v>
      </c>
      <c r="AP560" t="s">
        <v>914</v>
      </c>
      <c r="AQ560" t="s">
        <v>74</v>
      </c>
      <c r="AR560" t="s">
        <v>915</v>
      </c>
      <c r="AS560" t="s">
        <v>916</v>
      </c>
      <c r="AT560" t="s">
        <v>11360</v>
      </c>
      <c r="AU560">
        <v>2020</v>
      </c>
      <c r="AV560">
        <v>7</v>
      </c>
      <c r="AW560" t="s">
        <v>74</v>
      </c>
      <c r="AX560" t="s">
        <v>74</v>
      </c>
      <c r="AY560" t="s">
        <v>74</v>
      </c>
      <c r="AZ560" t="s">
        <v>74</v>
      </c>
      <c r="BA560" t="s">
        <v>74</v>
      </c>
      <c r="BB560" t="s">
        <v>74</v>
      </c>
      <c r="BC560" t="s">
        <v>74</v>
      </c>
      <c r="BD560">
        <v>530757</v>
      </c>
      <c r="BE560" t="s">
        <v>11394</v>
      </c>
      <c r="BF560" t="str">
        <f>HYPERLINK("http://dx.doi.org/10.3389/fmars.2020.530757","http://dx.doi.org/10.3389/fmars.2020.530757")</f>
        <v>http://dx.doi.org/10.3389/fmars.2020.530757</v>
      </c>
      <c r="BG560" t="s">
        <v>74</v>
      </c>
      <c r="BH560" t="s">
        <v>74</v>
      </c>
      <c r="BI560">
        <v>13</v>
      </c>
      <c r="BJ560" t="s">
        <v>918</v>
      </c>
      <c r="BK560" t="s">
        <v>100</v>
      </c>
      <c r="BL560" t="s">
        <v>919</v>
      </c>
      <c r="BM560" t="s">
        <v>11395</v>
      </c>
      <c r="BN560" t="s">
        <v>74</v>
      </c>
      <c r="BO560" t="s">
        <v>11396</v>
      </c>
      <c r="BP560" t="s">
        <v>74</v>
      </c>
      <c r="BQ560" t="s">
        <v>74</v>
      </c>
      <c r="BR560" t="s">
        <v>104</v>
      </c>
      <c r="BS560" t="s">
        <v>11397</v>
      </c>
      <c r="BT560" t="str">
        <f>HYPERLINK("https%3A%2F%2Fwww.webofscience.com%2Fwos%2Fwoscc%2Ffull-record%2FWOS:000571911500001","View Full Record in Web of Science")</f>
        <v>View Full Record in Web of Science</v>
      </c>
    </row>
    <row r="561" spans="1:72" x14ac:dyDescent="0.15">
      <c r="A561" t="s">
        <v>72</v>
      </c>
      <c r="B561" t="s">
        <v>11398</v>
      </c>
      <c r="C561" t="s">
        <v>74</v>
      </c>
      <c r="D561" t="s">
        <v>74</v>
      </c>
      <c r="E561" t="s">
        <v>74</v>
      </c>
      <c r="F561" t="s">
        <v>11399</v>
      </c>
      <c r="G561" t="s">
        <v>74</v>
      </c>
      <c r="H561" t="s">
        <v>74</v>
      </c>
      <c r="I561" t="s">
        <v>11400</v>
      </c>
      <c r="J561" t="s">
        <v>901</v>
      </c>
      <c r="K561" t="s">
        <v>74</v>
      </c>
      <c r="L561" t="s">
        <v>74</v>
      </c>
      <c r="M561" t="s">
        <v>78</v>
      </c>
      <c r="N561" t="s">
        <v>79</v>
      </c>
      <c r="O561" t="s">
        <v>74</v>
      </c>
      <c r="P561" t="s">
        <v>74</v>
      </c>
      <c r="Q561" t="s">
        <v>74</v>
      </c>
      <c r="R561" t="s">
        <v>74</v>
      </c>
      <c r="S561" t="s">
        <v>74</v>
      </c>
      <c r="T561" t="s">
        <v>11401</v>
      </c>
      <c r="U561" t="s">
        <v>11402</v>
      </c>
      <c r="V561" t="s">
        <v>11403</v>
      </c>
      <c r="W561" t="s">
        <v>11404</v>
      </c>
      <c r="X561" t="s">
        <v>11405</v>
      </c>
      <c r="Y561" t="s">
        <v>11406</v>
      </c>
      <c r="Z561" t="s">
        <v>11407</v>
      </c>
      <c r="AA561" t="s">
        <v>11408</v>
      </c>
      <c r="AB561" t="s">
        <v>11409</v>
      </c>
      <c r="AC561" t="s">
        <v>11410</v>
      </c>
      <c r="AD561" t="s">
        <v>11411</v>
      </c>
      <c r="AE561" t="s">
        <v>11412</v>
      </c>
      <c r="AF561" t="s">
        <v>74</v>
      </c>
      <c r="AG561">
        <v>60</v>
      </c>
      <c r="AH561">
        <v>6</v>
      </c>
      <c r="AI561">
        <v>7</v>
      </c>
      <c r="AJ561">
        <v>1</v>
      </c>
      <c r="AK561">
        <v>8</v>
      </c>
      <c r="AL561" t="s">
        <v>866</v>
      </c>
      <c r="AM561" t="s">
        <v>867</v>
      </c>
      <c r="AN561" t="s">
        <v>868</v>
      </c>
      <c r="AO561" t="s">
        <v>74</v>
      </c>
      <c r="AP561" t="s">
        <v>914</v>
      </c>
      <c r="AQ561" t="s">
        <v>74</v>
      </c>
      <c r="AR561" t="s">
        <v>915</v>
      </c>
      <c r="AS561" t="s">
        <v>916</v>
      </c>
      <c r="AT561" t="s">
        <v>11360</v>
      </c>
      <c r="AU561">
        <v>2020</v>
      </c>
      <c r="AV561">
        <v>7</v>
      </c>
      <c r="AW561" t="s">
        <v>74</v>
      </c>
      <c r="AX561" t="s">
        <v>74</v>
      </c>
      <c r="AY561" t="s">
        <v>74</v>
      </c>
      <c r="AZ561" t="s">
        <v>74</v>
      </c>
      <c r="BA561" t="s">
        <v>74</v>
      </c>
      <c r="BB561" t="s">
        <v>74</v>
      </c>
      <c r="BC561" t="s">
        <v>74</v>
      </c>
      <c r="BD561">
        <v>641</v>
      </c>
      <c r="BE561" t="s">
        <v>11413</v>
      </c>
      <c r="BF561" t="str">
        <f>HYPERLINK("http://dx.doi.org/10.3389/fmars.2020.00641","http://dx.doi.org/10.3389/fmars.2020.00641")</f>
        <v>http://dx.doi.org/10.3389/fmars.2020.00641</v>
      </c>
      <c r="BG561" t="s">
        <v>74</v>
      </c>
      <c r="BH561" t="s">
        <v>74</v>
      </c>
      <c r="BI561">
        <v>16</v>
      </c>
      <c r="BJ561" t="s">
        <v>918</v>
      </c>
      <c r="BK561" t="s">
        <v>100</v>
      </c>
      <c r="BL561" t="s">
        <v>919</v>
      </c>
      <c r="BM561" t="s">
        <v>11414</v>
      </c>
      <c r="BN561" t="s">
        <v>74</v>
      </c>
      <c r="BO561" t="s">
        <v>332</v>
      </c>
      <c r="BP561" t="s">
        <v>74</v>
      </c>
      <c r="BQ561" t="s">
        <v>74</v>
      </c>
      <c r="BR561" t="s">
        <v>104</v>
      </c>
      <c r="BS561" t="s">
        <v>11415</v>
      </c>
      <c r="BT561" t="str">
        <f>HYPERLINK("https%3A%2F%2Fwww.webofscience.com%2Fwos%2Fwoscc%2Ffull-record%2FWOS:000571910000001","View Full Record in Web of Science")</f>
        <v>View Full Record in Web of Science</v>
      </c>
    </row>
    <row r="562" spans="1:72" x14ac:dyDescent="0.15">
      <c r="A562" t="s">
        <v>72</v>
      </c>
      <c r="B562" t="s">
        <v>11416</v>
      </c>
      <c r="C562" t="s">
        <v>74</v>
      </c>
      <c r="D562" t="s">
        <v>74</v>
      </c>
      <c r="E562" t="s">
        <v>74</v>
      </c>
      <c r="F562" t="s">
        <v>11417</v>
      </c>
      <c r="G562" t="s">
        <v>74</v>
      </c>
      <c r="H562" t="s">
        <v>74</v>
      </c>
      <c r="I562" t="s">
        <v>11418</v>
      </c>
      <c r="J562" t="s">
        <v>1063</v>
      </c>
      <c r="K562" t="s">
        <v>74</v>
      </c>
      <c r="L562" t="s">
        <v>74</v>
      </c>
      <c r="M562" t="s">
        <v>78</v>
      </c>
      <c r="N562" t="s">
        <v>79</v>
      </c>
      <c r="O562" t="s">
        <v>74</v>
      </c>
      <c r="P562" t="s">
        <v>74</v>
      </c>
      <c r="Q562" t="s">
        <v>74</v>
      </c>
      <c r="R562" t="s">
        <v>74</v>
      </c>
      <c r="S562" t="s">
        <v>74</v>
      </c>
      <c r="T562" t="s">
        <v>11419</v>
      </c>
      <c r="U562" t="s">
        <v>74</v>
      </c>
      <c r="V562" t="s">
        <v>11420</v>
      </c>
      <c r="W562" t="s">
        <v>11421</v>
      </c>
      <c r="X562" t="s">
        <v>11422</v>
      </c>
      <c r="Y562" t="s">
        <v>11423</v>
      </c>
      <c r="Z562" t="s">
        <v>11424</v>
      </c>
      <c r="AA562" t="s">
        <v>74</v>
      </c>
      <c r="AB562" t="s">
        <v>11425</v>
      </c>
      <c r="AC562" t="s">
        <v>74</v>
      </c>
      <c r="AD562" t="s">
        <v>74</v>
      </c>
      <c r="AE562" t="s">
        <v>74</v>
      </c>
      <c r="AF562" t="s">
        <v>74</v>
      </c>
      <c r="AG562">
        <v>19</v>
      </c>
      <c r="AH562">
        <v>0</v>
      </c>
      <c r="AI562">
        <v>0</v>
      </c>
      <c r="AJ562">
        <v>1</v>
      </c>
      <c r="AK562">
        <v>45</v>
      </c>
      <c r="AL562" t="s">
        <v>482</v>
      </c>
      <c r="AM562" t="s">
        <v>483</v>
      </c>
      <c r="AN562" t="s">
        <v>484</v>
      </c>
      <c r="AO562" t="s">
        <v>1075</v>
      </c>
      <c r="AP562" t="s">
        <v>1076</v>
      </c>
      <c r="AQ562" t="s">
        <v>74</v>
      </c>
      <c r="AR562" t="s">
        <v>1077</v>
      </c>
      <c r="AS562" t="s">
        <v>1078</v>
      </c>
      <c r="AT562" t="s">
        <v>1212</v>
      </c>
      <c r="AU562">
        <v>2020</v>
      </c>
      <c r="AV562">
        <v>43</v>
      </c>
      <c r="AW562">
        <v>11</v>
      </c>
      <c r="AX562" t="s">
        <v>74</v>
      </c>
      <c r="AY562" t="s">
        <v>74</v>
      </c>
      <c r="AZ562" t="s">
        <v>74</v>
      </c>
      <c r="BA562" t="s">
        <v>74</v>
      </c>
      <c r="BB562">
        <v>1899</v>
      </c>
      <c r="BC562">
        <v>1902</v>
      </c>
      <c r="BD562" t="s">
        <v>74</v>
      </c>
      <c r="BE562" t="s">
        <v>11426</v>
      </c>
      <c r="BF562" t="str">
        <f>HYPERLINK("http://dx.doi.org/10.1007/s00300-020-02741-z","http://dx.doi.org/10.1007/s00300-020-02741-z")</f>
        <v>http://dx.doi.org/10.1007/s00300-020-02741-z</v>
      </c>
      <c r="BG562" t="s">
        <v>74</v>
      </c>
      <c r="BH562" t="s">
        <v>9526</v>
      </c>
      <c r="BI562">
        <v>4</v>
      </c>
      <c r="BJ562" t="s">
        <v>1080</v>
      </c>
      <c r="BK562" t="s">
        <v>100</v>
      </c>
      <c r="BL562" t="s">
        <v>256</v>
      </c>
      <c r="BM562" t="s">
        <v>9540</v>
      </c>
      <c r="BN562" t="s">
        <v>74</v>
      </c>
      <c r="BO562" t="s">
        <v>74</v>
      </c>
      <c r="BP562" t="s">
        <v>74</v>
      </c>
      <c r="BQ562" t="s">
        <v>74</v>
      </c>
      <c r="BR562" t="s">
        <v>104</v>
      </c>
      <c r="BS562" t="s">
        <v>11427</v>
      </c>
      <c r="BT562" t="str">
        <f>HYPERLINK("https%3A%2F%2Fwww.webofscience.com%2Fwos%2Fwoscc%2Ffull-record%2FWOS:000569240900001","View Full Record in Web of Science")</f>
        <v>View Full Record in Web of Science</v>
      </c>
    </row>
    <row r="563" spans="1:72" x14ac:dyDescent="0.15">
      <c r="A563" t="s">
        <v>72</v>
      </c>
      <c r="B563" t="s">
        <v>11428</v>
      </c>
      <c r="C563" t="s">
        <v>74</v>
      </c>
      <c r="D563" t="s">
        <v>74</v>
      </c>
      <c r="E563" t="s">
        <v>74</v>
      </c>
      <c r="F563" t="s">
        <v>11429</v>
      </c>
      <c r="G563" t="s">
        <v>74</v>
      </c>
      <c r="H563" t="s">
        <v>74</v>
      </c>
      <c r="I563" t="s">
        <v>11430</v>
      </c>
      <c r="J563" t="s">
        <v>596</v>
      </c>
      <c r="K563" t="s">
        <v>74</v>
      </c>
      <c r="L563" t="s">
        <v>74</v>
      </c>
      <c r="M563" t="s">
        <v>78</v>
      </c>
      <c r="N563" t="s">
        <v>79</v>
      </c>
      <c r="O563" t="s">
        <v>74</v>
      </c>
      <c r="P563" t="s">
        <v>74</v>
      </c>
      <c r="Q563" t="s">
        <v>74</v>
      </c>
      <c r="R563" t="s">
        <v>74</v>
      </c>
      <c r="S563" t="s">
        <v>74</v>
      </c>
      <c r="T563" t="s">
        <v>74</v>
      </c>
      <c r="U563" t="s">
        <v>11431</v>
      </c>
      <c r="V563" t="s">
        <v>11432</v>
      </c>
      <c r="W563" t="s">
        <v>11433</v>
      </c>
      <c r="X563" t="s">
        <v>11434</v>
      </c>
      <c r="Y563" t="s">
        <v>11435</v>
      </c>
      <c r="Z563" t="s">
        <v>11436</v>
      </c>
      <c r="AA563" t="s">
        <v>11437</v>
      </c>
      <c r="AB563" t="s">
        <v>11438</v>
      </c>
      <c r="AC563" t="s">
        <v>11439</v>
      </c>
      <c r="AD563" t="s">
        <v>11440</v>
      </c>
      <c r="AE563" t="s">
        <v>11441</v>
      </c>
      <c r="AF563" t="s">
        <v>74</v>
      </c>
      <c r="AG563">
        <v>182</v>
      </c>
      <c r="AH563">
        <v>707</v>
      </c>
      <c r="AI563">
        <v>799</v>
      </c>
      <c r="AJ563">
        <v>106</v>
      </c>
      <c r="AK563">
        <v>522</v>
      </c>
      <c r="AL563" t="s">
        <v>608</v>
      </c>
      <c r="AM563" t="s">
        <v>609</v>
      </c>
      <c r="AN563" t="s">
        <v>610</v>
      </c>
      <c r="AO563" t="s">
        <v>611</v>
      </c>
      <c r="AP563" t="s">
        <v>612</v>
      </c>
      <c r="AQ563" t="s">
        <v>74</v>
      </c>
      <c r="AR563" t="s">
        <v>596</v>
      </c>
      <c r="AS563" t="s">
        <v>613</v>
      </c>
      <c r="AT563" t="s">
        <v>11360</v>
      </c>
      <c r="AU563">
        <v>2020</v>
      </c>
      <c r="AV563">
        <v>369</v>
      </c>
      <c r="AW563">
        <v>6509</v>
      </c>
      <c r="AX563" t="s">
        <v>74</v>
      </c>
      <c r="AY563" t="s">
        <v>74</v>
      </c>
      <c r="AZ563" t="s">
        <v>489</v>
      </c>
      <c r="BA563" t="s">
        <v>74</v>
      </c>
      <c r="BB563">
        <v>1383</v>
      </c>
      <c r="BC563" t="s">
        <v>614</v>
      </c>
      <c r="BD563" t="s">
        <v>74</v>
      </c>
      <c r="BE563" t="s">
        <v>11442</v>
      </c>
      <c r="BF563" t="str">
        <f>HYPERLINK("http://dx.doi.org/10.1126/science.aba6853","http://dx.doi.org/10.1126/science.aba6853")</f>
        <v>http://dx.doi.org/10.1126/science.aba6853</v>
      </c>
      <c r="BG563" t="s">
        <v>74</v>
      </c>
      <c r="BH563" t="s">
        <v>74</v>
      </c>
      <c r="BI563">
        <v>80</v>
      </c>
      <c r="BJ563" t="s">
        <v>329</v>
      </c>
      <c r="BK563" t="s">
        <v>100</v>
      </c>
      <c r="BL563" t="s">
        <v>330</v>
      </c>
      <c r="BM563" t="s">
        <v>11443</v>
      </c>
      <c r="BN563">
        <v>32913105</v>
      </c>
      <c r="BO563" t="s">
        <v>618</v>
      </c>
      <c r="BP563" t="s">
        <v>417</v>
      </c>
      <c r="BQ563" t="s">
        <v>418</v>
      </c>
      <c r="BR563" t="s">
        <v>104</v>
      </c>
      <c r="BS563" t="s">
        <v>11444</v>
      </c>
      <c r="BT563" t="str">
        <f>HYPERLINK("https%3A%2F%2Fwww.webofscience.com%2Fwos%2Fwoscc%2Ffull-record%2FWOS:000569840300056","View Full Record in Web of Science")</f>
        <v>View Full Record in Web of Science</v>
      </c>
    </row>
    <row r="564" spans="1:72" x14ac:dyDescent="0.15">
      <c r="A564" t="s">
        <v>72</v>
      </c>
      <c r="B564" t="s">
        <v>11445</v>
      </c>
      <c r="C564" t="s">
        <v>74</v>
      </c>
      <c r="D564" t="s">
        <v>74</v>
      </c>
      <c r="E564" t="s">
        <v>74</v>
      </c>
      <c r="F564" t="s">
        <v>11446</v>
      </c>
      <c r="G564" t="s">
        <v>74</v>
      </c>
      <c r="H564" t="s">
        <v>74</v>
      </c>
      <c r="I564" t="s">
        <v>11447</v>
      </c>
      <c r="J564" t="s">
        <v>309</v>
      </c>
      <c r="K564" t="s">
        <v>74</v>
      </c>
      <c r="L564" t="s">
        <v>74</v>
      </c>
      <c r="M564" t="s">
        <v>78</v>
      </c>
      <c r="N564" t="s">
        <v>79</v>
      </c>
      <c r="O564" t="s">
        <v>74</v>
      </c>
      <c r="P564" t="s">
        <v>74</v>
      </c>
      <c r="Q564" t="s">
        <v>74</v>
      </c>
      <c r="R564" t="s">
        <v>74</v>
      </c>
      <c r="S564" t="s">
        <v>74</v>
      </c>
      <c r="T564" t="s">
        <v>74</v>
      </c>
      <c r="U564" t="s">
        <v>11448</v>
      </c>
      <c r="V564" t="s">
        <v>11449</v>
      </c>
      <c r="W564" t="s">
        <v>11450</v>
      </c>
      <c r="X564" t="s">
        <v>11451</v>
      </c>
      <c r="Y564" t="s">
        <v>11452</v>
      </c>
      <c r="Z564" t="s">
        <v>11453</v>
      </c>
      <c r="AA564" t="s">
        <v>11454</v>
      </c>
      <c r="AB564" t="s">
        <v>11455</v>
      </c>
      <c r="AC564" t="s">
        <v>11456</v>
      </c>
      <c r="AD564" t="s">
        <v>11457</v>
      </c>
      <c r="AE564" t="s">
        <v>11458</v>
      </c>
      <c r="AF564" t="s">
        <v>74</v>
      </c>
      <c r="AG564">
        <v>100</v>
      </c>
      <c r="AH564">
        <v>15</v>
      </c>
      <c r="AI564">
        <v>16</v>
      </c>
      <c r="AJ564">
        <v>0</v>
      </c>
      <c r="AK564">
        <v>16</v>
      </c>
      <c r="AL564" t="s">
        <v>321</v>
      </c>
      <c r="AM564" t="s">
        <v>322</v>
      </c>
      <c r="AN564" t="s">
        <v>323</v>
      </c>
      <c r="AO564" t="s">
        <v>324</v>
      </c>
      <c r="AP564" t="s">
        <v>74</v>
      </c>
      <c r="AQ564" t="s">
        <v>74</v>
      </c>
      <c r="AR564" t="s">
        <v>325</v>
      </c>
      <c r="AS564" t="s">
        <v>326</v>
      </c>
      <c r="AT564" t="s">
        <v>11459</v>
      </c>
      <c r="AU564">
        <v>2020</v>
      </c>
      <c r="AV564">
        <v>10</v>
      </c>
      <c r="AW564">
        <v>1</v>
      </c>
      <c r="AX564" t="s">
        <v>74</v>
      </c>
      <c r="AY564" t="s">
        <v>74</v>
      </c>
      <c r="AZ564" t="s">
        <v>74</v>
      </c>
      <c r="BA564" t="s">
        <v>74</v>
      </c>
      <c r="BB564" t="s">
        <v>74</v>
      </c>
      <c r="BC564" t="s">
        <v>74</v>
      </c>
      <c r="BD564">
        <v>14875</v>
      </c>
      <c r="BE564" t="s">
        <v>11460</v>
      </c>
      <c r="BF564" t="str">
        <f>HYPERLINK("http://dx.doi.org/10.1038/s41598-020-71814-0","http://dx.doi.org/10.1038/s41598-020-71814-0")</f>
        <v>http://dx.doi.org/10.1038/s41598-020-71814-0</v>
      </c>
      <c r="BG564" t="s">
        <v>74</v>
      </c>
      <c r="BH564" t="s">
        <v>74</v>
      </c>
      <c r="BI564">
        <v>15</v>
      </c>
      <c r="BJ564" t="s">
        <v>329</v>
      </c>
      <c r="BK564" t="s">
        <v>100</v>
      </c>
      <c r="BL564" t="s">
        <v>330</v>
      </c>
      <c r="BM564" t="s">
        <v>11461</v>
      </c>
      <c r="BN564">
        <v>32913290</v>
      </c>
      <c r="BO564" t="s">
        <v>2113</v>
      </c>
      <c r="BP564" t="s">
        <v>74</v>
      </c>
      <c r="BQ564" t="s">
        <v>74</v>
      </c>
      <c r="BR564" t="s">
        <v>104</v>
      </c>
      <c r="BS564" t="s">
        <v>11462</v>
      </c>
      <c r="BT564" t="str">
        <f>HYPERLINK("https%3A%2F%2Fwww.webofscience.com%2Fwos%2Fwoscc%2Ffull-record%2FWOS:000571911300014","View Full Record in Web of Science")</f>
        <v>View Full Record in Web of Science</v>
      </c>
    </row>
    <row r="565" spans="1:72" x14ac:dyDescent="0.15">
      <c r="A565" t="s">
        <v>72</v>
      </c>
      <c r="B565" t="s">
        <v>11463</v>
      </c>
      <c r="C565" t="s">
        <v>74</v>
      </c>
      <c r="D565" t="s">
        <v>74</v>
      </c>
      <c r="E565" t="s">
        <v>74</v>
      </c>
      <c r="F565" t="s">
        <v>11464</v>
      </c>
      <c r="G565" t="s">
        <v>74</v>
      </c>
      <c r="H565" t="s">
        <v>74</v>
      </c>
      <c r="I565" t="s">
        <v>11465</v>
      </c>
      <c r="J565" t="s">
        <v>11466</v>
      </c>
      <c r="K565" t="s">
        <v>74</v>
      </c>
      <c r="L565" t="s">
        <v>74</v>
      </c>
      <c r="M565" t="s">
        <v>78</v>
      </c>
      <c r="N565" t="s">
        <v>79</v>
      </c>
      <c r="O565" t="s">
        <v>74</v>
      </c>
      <c r="P565" t="s">
        <v>74</v>
      </c>
      <c r="Q565" t="s">
        <v>74</v>
      </c>
      <c r="R565" t="s">
        <v>74</v>
      </c>
      <c r="S565" t="s">
        <v>74</v>
      </c>
      <c r="T565" t="s">
        <v>11467</v>
      </c>
      <c r="U565" t="s">
        <v>11468</v>
      </c>
      <c r="V565" t="s">
        <v>11469</v>
      </c>
      <c r="W565" t="s">
        <v>11470</v>
      </c>
      <c r="X565" t="s">
        <v>11471</v>
      </c>
      <c r="Y565" t="s">
        <v>11472</v>
      </c>
      <c r="Z565" t="s">
        <v>11473</v>
      </c>
      <c r="AA565" t="s">
        <v>11474</v>
      </c>
      <c r="AB565" t="s">
        <v>11475</v>
      </c>
      <c r="AC565" t="s">
        <v>11476</v>
      </c>
      <c r="AD565" t="s">
        <v>11477</v>
      </c>
      <c r="AE565" t="s">
        <v>11478</v>
      </c>
      <c r="AF565" t="s">
        <v>74</v>
      </c>
      <c r="AG565">
        <v>86</v>
      </c>
      <c r="AH565">
        <v>11</v>
      </c>
      <c r="AI565">
        <v>11</v>
      </c>
      <c r="AJ565">
        <v>2</v>
      </c>
      <c r="AK565">
        <v>35</v>
      </c>
      <c r="AL565" t="s">
        <v>275</v>
      </c>
      <c r="AM565" t="s">
        <v>276</v>
      </c>
      <c r="AN565" t="s">
        <v>277</v>
      </c>
      <c r="AO565" t="s">
        <v>11479</v>
      </c>
      <c r="AP565" t="s">
        <v>11480</v>
      </c>
      <c r="AQ565" t="s">
        <v>74</v>
      </c>
      <c r="AR565" t="s">
        <v>11481</v>
      </c>
      <c r="AS565" t="s">
        <v>11482</v>
      </c>
      <c r="AT565" t="s">
        <v>11459</v>
      </c>
      <c r="AU565">
        <v>2020</v>
      </c>
      <c r="AV565">
        <v>225</v>
      </c>
      <c r="AW565" t="s">
        <v>74</v>
      </c>
      <c r="AX565" t="s">
        <v>74</v>
      </c>
      <c r="AY565" t="s">
        <v>74</v>
      </c>
      <c r="AZ565" t="s">
        <v>74</v>
      </c>
      <c r="BA565" t="s">
        <v>74</v>
      </c>
      <c r="BB565" t="s">
        <v>74</v>
      </c>
      <c r="BC565" t="s">
        <v>74</v>
      </c>
      <c r="BD565">
        <v>103853</v>
      </c>
      <c r="BE565" t="s">
        <v>11483</v>
      </c>
      <c r="BF565" t="str">
        <f>HYPERLINK("http://dx.doi.org/10.1016/j.marchem.2020.103853","http://dx.doi.org/10.1016/j.marchem.2020.103853")</f>
        <v>http://dx.doi.org/10.1016/j.marchem.2020.103853</v>
      </c>
      <c r="BG565" t="s">
        <v>74</v>
      </c>
      <c r="BH565" t="s">
        <v>74</v>
      </c>
      <c r="BI565">
        <v>15</v>
      </c>
      <c r="BJ565" t="s">
        <v>11484</v>
      </c>
      <c r="BK565" t="s">
        <v>100</v>
      </c>
      <c r="BL565" t="s">
        <v>11485</v>
      </c>
      <c r="BM565" t="s">
        <v>11486</v>
      </c>
      <c r="BN565" t="s">
        <v>74</v>
      </c>
      <c r="BO565" t="s">
        <v>74</v>
      </c>
      <c r="BP565" t="s">
        <v>74</v>
      </c>
      <c r="BQ565" t="s">
        <v>74</v>
      </c>
      <c r="BR565" t="s">
        <v>104</v>
      </c>
      <c r="BS565" t="s">
        <v>11487</v>
      </c>
      <c r="BT565" t="str">
        <f>HYPERLINK("https%3A%2F%2Fwww.webofscience.com%2Fwos%2Fwoscc%2Ffull-record%2FWOS:000563903100012","View Full Record in Web of Science")</f>
        <v>View Full Record in Web of Science</v>
      </c>
    </row>
    <row r="566" spans="1:72" x14ac:dyDescent="0.15">
      <c r="A566" t="s">
        <v>72</v>
      </c>
      <c r="B566" t="s">
        <v>11488</v>
      </c>
      <c r="C566" t="s">
        <v>74</v>
      </c>
      <c r="D566" t="s">
        <v>74</v>
      </c>
      <c r="E566" t="s">
        <v>74</v>
      </c>
      <c r="F566" t="s">
        <v>11489</v>
      </c>
      <c r="G566" t="s">
        <v>74</v>
      </c>
      <c r="H566" t="s">
        <v>74</v>
      </c>
      <c r="I566" t="s">
        <v>11490</v>
      </c>
      <c r="J566" t="s">
        <v>11466</v>
      </c>
      <c r="K566" t="s">
        <v>74</v>
      </c>
      <c r="L566" t="s">
        <v>74</v>
      </c>
      <c r="M566" t="s">
        <v>78</v>
      </c>
      <c r="N566" t="s">
        <v>79</v>
      </c>
      <c r="O566" t="s">
        <v>74</v>
      </c>
      <c r="P566" t="s">
        <v>74</v>
      </c>
      <c r="Q566" t="s">
        <v>74</v>
      </c>
      <c r="R566" t="s">
        <v>74</v>
      </c>
      <c r="S566" t="s">
        <v>74</v>
      </c>
      <c r="T566" t="s">
        <v>11491</v>
      </c>
      <c r="U566" t="s">
        <v>11492</v>
      </c>
      <c r="V566" t="s">
        <v>11493</v>
      </c>
      <c r="W566" t="s">
        <v>11494</v>
      </c>
      <c r="X566" t="s">
        <v>11495</v>
      </c>
      <c r="Y566" t="s">
        <v>11496</v>
      </c>
      <c r="Z566" t="s">
        <v>11497</v>
      </c>
      <c r="AA566" t="s">
        <v>11498</v>
      </c>
      <c r="AB566" t="s">
        <v>11499</v>
      </c>
      <c r="AC566" t="s">
        <v>11500</v>
      </c>
      <c r="AD566" t="s">
        <v>11501</v>
      </c>
      <c r="AE566" t="s">
        <v>11502</v>
      </c>
      <c r="AF566" t="s">
        <v>74</v>
      </c>
      <c r="AG566">
        <v>52</v>
      </c>
      <c r="AH566">
        <v>9</v>
      </c>
      <c r="AI566">
        <v>9</v>
      </c>
      <c r="AJ566">
        <v>1</v>
      </c>
      <c r="AK566">
        <v>22</v>
      </c>
      <c r="AL566" t="s">
        <v>275</v>
      </c>
      <c r="AM566" t="s">
        <v>276</v>
      </c>
      <c r="AN566" t="s">
        <v>277</v>
      </c>
      <c r="AO566" t="s">
        <v>11479</v>
      </c>
      <c r="AP566" t="s">
        <v>11480</v>
      </c>
      <c r="AQ566" t="s">
        <v>74</v>
      </c>
      <c r="AR566" t="s">
        <v>11481</v>
      </c>
      <c r="AS566" t="s">
        <v>11482</v>
      </c>
      <c r="AT566" t="s">
        <v>11459</v>
      </c>
      <c r="AU566">
        <v>2020</v>
      </c>
      <c r="AV566">
        <v>225</v>
      </c>
      <c r="AW566" t="s">
        <v>74</v>
      </c>
      <c r="AX566" t="s">
        <v>74</v>
      </c>
      <c r="AY566" t="s">
        <v>74</v>
      </c>
      <c r="AZ566" t="s">
        <v>74</v>
      </c>
      <c r="BA566" t="s">
        <v>74</v>
      </c>
      <c r="BB566" t="s">
        <v>74</v>
      </c>
      <c r="BC566" t="s">
        <v>74</v>
      </c>
      <c r="BD566">
        <v>103842</v>
      </c>
      <c r="BE566" t="s">
        <v>11503</v>
      </c>
      <c r="BF566" t="str">
        <f>HYPERLINK("http://dx.doi.org/10.1016/j.marchem.2020.103842","http://dx.doi.org/10.1016/j.marchem.2020.103842")</f>
        <v>http://dx.doi.org/10.1016/j.marchem.2020.103842</v>
      </c>
      <c r="BG566" t="s">
        <v>74</v>
      </c>
      <c r="BH566" t="s">
        <v>74</v>
      </c>
      <c r="BI566">
        <v>10</v>
      </c>
      <c r="BJ566" t="s">
        <v>11484</v>
      </c>
      <c r="BK566" t="s">
        <v>100</v>
      </c>
      <c r="BL566" t="s">
        <v>11485</v>
      </c>
      <c r="BM566" t="s">
        <v>11486</v>
      </c>
      <c r="BN566" t="s">
        <v>74</v>
      </c>
      <c r="BO566" t="s">
        <v>1259</v>
      </c>
      <c r="BP566" t="s">
        <v>74</v>
      </c>
      <c r="BQ566" t="s">
        <v>74</v>
      </c>
      <c r="BR566" t="s">
        <v>104</v>
      </c>
      <c r="BS566" t="s">
        <v>11504</v>
      </c>
      <c r="BT566" t="str">
        <f>HYPERLINK("https%3A%2F%2Fwww.webofscience.com%2Fwos%2Fwoscc%2Ffull-record%2FWOS:000563903100002","View Full Record in Web of Science")</f>
        <v>View Full Record in Web of Science</v>
      </c>
    </row>
    <row r="567" spans="1:72" x14ac:dyDescent="0.15">
      <c r="A567" t="s">
        <v>72</v>
      </c>
      <c r="B567" t="s">
        <v>11505</v>
      </c>
      <c r="C567" t="s">
        <v>74</v>
      </c>
      <c r="D567" t="s">
        <v>74</v>
      </c>
      <c r="E567" t="s">
        <v>74</v>
      </c>
      <c r="F567" t="s">
        <v>11506</v>
      </c>
      <c r="G567" t="s">
        <v>74</v>
      </c>
      <c r="H567" t="s">
        <v>74</v>
      </c>
      <c r="I567" t="s">
        <v>11507</v>
      </c>
      <c r="J567" t="s">
        <v>6064</v>
      </c>
      <c r="K567" t="s">
        <v>74</v>
      </c>
      <c r="L567" t="s">
        <v>74</v>
      </c>
      <c r="M567" t="s">
        <v>78</v>
      </c>
      <c r="N567" t="s">
        <v>79</v>
      </c>
      <c r="O567" t="s">
        <v>74</v>
      </c>
      <c r="P567" t="s">
        <v>74</v>
      </c>
      <c r="Q567" t="s">
        <v>74</v>
      </c>
      <c r="R567" t="s">
        <v>74</v>
      </c>
      <c r="S567" t="s">
        <v>74</v>
      </c>
      <c r="T567" t="s">
        <v>11508</v>
      </c>
      <c r="U567" t="s">
        <v>11509</v>
      </c>
      <c r="V567" t="s">
        <v>11510</v>
      </c>
      <c r="W567" t="s">
        <v>11511</v>
      </c>
      <c r="X567" t="s">
        <v>11512</v>
      </c>
      <c r="Y567" t="s">
        <v>11513</v>
      </c>
      <c r="Z567" t="s">
        <v>11514</v>
      </c>
      <c r="AA567" t="s">
        <v>10386</v>
      </c>
      <c r="AB567" t="s">
        <v>11515</v>
      </c>
      <c r="AC567" t="s">
        <v>11516</v>
      </c>
      <c r="AD567" t="s">
        <v>11517</v>
      </c>
      <c r="AE567" t="s">
        <v>11518</v>
      </c>
      <c r="AF567" t="s">
        <v>74</v>
      </c>
      <c r="AG567">
        <v>87</v>
      </c>
      <c r="AH567">
        <v>12</v>
      </c>
      <c r="AI567">
        <v>13</v>
      </c>
      <c r="AJ567">
        <v>1</v>
      </c>
      <c r="AK567">
        <v>13</v>
      </c>
      <c r="AL567" t="s">
        <v>122</v>
      </c>
      <c r="AM567" t="s">
        <v>123</v>
      </c>
      <c r="AN567" t="s">
        <v>124</v>
      </c>
      <c r="AO567" t="s">
        <v>6076</v>
      </c>
      <c r="AP567" t="s">
        <v>74</v>
      </c>
      <c r="AQ567" t="s">
        <v>74</v>
      </c>
      <c r="AR567" t="s">
        <v>6077</v>
      </c>
      <c r="AS567" t="s">
        <v>6078</v>
      </c>
      <c r="AT567" t="s">
        <v>11519</v>
      </c>
      <c r="AU567">
        <v>2020</v>
      </c>
      <c r="AV567">
        <v>7</v>
      </c>
      <c r="AW567">
        <v>9</v>
      </c>
      <c r="AX567" t="s">
        <v>74</v>
      </c>
      <c r="AY567" t="s">
        <v>74</v>
      </c>
      <c r="AZ567" t="s">
        <v>74</v>
      </c>
      <c r="BA567" t="s">
        <v>74</v>
      </c>
      <c r="BB567" t="s">
        <v>74</v>
      </c>
      <c r="BC567" t="s">
        <v>74</v>
      </c>
      <c r="BD567">
        <v>200649</v>
      </c>
      <c r="BE567" t="s">
        <v>11520</v>
      </c>
      <c r="BF567" t="str">
        <f>HYPERLINK("http://dx.doi.org/10.1098/rsos.200649","http://dx.doi.org/10.1098/rsos.200649")</f>
        <v>http://dx.doi.org/10.1098/rsos.200649</v>
      </c>
      <c r="BG567" t="s">
        <v>74</v>
      </c>
      <c r="BH567" t="s">
        <v>74</v>
      </c>
      <c r="BI567">
        <v>14</v>
      </c>
      <c r="BJ567" t="s">
        <v>329</v>
      </c>
      <c r="BK567" t="s">
        <v>100</v>
      </c>
      <c r="BL567" t="s">
        <v>330</v>
      </c>
      <c r="BM567" t="s">
        <v>11521</v>
      </c>
      <c r="BN567">
        <v>33047027</v>
      </c>
      <c r="BO567" t="s">
        <v>11522</v>
      </c>
      <c r="BP567" t="s">
        <v>74</v>
      </c>
      <c r="BQ567" t="s">
        <v>74</v>
      </c>
      <c r="BR567" t="s">
        <v>104</v>
      </c>
      <c r="BS567" t="s">
        <v>11523</v>
      </c>
      <c r="BT567" t="str">
        <f>HYPERLINK("https%3A%2F%2Fwww.webofscience.com%2Fwos%2Fwoscc%2Ffull-record%2FWOS:000572426300001","View Full Record in Web of Science")</f>
        <v>View Full Record in Web of Science</v>
      </c>
    </row>
    <row r="568" spans="1:72" x14ac:dyDescent="0.15">
      <c r="A568" t="s">
        <v>72</v>
      </c>
      <c r="B568" t="s">
        <v>11524</v>
      </c>
      <c r="C568" t="s">
        <v>74</v>
      </c>
      <c r="D568" t="s">
        <v>74</v>
      </c>
      <c r="E568" t="s">
        <v>74</v>
      </c>
      <c r="F568" t="s">
        <v>11525</v>
      </c>
      <c r="G568" t="s">
        <v>74</v>
      </c>
      <c r="H568" t="s">
        <v>74</v>
      </c>
      <c r="I568" t="s">
        <v>11526</v>
      </c>
      <c r="J568" t="s">
        <v>11527</v>
      </c>
      <c r="K568" t="s">
        <v>74</v>
      </c>
      <c r="L568" t="s">
        <v>74</v>
      </c>
      <c r="M568" t="s">
        <v>78</v>
      </c>
      <c r="N568" t="s">
        <v>79</v>
      </c>
      <c r="O568" t="s">
        <v>74</v>
      </c>
      <c r="P568" t="s">
        <v>74</v>
      </c>
      <c r="Q568" t="s">
        <v>74</v>
      </c>
      <c r="R568" t="s">
        <v>74</v>
      </c>
      <c r="S568" t="s">
        <v>74</v>
      </c>
      <c r="T568" t="s">
        <v>11528</v>
      </c>
      <c r="U568" t="s">
        <v>11529</v>
      </c>
      <c r="V568" t="s">
        <v>11530</v>
      </c>
      <c r="W568" t="s">
        <v>11531</v>
      </c>
      <c r="X568" t="s">
        <v>11532</v>
      </c>
      <c r="Y568" t="s">
        <v>11533</v>
      </c>
      <c r="Z568" t="s">
        <v>11534</v>
      </c>
      <c r="AA568" t="s">
        <v>11535</v>
      </c>
      <c r="AB568" t="s">
        <v>11536</v>
      </c>
      <c r="AC568" t="s">
        <v>11537</v>
      </c>
      <c r="AD568" t="s">
        <v>11538</v>
      </c>
      <c r="AE568" t="s">
        <v>11539</v>
      </c>
      <c r="AF568" t="s">
        <v>74</v>
      </c>
      <c r="AG568">
        <v>87</v>
      </c>
      <c r="AH568">
        <v>4</v>
      </c>
      <c r="AI568">
        <v>4</v>
      </c>
      <c r="AJ568">
        <v>0</v>
      </c>
      <c r="AK568">
        <v>5</v>
      </c>
      <c r="AL568" t="s">
        <v>11540</v>
      </c>
      <c r="AM568" t="s">
        <v>11541</v>
      </c>
      <c r="AN568" t="s">
        <v>11542</v>
      </c>
      <c r="AO568" t="s">
        <v>11543</v>
      </c>
      <c r="AP568" t="s">
        <v>11544</v>
      </c>
      <c r="AQ568" t="s">
        <v>74</v>
      </c>
      <c r="AR568" t="s">
        <v>11545</v>
      </c>
      <c r="AS568" t="s">
        <v>11546</v>
      </c>
      <c r="AT568" t="s">
        <v>11519</v>
      </c>
      <c r="AU568">
        <v>2020</v>
      </c>
      <c r="AV568">
        <v>641</v>
      </c>
      <c r="AW568" t="s">
        <v>74</v>
      </c>
      <c r="AX568" t="s">
        <v>74</v>
      </c>
      <c r="AY568" t="s">
        <v>74</v>
      </c>
      <c r="AZ568" t="s">
        <v>74</v>
      </c>
      <c r="BA568" t="s">
        <v>74</v>
      </c>
      <c r="BB568" t="s">
        <v>74</v>
      </c>
      <c r="BC568" t="s">
        <v>74</v>
      </c>
      <c r="BD568" t="s">
        <v>11547</v>
      </c>
      <c r="BE568" t="s">
        <v>11548</v>
      </c>
      <c r="BF568" t="str">
        <f>HYPERLINK("http://dx.doi.org/10.1051/0004-6361/202037996","http://dx.doi.org/10.1051/0004-6361/202037996")</f>
        <v>http://dx.doi.org/10.1051/0004-6361/202037996</v>
      </c>
      <c r="BG568" t="s">
        <v>74</v>
      </c>
      <c r="BH568" t="s">
        <v>74</v>
      </c>
      <c r="BI568">
        <v>7</v>
      </c>
      <c r="BJ568" t="s">
        <v>1849</v>
      </c>
      <c r="BK568" t="s">
        <v>100</v>
      </c>
      <c r="BL568" t="s">
        <v>1849</v>
      </c>
      <c r="BM568" t="s">
        <v>11549</v>
      </c>
      <c r="BN568" t="s">
        <v>74</v>
      </c>
      <c r="BO568" t="s">
        <v>8365</v>
      </c>
      <c r="BP568" t="s">
        <v>74</v>
      </c>
      <c r="BQ568" t="s">
        <v>74</v>
      </c>
      <c r="BR568" t="s">
        <v>104</v>
      </c>
      <c r="BS568" t="s">
        <v>11550</v>
      </c>
      <c r="BT568" t="str">
        <f>HYPERLINK("https%3A%2F%2Fwww.webofscience.com%2Fwos%2Fwoscc%2Ffull-record%2FWOS:000571686900004","View Full Record in Web of Science")</f>
        <v>View Full Record in Web of Science</v>
      </c>
    </row>
    <row r="569" spans="1:72" x14ac:dyDescent="0.15">
      <c r="A569" t="s">
        <v>72</v>
      </c>
      <c r="B569" t="s">
        <v>11551</v>
      </c>
      <c r="C569" t="s">
        <v>74</v>
      </c>
      <c r="D569" t="s">
        <v>74</v>
      </c>
      <c r="E569" t="s">
        <v>74</v>
      </c>
      <c r="F569" t="s">
        <v>11552</v>
      </c>
      <c r="G569" t="s">
        <v>74</v>
      </c>
      <c r="H569" t="s">
        <v>74</v>
      </c>
      <c r="I569" t="s">
        <v>11553</v>
      </c>
      <c r="J569" t="s">
        <v>77</v>
      </c>
      <c r="K569" t="s">
        <v>74</v>
      </c>
      <c r="L569" t="s">
        <v>74</v>
      </c>
      <c r="M569" t="s">
        <v>78</v>
      </c>
      <c r="N569" t="s">
        <v>79</v>
      </c>
      <c r="O569" t="s">
        <v>74</v>
      </c>
      <c r="P569" t="s">
        <v>74</v>
      </c>
      <c r="Q569" t="s">
        <v>74</v>
      </c>
      <c r="R569" t="s">
        <v>74</v>
      </c>
      <c r="S569" t="s">
        <v>74</v>
      </c>
      <c r="T569" t="s">
        <v>74</v>
      </c>
      <c r="U569" t="s">
        <v>11554</v>
      </c>
      <c r="V569" t="s">
        <v>11555</v>
      </c>
      <c r="W569" t="s">
        <v>11556</v>
      </c>
      <c r="X569" t="s">
        <v>11557</v>
      </c>
      <c r="Y569" t="s">
        <v>11558</v>
      </c>
      <c r="Z569" t="s">
        <v>11559</v>
      </c>
      <c r="AA569" t="s">
        <v>11560</v>
      </c>
      <c r="AB569" t="s">
        <v>11561</v>
      </c>
      <c r="AC569" t="s">
        <v>11562</v>
      </c>
      <c r="AD569" t="s">
        <v>11563</v>
      </c>
      <c r="AE569" t="s">
        <v>11564</v>
      </c>
      <c r="AF569" t="s">
        <v>74</v>
      </c>
      <c r="AG569">
        <v>62</v>
      </c>
      <c r="AH569">
        <v>26</v>
      </c>
      <c r="AI569">
        <v>27</v>
      </c>
      <c r="AJ569">
        <v>0</v>
      </c>
      <c r="AK569">
        <v>6</v>
      </c>
      <c r="AL569" t="s">
        <v>91</v>
      </c>
      <c r="AM569" t="s">
        <v>92</v>
      </c>
      <c r="AN569" t="s">
        <v>93</v>
      </c>
      <c r="AO569" t="s">
        <v>94</v>
      </c>
      <c r="AP569" t="s">
        <v>95</v>
      </c>
      <c r="AQ569" t="s">
        <v>74</v>
      </c>
      <c r="AR569" t="s">
        <v>77</v>
      </c>
      <c r="AS569" t="s">
        <v>96</v>
      </c>
      <c r="AT569" t="s">
        <v>11519</v>
      </c>
      <c r="AU569">
        <v>2020</v>
      </c>
      <c r="AV569">
        <v>14</v>
      </c>
      <c r="AW569">
        <v>9</v>
      </c>
      <c r="AX569" t="s">
        <v>74</v>
      </c>
      <c r="AY569" t="s">
        <v>74</v>
      </c>
      <c r="AZ569" t="s">
        <v>74</v>
      </c>
      <c r="BA569" t="s">
        <v>74</v>
      </c>
      <c r="BB569">
        <v>2869</v>
      </c>
      <c r="BC569">
        <v>2882</v>
      </c>
      <c r="BD569" t="s">
        <v>74</v>
      </c>
      <c r="BE569" t="s">
        <v>11565</v>
      </c>
      <c r="BF569" t="str">
        <f>HYPERLINK("http://dx.doi.org/10.5194/tc-14-2869-2020","http://dx.doi.org/10.5194/tc-14-2869-2020")</f>
        <v>http://dx.doi.org/10.5194/tc-14-2869-2020</v>
      </c>
      <c r="BG569" t="s">
        <v>74</v>
      </c>
      <c r="BH569" t="s">
        <v>74</v>
      </c>
      <c r="BI569">
        <v>14</v>
      </c>
      <c r="BJ569" t="s">
        <v>99</v>
      </c>
      <c r="BK569" t="s">
        <v>100</v>
      </c>
      <c r="BL569" t="s">
        <v>101</v>
      </c>
      <c r="BM569" t="s">
        <v>11566</v>
      </c>
      <c r="BN569" t="s">
        <v>74</v>
      </c>
      <c r="BO569" t="s">
        <v>9575</v>
      </c>
      <c r="BP569" t="s">
        <v>74</v>
      </c>
      <c r="BQ569" t="s">
        <v>74</v>
      </c>
      <c r="BR569" t="s">
        <v>104</v>
      </c>
      <c r="BS569" t="s">
        <v>11567</v>
      </c>
      <c r="BT569" t="str">
        <f>HYPERLINK("https%3A%2F%2Fwww.webofscience.com%2Fwos%2Fwoscc%2Ffull-record%2FWOS:000569421000001","View Full Record in Web of Science")</f>
        <v>View Full Record in Web of Science</v>
      </c>
    </row>
    <row r="570" spans="1:72" x14ac:dyDescent="0.15">
      <c r="A570" t="s">
        <v>72</v>
      </c>
      <c r="B570" t="s">
        <v>11568</v>
      </c>
      <c r="C570" t="s">
        <v>74</v>
      </c>
      <c r="D570" t="s">
        <v>74</v>
      </c>
      <c r="E570" t="s">
        <v>74</v>
      </c>
      <c r="F570" t="s">
        <v>11569</v>
      </c>
      <c r="G570" t="s">
        <v>74</v>
      </c>
      <c r="H570" t="s">
        <v>74</v>
      </c>
      <c r="I570" t="s">
        <v>11570</v>
      </c>
      <c r="J570" t="s">
        <v>6330</v>
      </c>
      <c r="K570" t="s">
        <v>74</v>
      </c>
      <c r="L570" t="s">
        <v>74</v>
      </c>
      <c r="M570" t="s">
        <v>78</v>
      </c>
      <c r="N570" t="s">
        <v>79</v>
      </c>
      <c r="O570" t="s">
        <v>74</v>
      </c>
      <c r="P570" t="s">
        <v>74</v>
      </c>
      <c r="Q570" t="s">
        <v>74</v>
      </c>
      <c r="R570" t="s">
        <v>74</v>
      </c>
      <c r="S570" t="s">
        <v>74</v>
      </c>
      <c r="T570" t="s">
        <v>11571</v>
      </c>
      <c r="U570" t="s">
        <v>11572</v>
      </c>
      <c r="V570" t="s">
        <v>11573</v>
      </c>
      <c r="W570" t="s">
        <v>11574</v>
      </c>
      <c r="X570" t="s">
        <v>11575</v>
      </c>
      <c r="Y570" t="s">
        <v>11576</v>
      </c>
      <c r="Z570" t="s">
        <v>11577</v>
      </c>
      <c r="AA570" t="s">
        <v>11578</v>
      </c>
      <c r="AB570" t="s">
        <v>11579</v>
      </c>
      <c r="AC570" t="s">
        <v>11580</v>
      </c>
      <c r="AD570" t="s">
        <v>11580</v>
      </c>
      <c r="AE570" t="s">
        <v>11580</v>
      </c>
      <c r="AF570" t="s">
        <v>74</v>
      </c>
      <c r="AG570">
        <v>56</v>
      </c>
      <c r="AH570">
        <v>5</v>
      </c>
      <c r="AI570">
        <v>5</v>
      </c>
      <c r="AJ570">
        <v>0</v>
      </c>
      <c r="AK570">
        <v>8</v>
      </c>
      <c r="AL570" t="s">
        <v>219</v>
      </c>
      <c r="AM570" t="s">
        <v>220</v>
      </c>
      <c r="AN570" t="s">
        <v>221</v>
      </c>
      <c r="AO570" t="s">
        <v>6342</v>
      </c>
      <c r="AP570" t="s">
        <v>6343</v>
      </c>
      <c r="AQ570" t="s">
        <v>74</v>
      </c>
      <c r="AR570" t="s">
        <v>6344</v>
      </c>
      <c r="AS570" t="s">
        <v>6345</v>
      </c>
      <c r="AT570" t="s">
        <v>252</v>
      </c>
      <c r="AU570">
        <v>2021</v>
      </c>
      <c r="AV570">
        <v>52</v>
      </c>
      <c r="AW570">
        <v>1</v>
      </c>
      <c r="AX570" t="s">
        <v>74</v>
      </c>
      <c r="AY570" t="s">
        <v>74</v>
      </c>
      <c r="AZ570" t="s">
        <v>74</v>
      </c>
      <c r="BA570" t="s">
        <v>74</v>
      </c>
      <c r="BB570">
        <v>117</v>
      </c>
      <c r="BC570">
        <v>129</v>
      </c>
      <c r="BD570" t="s">
        <v>74</v>
      </c>
      <c r="BE570" t="s">
        <v>11581</v>
      </c>
      <c r="BF570" t="str">
        <f>HYPERLINK("http://dx.doi.org/10.1111/are.14874","http://dx.doi.org/10.1111/are.14874")</f>
        <v>http://dx.doi.org/10.1111/are.14874</v>
      </c>
      <c r="BG570" t="s">
        <v>74</v>
      </c>
      <c r="BH570" t="s">
        <v>9526</v>
      </c>
      <c r="BI570">
        <v>13</v>
      </c>
      <c r="BJ570" t="s">
        <v>439</v>
      </c>
      <c r="BK570" t="s">
        <v>100</v>
      </c>
      <c r="BL570" t="s">
        <v>439</v>
      </c>
      <c r="BM570" t="s">
        <v>6347</v>
      </c>
      <c r="BN570" t="s">
        <v>74</v>
      </c>
      <c r="BO570" t="s">
        <v>202</v>
      </c>
      <c r="BP570" t="s">
        <v>74</v>
      </c>
      <c r="BQ570" t="s">
        <v>74</v>
      </c>
      <c r="BR570" t="s">
        <v>104</v>
      </c>
      <c r="BS570" t="s">
        <v>11582</v>
      </c>
      <c r="BT570" t="str">
        <f>HYPERLINK("https%3A%2F%2Fwww.webofscience.com%2Fwos%2Fwoscc%2Ffull-record%2FWOS:000567432800001","View Full Record in Web of Science")</f>
        <v>View Full Record in Web of Science</v>
      </c>
    </row>
    <row r="571" spans="1:72" x14ac:dyDescent="0.15">
      <c r="A571" t="s">
        <v>72</v>
      </c>
      <c r="B571" t="s">
        <v>11583</v>
      </c>
      <c r="C571" t="s">
        <v>74</v>
      </c>
      <c r="D571" t="s">
        <v>74</v>
      </c>
      <c r="E571" t="s">
        <v>74</v>
      </c>
      <c r="F571" t="s">
        <v>11584</v>
      </c>
      <c r="G571" t="s">
        <v>74</v>
      </c>
      <c r="H571" t="s">
        <v>74</v>
      </c>
      <c r="I571" t="s">
        <v>11585</v>
      </c>
      <c r="J571" t="s">
        <v>11586</v>
      </c>
      <c r="K571" t="s">
        <v>74</v>
      </c>
      <c r="L571" t="s">
        <v>74</v>
      </c>
      <c r="M571" t="s">
        <v>78</v>
      </c>
      <c r="N571" t="s">
        <v>11587</v>
      </c>
      <c r="O571" t="s">
        <v>74</v>
      </c>
      <c r="P571" t="s">
        <v>74</v>
      </c>
      <c r="Q571" t="s">
        <v>74</v>
      </c>
      <c r="R571" t="s">
        <v>74</v>
      </c>
      <c r="S571" t="s">
        <v>74</v>
      </c>
      <c r="T571" t="s">
        <v>11588</v>
      </c>
      <c r="U571" t="s">
        <v>11589</v>
      </c>
      <c r="V571" t="s">
        <v>11590</v>
      </c>
      <c r="W571" t="s">
        <v>11591</v>
      </c>
      <c r="X571" t="s">
        <v>11592</v>
      </c>
      <c r="Y571" t="s">
        <v>11593</v>
      </c>
      <c r="Z571" t="s">
        <v>11594</v>
      </c>
      <c r="AA571" t="s">
        <v>11595</v>
      </c>
      <c r="AB571" t="s">
        <v>11596</v>
      </c>
      <c r="AC571" t="s">
        <v>74</v>
      </c>
      <c r="AD571" t="s">
        <v>74</v>
      </c>
      <c r="AE571" t="s">
        <v>74</v>
      </c>
      <c r="AF571" t="s">
        <v>74</v>
      </c>
      <c r="AG571">
        <v>22</v>
      </c>
      <c r="AH571">
        <v>107</v>
      </c>
      <c r="AI571">
        <v>116</v>
      </c>
      <c r="AJ571">
        <v>6</v>
      </c>
      <c r="AK571">
        <v>71</v>
      </c>
      <c r="AL571" t="s">
        <v>219</v>
      </c>
      <c r="AM571" t="s">
        <v>220</v>
      </c>
      <c r="AN571" t="s">
        <v>221</v>
      </c>
      <c r="AO571" t="s">
        <v>11597</v>
      </c>
      <c r="AP571" t="s">
        <v>74</v>
      </c>
      <c r="AQ571" t="s">
        <v>74</v>
      </c>
      <c r="AR571" t="s">
        <v>11598</v>
      </c>
      <c r="AS571" t="s">
        <v>11599</v>
      </c>
      <c r="AT571" t="s">
        <v>252</v>
      </c>
      <c r="AU571">
        <v>2021</v>
      </c>
      <c r="AV571">
        <v>14</v>
      </c>
      <c r="AW571">
        <v>1</v>
      </c>
      <c r="AX571" t="s">
        <v>74</v>
      </c>
      <c r="AY571" t="s">
        <v>74</v>
      </c>
      <c r="AZ571" t="s">
        <v>74</v>
      </c>
      <c r="BA571" t="s">
        <v>74</v>
      </c>
      <c r="BB571" t="s">
        <v>74</v>
      </c>
      <c r="BC571" t="s">
        <v>74</v>
      </c>
      <c r="BD571" t="s">
        <v>11600</v>
      </c>
      <c r="BE571" t="s">
        <v>11601</v>
      </c>
      <c r="BF571" t="str">
        <f>HYPERLINK("http://dx.doi.org/10.1111/conl.12762","http://dx.doi.org/10.1111/conl.12762")</f>
        <v>http://dx.doi.org/10.1111/conl.12762</v>
      </c>
      <c r="BG571" t="s">
        <v>74</v>
      </c>
      <c r="BH571" t="s">
        <v>9526</v>
      </c>
      <c r="BI571">
        <v>11</v>
      </c>
      <c r="BJ571" t="s">
        <v>9758</v>
      </c>
      <c r="BK571" t="s">
        <v>100</v>
      </c>
      <c r="BL571" t="s">
        <v>9759</v>
      </c>
      <c r="BM571" t="s">
        <v>11602</v>
      </c>
      <c r="BN571" t="s">
        <v>74</v>
      </c>
      <c r="BO571" t="s">
        <v>3413</v>
      </c>
      <c r="BP571" t="s">
        <v>74</v>
      </c>
      <c r="BQ571" t="s">
        <v>74</v>
      </c>
      <c r="BR571" t="s">
        <v>104</v>
      </c>
      <c r="BS571" t="s">
        <v>11603</v>
      </c>
      <c r="BT571" t="str">
        <f>HYPERLINK("https%3A%2F%2Fwww.webofscience.com%2Fwos%2Fwoscc%2Ffull-record%2FWOS:000567481100001","View Full Record in Web of Science")</f>
        <v>View Full Record in Web of Science</v>
      </c>
    </row>
    <row r="572" spans="1:72" x14ac:dyDescent="0.15">
      <c r="A572" t="s">
        <v>72</v>
      </c>
      <c r="B572" t="s">
        <v>11604</v>
      </c>
      <c r="C572" t="s">
        <v>74</v>
      </c>
      <c r="D572" t="s">
        <v>74</v>
      </c>
      <c r="E572" t="s">
        <v>74</v>
      </c>
      <c r="F572" t="s">
        <v>11605</v>
      </c>
      <c r="G572" t="s">
        <v>74</v>
      </c>
      <c r="H572" t="s">
        <v>74</v>
      </c>
      <c r="I572" t="s">
        <v>11606</v>
      </c>
      <c r="J572" t="s">
        <v>77</v>
      </c>
      <c r="K572" t="s">
        <v>74</v>
      </c>
      <c r="L572" t="s">
        <v>74</v>
      </c>
      <c r="M572" t="s">
        <v>78</v>
      </c>
      <c r="N572" t="s">
        <v>79</v>
      </c>
      <c r="O572" t="s">
        <v>74</v>
      </c>
      <c r="P572" t="s">
        <v>74</v>
      </c>
      <c r="Q572" t="s">
        <v>74</v>
      </c>
      <c r="R572" t="s">
        <v>74</v>
      </c>
      <c r="S572" t="s">
        <v>74</v>
      </c>
      <c r="T572" t="s">
        <v>74</v>
      </c>
      <c r="U572" t="s">
        <v>11607</v>
      </c>
      <c r="V572" t="s">
        <v>11608</v>
      </c>
      <c r="W572" t="s">
        <v>11609</v>
      </c>
      <c r="X572" t="s">
        <v>11610</v>
      </c>
      <c r="Y572" t="s">
        <v>11611</v>
      </c>
      <c r="Z572" t="s">
        <v>11612</v>
      </c>
      <c r="AA572" t="s">
        <v>11613</v>
      </c>
      <c r="AB572" t="s">
        <v>11614</v>
      </c>
      <c r="AC572" t="s">
        <v>11615</v>
      </c>
      <c r="AD572" t="s">
        <v>11616</v>
      </c>
      <c r="AE572" t="s">
        <v>11617</v>
      </c>
      <c r="AF572" t="s">
        <v>74</v>
      </c>
      <c r="AG572">
        <v>126</v>
      </c>
      <c r="AH572">
        <v>14</v>
      </c>
      <c r="AI572">
        <v>17</v>
      </c>
      <c r="AJ572">
        <v>1</v>
      </c>
      <c r="AK572">
        <v>7</v>
      </c>
      <c r="AL572" t="s">
        <v>91</v>
      </c>
      <c r="AM572" t="s">
        <v>92</v>
      </c>
      <c r="AN572" t="s">
        <v>93</v>
      </c>
      <c r="AO572" t="s">
        <v>94</v>
      </c>
      <c r="AP572" t="s">
        <v>95</v>
      </c>
      <c r="AQ572" t="s">
        <v>74</v>
      </c>
      <c r="AR572" t="s">
        <v>77</v>
      </c>
      <c r="AS572" t="s">
        <v>96</v>
      </c>
      <c r="AT572" t="s">
        <v>11519</v>
      </c>
      <c r="AU572">
        <v>2020</v>
      </c>
      <c r="AV572">
        <v>14</v>
      </c>
      <c r="AW572">
        <v>9</v>
      </c>
      <c r="AX572" t="s">
        <v>74</v>
      </c>
      <c r="AY572" t="s">
        <v>74</v>
      </c>
      <c r="AZ572" t="s">
        <v>74</v>
      </c>
      <c r="BA572" t="s">
        <v>74</v>
      </c>
      <c r="BB572">
        <v>2883</v>
      </c>
      <c r="BC572">
        <v>2908</v>
      </c>
      <c r="BD572" t="s">
        <v>74</v>
      </c>
      <c r="BE572" t="s">
        <v>11618</v>
      </c>
      <c r="BF572" t="str">
        <f>HYPERLINK("http://dx.doi.org/10.5194/tc-14-2883-2020","http://dx.doi.org/10.5194/tc-14-2883-2020")</f>
        <v>http://dx.doi.org/10.5194/tc-14-2883-2020</v>
      </c>
      <c r="BG572" t="s">
        <v>74</v>
      </c>
      <c r="BH572" t="s">
        <v>74</v>
      </c>
      <c r="BI572">
        <v>26</v>
      </c>
      <c r="BJ572" t="s">
        <v>99</v>
      </c>
      <c r="BK572" t="s">
        <v>100</v>
      </c>
      <c r="BL572" t="s">
        <v>101</v>
      </c>
      <c r="BM572" t="s">
        <v>11566</v>
      </c>
      <c r="BN572" t="s">
        <v>74</v>
      </c>
      <c r="BO572" t="s">
        <v>10703</v>
      </c>
      <c r="BP572" t="s">
        <v>74</v>
      </c>
      <c r="BQ572" t="s">
        <v>74</v>
      </c>
      <c r="BR572" t="s">
        <v>104</v>
      </c>
      <c r="BS572" t="s">
        <v>11619</v>
      </c>
      <c r="BT572" t="str">
        <f>HYPERLINK("https%3A%2F%2Fwww.webofscience.com%2Fwos%2Fwoscc%2Ffull-record%2FWOS:000569421000002","View Full Record in Web of Science")</f>
        <v>View Full Record in Web of Science</v>
      </c>
    </row>
    <row r="573" spans="1:72" x14ac:dyDescent="0.15">
      <c r="A573" t="s">
        <v>72</v>
      </c>
      <c r="B573" t="s">
        <v>11620</v>
      </c>
      <c r="C573" t="s">
        <v>74</v>
      </c>
      <c r="D573" t="s">
        <v>74</v>
      </c>
      <c r="E573" t="s">
        <v>74</v>
      </c>
      <c r="F573" t="s">
        <v>11621</v>
      </c>
      <c r="G573" t="s">
        <v>74</v>
      </c>
      <c r="H573" t="s">
        <v>74</v>
      </c>
      <c r="I573" t="s">
        <v>11622</v>
      </c>
      <c r="J573" t="s">
        <v>11623</v>
      </c>
      <c r="K573" t="s">
        <v>74</v>
      </c>
      <c r="L573" t="s">
        <v>74</v>
      </c>
      <c r="M573" t="s">
        <v>78</v>
      </c>
      <c r="N573" t="s">
        <v>79</v>
      </c>
      <c r="O573" t="s">
        <v>74</v>
      </c>
      <c r="P573" t="s">
        <v>74</v>
      </c>
      <c r="Q573" t="s">
        <v>74</v>
      </c>
      <c r="R573" t="s">
        <v>74</v>
      </c>
      <c r="S573" t="s">
        <v>74</v>
      </c>
      <c r="T573" t="s">
        <v>11624</v>
      </c>
      <c r="U573" t="s">
        <v>11625</v>
      </c>
      <c r="V573" t="s">
        <v>11626</v>
      </c>
      <c r="W573" t="s">
        <v>11627</v>
      </c>
      <c r="X573" t="s">
        <v>11628</v>
      </c>
      <c r="Y573" t="s">
        <v>11629</v>
      </c>
      <c r="Z573" t="s">
        <v>11630</v>
      </c>
      <c r="AA573" t="s">
        <v>74</v>
      </c>
      <c r="AB573" t="s">
        <v>11631</v>
      </c>
      <c r="AC573" t="s">
        <v>74</v>
      </c>
      <c r="AD573" t="s">
        <v>74</v>
      </c>
      <c r="AE573" t="s">
        <v>74</v>
      </c>
      <c r="AF573" t="s">
        <v>74</v>
      </c>
      <c r="AG573">
        <v>33</v>
      </c>
      <c r="AH573">
        <v>5</v>
      </c>
      <c r="AI573">
        <v>5</v>
      </c>
      <c r="AJ573">
        <v>3</v>
      </c>
      <c r="AK573">
        <v>16</v>
      </c>
      <c r="AL573" t="s">
        <v>482</v>
      </c>
      <c r="AM573" t="s">
        <v>554</v>
      </c>
      <c r="AN573" t="s">
        <v>555</v>
      </c>
      <c r="AO573" t="s">
        <v>11632</v>
      </c>
      <c r="AP573" t="s">
        <v>11633</v>
      </c>
      <c r="AQ573" t="s">
        <v>74</v>
      </c>
      <c r="AR573" t="s">
        <v>11634</v>
      </c>
      <c r="AS573" t="s">
        <v>11635</v>
      </c>
      <c r="AT573" t="s">
        <v>2623</v>
      </c>
      <c r="AU573">
        <v>2021</v>
      </c>
      <c r="AV573">
        <v>77</v>
      </c>
      <c r="AW573">
        <v>1</v>
      </c>
      <c r="AX573" t="s">
        <v>74</v>
      </c>
      <c r="AY573" t="s">
        <v>74</v>
      </c>
      <c r="AZ573" t="s">
        <v>74</v>
      </c>
      <c r="BA573" t="s">
        <v>74</v>
      </c>
      <c r="BB573">
        <v>137</v>
      </c>
      <c r="BC573">
        <v>144</v>
      </c>
      <c r="BD573" t="s">
        <v>74</v>
      </c>
      <c r="BE573" t="s">
        <v>11636</v>
      </c>
      <c r="BF573" t="str">
        <f>HYPERLINK("http://dx.doi.org/10.1007/s10872-020-00565-3","http://dx.doi.org/10.1007/s10872-020-00565-3")</f>
        <v>http://dx.doi.org/10.1007/s10872-020-00565-3</v>
      </c>
      <c r="BG573" t="s">
        <v>74</v>
      </c>
      <c r="BH573" t="s">
        <v>9526</v>
      </c>
      <c r="BI573">
        <v>8</v>
      </c>
      <c r="BJ573" t="s">
        <v>1283</v>
      </c>
      <c r="BK573" t="s">
        <v>100</v>
      </c>
      <c r="BL573" t="s">
        <v>1283</v>
      </c>
      <c r="BM573" t="s">
        <v>11637</v>
      </c>
      <c r="BN573" t="s">
        <v>74</v>
      </c>
      <c r="BO573" t="s">
        <v>1794</v>
      </c>
      <c r="BP573" t="s">
        <v>74</v>
      </c>
      <c r="BQ573" t="s">
        <v>74</v>
      </c>
      <c r="BR573" t="s">
        <v>104</v>
      </c>
      <c r="BS573" t="s">
        <v>11638</v>
      </c>
      <c r="BT573" t="str">
        <f>HYPERLINK("https%3A%2F%2Fwww.webofscience.com%2Fwos%2Fwoscc%2Ffull-record%2FWOS:000567763300001","View Full Record in Web of Science")</f>
        <v>View Full Record in Web of Science</v>
      </c>
    </row>
    <row r="574" spans="1:72" x14ac:dyDescent="0.15">
      <c r="A574" t="s">
        <v>72</v>
      </c>
      <c r="B574" t="s">
        <v>11639</v>
      </c>
      <c r="C574" t="s">
        <v>74</v>
      </c>
      <c r="D574" t="s">
        <v>74</v>
      </c>
      <c r="E574" t="s">
        <v>74</v>
      </c>
      <c r="F574" t="s">
        <v>11640</v>
      </c>
      <c r="G574" t="s">
        <v>74</v>
      </c>
      <c r="H574" t="s">
        <v>74</v>
      </c>
      <c r="I574" t="s">
        <v>11641</v>
      </c>
      <c r="J574" t="s">
        <v>11642</v>
      </c>
      <c r="K574" t="s">
        <v>74</v>
      </c>
      <c r="L574" t="s">
        <v>74</v>
      </c>
      <c r="M574" t="s">
        <v>78</v>
      </c>
      <c r="N574" t="s">
        <v>79</v>
      </c>
      <c r="O574" t="s">
        <v>74</v>
      </c>
      <c r="P574" t="s">
        <v>74</v>
      </c>
      <c r="Q574" t="s">
        <v>74</v>
      </c>
      <c r="R574" t="s">
        <v>74</v>
      </c>
      <c r="S574" t="s">
        <v>74</v>
      </c>
      <c r="T574" t="s">
        <v>11643</v>
      </c>
      <c r="U574" t="s">
        <v>11644</v>
      </c>
      <c r="V574" t="s">
        <v>11645</v>
      </c>
      <c r="W574" t="s">
        <v>11646</v>
      </c>
      <c r="X574" t="s">
        <v>11647</v>
      </c>
      <c r="Y574" t="s">
        <v>11648</v>
      </c>
      <c r="Z574" t="s">
        <v>11649</v>
      </c>
      <c r="AA574" t="s">
        <v>11650</v>
      </c>
      <c r="AB574" t="s">
        <v>11651</v>
      </c>
      <c r="AC574" t="s">
        <v>11652</v>
      </c>
      <c r="AD574" t="s">
        <v>11653</v>
      </c>
      <c r="AE574" t="s">
        <v>11654</v>
      </c>
      <c r="AF574" t="s">
        <v>74</v>
      </c>
      <c r="AG574">
        <v>69</v>
      </c>
      <c r="AH574">
        <v>11</v>
      </c>
      <c r="AI574">
        <v>11</v>
      </c>
      <c r="AJ574">
        <v>1</v>
      </c>
      <c r="AK574">
        <v>7</v>
      </c>
      <c r="AL574" t="s">
        <v>1047</v>
      </c>
      <c r="AM574" t="s">
        <v>1048</v>
      </c>
      <c r="AN574" t="s">
        <v>1049</v>
      </c>
      <c r="AO574" t="s">
        <v>11655</v>
      </c>
      <c r="AP574" t="s">
        <v>11656</v>
      </c>
      <c r="AQ574" t="s">
        <v>74</v>
      </c>
      <c r="AR574" t="s">
        <v>11657</v>
      </c>
      <c r="AS574" t="s">
        <v>11658</v>
      </c>
      <c r="AT574" t="s">
        <v>11659</v>
      </c>
      <c r="AU574">
        <v>2021</v>
      </c>
      <c r="AV574">
        <v>51</v>
      </c>
      <c r="AW574">
        <v>3</v>
      </c>
      <c r="AX574" t="s">
        <v>74</v>
      </c>
      <c r="AY574" t="s">
        <v>74</v>
      </c>
      <c r="AZ574" t="s">
        <v>74</v>
      </c>
      <c r="BA574" t="s">
        <v>74</v>
      </c>
      <c r="BB574">
        <v>277</v>
      </c>
      <c r="BC574">
        <v>288</v>
      </c>
      <c r="BD574" t="s">
        <v>74</v>
      </c>
      <c r="BE574" t="s">
        <v>11660</v>
      </c>
      <c r="BF574" t="str">
        <f>HYPERLINK("http://dx.doi.org/10.1080/10826068.2020.1815053","http://dx.doi.org/10.1080/10826068.2020.1815053")</f>
        <v>http://dx.doi.org/10.1080/10826068.2020.1815053</v>
      </c>
      <c r="BG574" t="s">
        <v>74</v>
      </c>
      <c r="BH574" t="s">
        <v>9526</v>
      </c>
      <c r="BI574">
        <v>12</v>
      </c>
      <c r="BJ574" t="s">
        <v>11661</v>
      </c>
      <c r="BK574" t="s">
        <v>100</v>
      </c>
      <c r="BL574" t="s">
        <v>11662</v>
      </c>
      <c r="BM574" t="s">
        <v>11663</v>
      </c>
      <c r="BN574">
        <v>32921254</v>
      </c>
      <c r="BO574" t="s">
        <v>74</v>
      </c>
      <c r="BP574" t="s">
        <v>74</v>
      </c>
      <c r="BQ574" t="s">
        <v>74</v>
      </c>
      <c r="BR574" t="s">
        <v>104</v>
      </c>
      <c r="BS574" t="s">
        <v>11664</v>
      </c>
      <c r="BT574" t="str">
        <f>HYPERLINK("https%3A%2F%2Fwww.webofscience.com%2Fwos%2Fwoscc%2Ffull-record%2FWOS:000568951800001","View Full Record in Web of Science")</f>
        <v>View Full Record in Web of Science</v>
      </c>
    </row>
    <row r="575" spans="1:72" x14ac:dyDescent="0.15">
      <c r="A575" t="s">
        <v>72</v>
      </c>
      <c r="B575" t="s">
        <v>11665</v>
      </c>
      <c r="C575" t="s">
        <v>74</v>
      </c>
      <c r="D575" t="s">
        <v>74</v>
      </c>
      <c r="E575" t="s">
        <v>74</v>
      </c>
      <c r="F575" t="s">
        <v>11666</v>
      </c>
      <c r="G575" t="s">
        <v>74</v>
      </c>
      <c r="H575" t="s">
        <v>74</v>
      </c>
      <c r="I575" t="s">
        <v>11667</v>
      </c>
      <c r="J575" t="s">
        <v>309</v>
      </c>
      <c r="K575" t="s">
        <v>74</v>
      </c>
      <c r="L575" t="s">
        <v>74</v>
      </c>
      <c r="M575" t="s">
        <v>78</v>
      </c>
      <c r="N575" t="s">
        <v>79</v>
      </c>
      <c r="O575" t="s">
        <v>74</v>
      </c>
      <c r="P575" t="s">
        <v>74</v>
      </c>
      <c r="Q575" t="s">
        <v>74</v>
      </c>
      <c r="R575" t="s">
        <v>74</v>
      </c>
      <c r="S575" t="s">
        <v>74</v>
      </c>
      <c r="T575" t="s">
        <v>74</v>
      </c>
      <c r="U575" t="s">
        <v>11668</v>
      </c>
      <c r="V575" t="s">
        <v>11669</v>
      </c>
      <c r="W575" t="s">
        <v>11670</v>
      </c>
      <c r="X575" t="s">
        <v>11671</v>
      </c>
      <c r="Y575" t="s">
        <v>11672</v>
      </c>
      <c r="Z575" t="s">
        <v>11673</v>
      </c>
      <c r="AA575" t="s">
        <v>74</v>
      </c>
      <c r="AB575" t="s">
        <v>74</v>
      </c>
      <c r="AC575" t="s">
        <v>11674</v>
      </c>
      <c r="AD575" t="s">
        <v>11675</v>
      </c>
      <c r="AE575" t="s">
        <v>11676</v>
      </c>
      <c r="AF575" t="s">
        <v>74</v>
      </c>
      <c r="AG575">
        <v>68</v>
      </c>
      <c r="AH575">
        <v>17</v>
      </c>
      <c r="AI575">
        <v>17</v>
      </c>
      <c r="AJ575">
        <v>0</v>
      </c>
      <c r="AK575">
        <v>6</v>
      </c>
      <c r="AL575" t="s">
        <v>321</v>
      </c>
      <c r="AM575" t="s">
        <v>322</v>
      </c>
      <c r="AN575" t="s">
        <v>323</v>
      </c>
      <c r="AO575" t="s">
        <v>324</v>
      </c>
      <c r="AP575" t="s">
        <v>74</v>
      </c>
      <c r="AQ575" t="s">
        <v>74</v>
      </c>
      <c r="AR575" t="s">
        <v>325</v>
      </c>
      <c r="AS575" t="s">
        <v>326</v>
      </c>
      <c r="AT575" t="s">
        <v>11519</v>
      </c>
      <c r="AU575">
        <v>2020</v>
      </c>
      <c r="AV575">
        <v>10</v>
      </c>
      <c r="AW575">
        <v>1</v>
      </c>
      <c r="AX575" t="s">
        <v>74</v>
      </c>
      <c r="AY575" t="s">
        <v>74</v>
      </c>
      <c r="AZ575" t="s">
        <v>74</v>
      </c>
      <c r="BA575" t="s">
        <v>74</v>
      </c>
      <c r="BB575" t="s">
        <v>74</v>
      </c>
      <c r="BC575" t="s">
        <v>74</v>
      </c>
      <c r="BD575">
        <v>14705</v>
      </c>
      <c r="BE575" t="s">
        <v>11677</v>
      </c>
      <c r="BF575" t="str">
        <f>HYPERLINK("http://dx.doi.org/10.1038/s41598-020-71679-3","http://dx.doi.org/10.1038/s41598-020-71679-3")</f>
        <v>http://dx.doi.org/10.1038/s41598-020-71679-3</v>
      </c>
      <c r="BG575" t="s">
        <v>74</v>
      </c>
      <c r="BH575" t="s">
        <v>74</v>
      </c>
      <c r="BI575">
        <v>13</v>
      </c>
      <c r="BJ575" t="s">
        <v>329</v>
      </c>
      <c r="BK575" t="s">
        <v>100</v>
      </c>
      <c r="BL575" t="s">
        <v>330</v>
      </c>
      <c r="BM575" t="s">
        <v>11678</v>
      </c>
      <c r="BN575">
        <v>32908198</v>
      </c>
      <c r="BO575" t="s">
        <v>5622</v>
      </c>
      <c r="BP575" t="s">
        <v>74</v>
      </c>
      <c r="BQ575" t="s">
        <v>74</v>
      </c>
      <c r="BR575" t="s">
        <v>104</v>
      </c>
      <c r="BS575" t="s">
        <v>11679</v>
      </c>
      <c r="BT575" t="str">
        <f>HYPERLINK("https%3A%2F%2Fwww.webofscience.com%2Fwos%2Fwoscc%2Ffull-record%2FWOS:000571832300001","View Full Record in Web of Science")</f>
        <v>View Full Record in Web of Science</v>
      </c>
    </row>
    <row r="576" spans="1:72" x14ac:dyDescent="0.15">
      <c r="A576" t="s">
        <v>72</v>
      </c>
      <c r="B576" t="s">
        <v>11680</v>
      </c>
      <c r="C576" t="s">
        <v>74</v>
      </c>
      <c r="D576" t="s">
        <v>74</v>
      </c>
      <c r="E576" t="s">
        <v>74</v>
      </c>
      <c r="F576" t="s">
        <v>11681</v>
      </c>
      <c r="G576" t="s">
        <v>74</v>
      </c>
      <c r="H576" t="s">
        <v>74</v>
      </c>
      <c r="I576" t="s">
        <v>11682</v>
      </c>
      <c r="J576" t="s">
        <v>4007</v>
      </c>
      <c r="K576" t="s">
        <v>74</v>
      </c>
      <c r="L576" t="s">
        <v>74</v>
      </c>
      <c r="M576" t="s">
        <v>78</v>
      </c>
      <c r="N576" t="s">
        <v>79</v>
      </c>
      <c r="O576" t="s">
        <v>74</v>
      </c>
      <c r="P576" t="s">
        <v>74</v>
      </c>
      <c r="Q576" t="s">
        <v>74</v>
      </c>
      <c r="R576" t="s">
        <v>74</v>
      </c>
      <c r="S576" t="s">
        <v>74</v>
      </c>
      <c r="T576" t="s">
        <v>11683</v>
      </c>
      <c r="U576" t="s">
        <v>11684</v>
      </c>
      <c r="V576" t="s">
        <v>11685</v>
      </c>
      <c r="W576" t="s">
        <v>11686</v>
      </c>
      <c r="X576" t="s">
        <v>11687</v>
      </c>
      <c r="Y576" t="s">
        <v>11688</v>
      </c>
      <c r="Z576" t="s">
        <v>11689</v>
      </c>
      <c r="AA576" t="s">
        <v>11690</v>
      </c>
      <c r="AB576" t="s">
        <v>11691</v>
      </c>
      <c r="AC576" t="s">
        <v>11692</v>
      </c>
      <c r="AD576" t="s">
        <v>11693</v>
      </c>
      <c r="AE576" t="s">
        <v>11694</v>
      </c>
      <c r="AF576" t="s">
        <v>74</v>
      </c>
      <c r="AG576">
        <v>77</v>
      </c>
      <c r="AH576">
        <v>20</v>
      </c>
      <c r="AI576">
        <v>20</v>
      </c>
      <c r="AJ576">
        <v>0</v>
      </c>
      <c r="AK576">
        <v>9</v>
      </c>
      <c r="AL576" t="s">
        <v>4018</v>
      </c>
      <c r="AM576" t="s">
        <v>609</v>
      </c>
      <c r="AN576" t="s">
        <v>4019</v>
      </c>
      <c r="AO576" t="s">
        <v>4020</v>
      </c>
      <c r="AP576" t="s">
        <v>74</v>
      </c>
      <c r="AQ576" t="s">
        <v>74</v>
      </c>
      <c r="AR576" t="s">
        <v>4021</v>
      </c>
      <c r="AS576" t="s">
        <v>4022</v>
      </c>
      <c r="AT576" t="s">
        <v>11695</v>
      </c>
      <c r="AU576">
        <v>2020</v>
      </c>
      <c r="AV576">
        <v>117</v>
      </c>
      <c r="AW576">
        <v>36</v>
      </c>
      <c r="AX576" t="s">
        <v>74</v>
      </c>
      <c r="AY576" t="s">
        <v>74</v>
      </c>
      <c r="AZ576" t="s">
        <v>74</v>
      </c>
      <c r="BA576" t="s">
        <v>74</v>
      </c>
      <c r="BB576">
        <v>21873</v>
      </c>
      <c r="BC576">
        <v>21879</v>
      </c>
      <c r="BD576" t="s">
        <v>74</v>
      </c>
      <c r="BE576" t="s">
        <v>11696</v>
      </c>
      <c r="BF576" t="str">
        <f>HYPERLINK("http://dx.doi.org/10.1073/pnas.1916769117","http://dx.doi.org/10.1073/pnas.1916769117")</f>
        <v>http://dx.doi.org/10.1073/pnas.1916769117</v>
      </c>
      <c r="BG576" t="s">
        <v>74</v>
      </c>
      <c r="BH576" t="s">
        <v>74</v>
      </c>
      <c r="BI576">
        <v>7</v>
      </c>
      <c r="BJ576" t="s">
        <v>329</v>
      </c>
      <c r="BK576" t="s">
        <v>100</v>
      </c>
      <c r="BL576" t="s">
        <v>330</v>
      </c>
      <c r="BM576" t="s">
        <v>11697</v>
      </c>
      <c r="BN576">
        <v>32839339</v>
      </c>
      <c r="BO576" t="s">
        <v>11698</v>
      </c>
      <c r="BP576" t="s">
        <v>74</v>
      </c>
      <c r="BQ576" t="s">
        <v>74</v>
      </c>
      <c r="BR576" t="s">
        <v>104</v>
      </c>
      <c r="BS576" t="s">
        <v>11699</v>
      </c>
      <c r="BT576" t="str">
        <f>HYPERLINK("https%3A%2F%2Fwww.webofscience.com%2Fwos%2Fwoscc%2Ffull-record%2FWOS:000572967300012","View Full Record in Web of Science")</f>
        <v>View Full Record in Web of Science</v>
      </c>
    </row>
    <row r="577" spans="1:72" x14ac:dyDescent="0.15">
      <c r="A577" t="s">
        <v>72</v>
      </c>
      <c r="B577" t="s">
        <v>11700</v>
      </c>
      <c r="C577" t="s">
        <v>74</v>
      </c>
      <c r="D577" t="s">
        <v>74</v>
      </c>
      <c r="E577" t="s">
        <v>74</v>
      </c>
      <c r="F577" t="s">
        <v>11701</v>
      </c>
      <c r="G577" t="s">
        <v>74</v>
      </c>
      <c r="H577" t="s">
        <v>74</v>
      </c>
      <c r="I577" t="s">
        <v>11702</v>
      </c>
      <c r="J577" t="s">
        <v>5798</v>
      </c>
      <c r="K577" t="s">
        <v>74</v>
      </c>
      <c r="L577" t="s">
        <v>74</v>
      </c>
      <c r="M577" t="s">
        <v>78</v>
      </c>
      <c r="N577" t="s">
        <v>79</v>
      </c>
      <c r="O577" t="s">
        <v>74</v>
      </c>
      <c r="P577" t="s">
        <v>74</v>
      </c>
      <c r="Q577" t="s">
        <v>74</v>
      </c>
      <c r="R577" t="s">
        <v>74</v>
      </c>
      <c r="S577" t="s">
        <v>74</v>
      </c>
      <c r="T577" t="s">
        <v>74</v>
      </c>
      <c r="U577" t="s">
        <v>11703</v>
      </c>
      <c r="V577" t="s">
        <v>11704</v>
      </c>
      <c r="W577" t="s">
        <v>11705</v>
      </c>
      <c r="X577" t="s">
        <v>11706</v>
      </c>
      <c r="Y577" t="s">
        <v>11707</v>
      </c>
      <c r="Z577" t="s">
        <v>11708</v>
      </c>
      <c r="AA577" t="s">
        <v>1594</v>
      </c>
      <c r="AB577" t="s">
        <v>1595</v>
      </c>
      <c r="AC577" t="s">
        <v>11709</v>
      </c>
      <c r="AD577" t="s">
        <v>1597</v>
      </c>
      <c r="AE577" t="s">
        <v>11710</v>
      </c>
      <c r="AF577" t="s">
        <v>74</v>
      </c>
      <c r="AG577">
        <v>77</v>
      </c>
      <c r="AH577">
        <v>3</v>
      </c>
      <c r="AI577">
        <v>3</v>
      </c>
      <c r="AJ577">
        <v>0</v>
      </c>
      <c r="AK577">
        <v>7</v>
      </c>
      <c r="AL577" t="s">
        <v>5807</v>
      </c>
      <c r="AM577" t="s">
        <v>4984</v>
      </c>
      <c r="AN577" t="s">
        <v>5808</v>
      </c>
      <c r="AO577" t="s">
        <v>5809</v>
      </c>
      <c r="AP577" t="s">
        <v>74</v>
      </c>
      <c r="AQ577" t="s">
        <v>74</v>
      </c>
      <c r="AR577" t="s">
        <v>5798</v>
      </c>
      <c r="AS577" t="s">
        <v>5810</v>
      </c>
      <c r="AT577" t="s">
        <v>11695</v>
      </c>
      <c r="AU577">
        <v>2020</v>
      </c>
      <c r="AV577">
        <v>15</v>
      </c>
      <c r="AW577">
        <v>9</v>
      </c>
      <c r="AX577" t="s">
        <v>74</v>
      </c>
      <c r="AY577" t="s">
        <v>74</v>
      </c>
      <c r="AZ577" t="s">
        <v>74</v>
      </c>
      <c r="BA577" t="s">
        <v>74</v>
      </c>
      <c r="BB577" t="s">
        <v>74</v>
      </c>
      <c r="BC577" t="s">
        <v>74</v>
      </c>
      <c r="BD577" t="s">
        <v>11711</v>
      </c>
      <c r="BE577" t="s">
        <v>11712</v>
      </c>
      <c r="BF577" t="str">
        <f>HYPERLINK("http://dx.doi.org/10.1371/journal.pone.0231954","http://dx.doi.org/10.1371/journal.pone.0231954")</f>
        <v>http://dx.doi.org/10.1371/journal.pone.0231954</v>
      </c>
      <c r="BG577" t="s">
        <v>74</v>
      </c>
      <c r="BH577" t="s">
        <v>74</v>
      </c>
      <c r="BI577">
        <v>22</v>
      </c>
      <c r="BJ577" t="s">
        <v>329</v>
      </c>
      <c r="BK577" t="s">
        <v>100</v>
      </c>
      <c r="BL577" t="s">
        <v>330</v>
      </c>
      <c r="BM577" t="s">
        <v>11713</v>
      </c>
      <c r="BN577">
        <v>32898163</v>
      </c>
      <c r="BO577" t="s">
        <v>332</v>
      </c>
      <c r="BP577" t="s">
        <v>74</v>
      </c>
      <c r="BQ577" t="s">
        <v>74</v>
      </c>
      <c r="BR577" t="s">
        <v>104</v>
      </c>
      <c r="BS577" t="s">
        <v>11714</v>
      </c>
      <c r="BT577" t="str">
        <f>HYPERLINK("https%3A%2F%2Fwww.webofscience.com%2Fwos%2Fwoscc%2Ffull-record%2FWOS:000570962500030","View Full Record in Web of Science")</f>
        <v>View Full Record in Web of Science</v>
      </c>
    </row>
    <row r="578" spans="1:72" x14ac:dyDescent="0.15">
      <c r="A578" t="s">
        <v>72</v>
      </c>
      <c r="B578" t="s">
        <v>11715</v>
      </c>
      <c r="C578" t="s">
        <v>74</v>
      </c>
      <c r="D578" t="s">
        <v>74</v>
      </c>
      <c r="E578" t="s">
        <v>74</v>
      </c>
      <c r="F578" t="s">
        <v>11716</v>
      </c>
      <c r="G578" t="s">
        <v>74</v>
      </c>
      <c r="H578" t="s">
        <v>74</v>
      </c>
      <c r="I578" t="s">
        <v>11717</v>
      </c>
      <c r="J578" t="s">
        <v>1063</v>
      </c>
      <c r="K578" t="s">
        <v>74</v>
      </c>
      <c r="L578" t="s">
        <v>74</v>
      </c>
      <c r="M578" t="s">
        <v>78</v>
      </c>
      <c r="N578" t="s">
        <v>79</v>
      </c>
      <c r="O578" t="s">
        <v>74</v>
      </c>
      <c r="P578" t="s">
        <v>74</v>
      </c>
      <c r="Q578" t="s">
        <v>74</v>
      </c>
      <c r="R578" t="s">
        <v>74</v>
      </c>
      <c r="S578" t="s">
        <v>74</v>
      </c>
      <c r="T578" t="s">
        <v>11718</v>
      </c>
      <c r="U578" t="s">
        <v>11719</v>
      </c>
      <c r="V578" t="s">
        <v>11720</v>
      </c>
      <c r="W578" t="s">
        <v>11721</v>
      </c>
      <c r="X578" t="s">
        <v>11722</v>
      </c>
      <c r="Y578" t="s">
        <v>11723</v>
      </c>
      <c r="Z578" t="s">
        <v>11724</v>
      </c>
      <c r="AA578" t="s">
        <v>11725</v>
      </c>
      <c r="AB578" t="s">
        <v>11726</v>
      </c>
      <c r="AC578" t="s">
        <v>11727</v>
      </c>
      <c r="AD578" t="s">
        <v>11728</v>
      </c>
      <c r="AE578" t="s">
        <v>11729</v>
      </c>
      <c r="AF578" t="s">
        <v>74</v>
      </c>
      <c r="AG578">
        <v>27</v>
      </c>
      <c r="AH578">
        <v>5</v>
      </c>
      <c r="AI578">
        <v>5</v>
      </c>
      <c r="AJ578">
        <v>1</v>
      </c>
      <c r="AK578">
        <v>11</v>
      </c>
      <c r="AL578" t="s">
        <v>482</v>
      </c>
      <c r="AM578" t="s">
        <v>483</v>
      </c>
      <c r="AN578" t="s">
        <v>484</v>
      </c>
      <c r="AO578" t="s">
        <v>1075</v>
      </c>
      <c r="AP578" t="s">
        <v>1076</v>
      </c>
      <c r="AQ578" t="s">
        <v>74</v>
      </c>
      <c r="AR578" t="s">
        <v>1077</v>
      </c>
      <c r="AS578" t="s">
        <v>1078</v>
      </c>
      <c r="AT578" t="s">
        <v>1212</v>
      </c>
      <c r="AU578">
        <v>2020</v>
      </c>
      <c r="AV578">
        <v>43</v>
      </c>
      <c r="AW578">
        <v>11</v>
      </c>
      <c r="AX578" t="s">
        <v>74</v>
      </c>
      <c r="AY578" t="s">
        <v>74</v>
      </c>
      <c r="AZ578" t="s">
        <v>74</v>
      </c>
      <c r="BA578" t="s">
        <v>74</v>
      </c>
      <c r="BB578">
        <v>1745</v>
      </c>
      <c r="BC578">
        <v>1752</v>
      </c>
      <c r="BD578" t="s">
        <v>74</v>
      </c>
      <c r="BE578" t="s">
        <v>11730</v>
      </c>
      <c r="BF578" t="str">
        <f>HYPERLINK("http://dx.doi.org/10.1007/s00300-020-02740-0","http://dx.doi.org/10.1007/s00300-020-02740-0")</f>
        <v>http://dx.doi.org/10.1007/s00300-020-02740-0</v>
      </c>
      <c r="BG578" t="s">
        <v>74</v>
      </c>
      <c r="BH578" t="s">
        <v>9526</v>
      </c>
      <c r="BI578">
        <v>8</v>
      </c>
      <c r="BJ578" t="s">
        <v>1080</v>
      </c>
      <c r="BK578" t="s">
        <v>100</v>
      </c>
      <c r="BL578" t="s">
        <v>256</v>
      </c>
      <c r="BM578" t="s">
        <v>9540</v>
      </c>
      <c r="BN578" t="s">
        <v>74</v>
      </c>
      <c r="BO578" t="s">
        <v>74</v>
      </c>
      <c r="BP578" t="s">
        <v>74</v>
      </c>
      <c r="BQ578" t="s">
        <v>74</v>
      </c>
      <c r="BR578" t="s">
        <v>104</v>
      </c>
      <c r="BS578" t="s">
        <v>11731</v>
      </c>
      <c r="BT578" t="str">
        <f>HYPERLINK("https%3A%2F%2Fwww.webofscience.com%2Fwos%2Fwoscc%2Ffull-record%2FWOS:000567636200001","View Full Record in Web of Science")</f>
        <v>View Full Record in Web of Science</v>
      </c>
    </row>
    <row r="579" spans="1:72" x14ac:dyDescent="0.15">
      <c r="A579" t="s">
        <v>72</v>
      </c>
      <c r="B579" t="s">
        <v>11732</v>
      </c>
      <c r="C579" t="s">
        <v>74</v>
      </c>
      <c r="D579" t="s">
        <v>74</v>
      </c>
      <c r="E579" t="s">
        <v>74</v>
      </c>
      <c r="F579" t="s">
        <v>11733</v>
      </c>
      <c r="G579" t="s">
        <v>74</v>
      </c>
      <c r="H579" t="s">
        <v>74</v>
      </c>
      <c r="I579" t="s">
        <v>11734</v>
      </c>
      <c r="J579" t="s">
        <v>11735</v>
      </c>
      <c r="K579" t="s">
        <v>74</v>
      </c>
      <c r="L579" t="s">
        <v>74</v>
      </c>
      <c r="M579" t="s">
        <v>78</v>
      </c>
      <c r="N579" t="s">
        <v>79</v>
      </c>
      <c r="O579" t="s">
        <v>74</v>
      </c>
      <c r="P579" t="s">
        <v>74</v>
      </c>
      <c r="Q579" t="s">
        <v>74</v>
      </c>
      <c r="R579" t="s">
        <v>74</v>
      </c>
      <c r="S579" t="s">
        <v>74</v>
      </c>
      <c r="T579" t="s">
        <v>11736</v>
      </c>
      <c r="U579" t="s">
        <v>11737</v>
      </c>
      <c r="V579" t="s">
        <v>11738</v>
      </c>
      <c r="W579" t="s">
        <v>11739</v>
      </c>
      <c r="X579" t="s">
        <v>11740</v>
      </c>
      <c r="Y579" t="s">
        <v>11741</v>
      </c>
      <c r="Z579" t="s">
        <v>11742</v>
      </c>
      <c r="AA579" t="s">
        <v>74</v>
      </c>
      <c r="AB579" t="s">
        <v>74</v>
      </c>
      <c r="AC579" t="s">
        <v>11743</v>
      </c>
      <c r="AD579" t="s">
        <v>11744</v>
      </c>
      <c r="AE579" t="s">
        <v>11745</v>
      </c>
      <c r="AF579" t="s">
        <v>74</v>
      </c>
      <c r="AG579">
        <v>29</v>
      </c>
      <c r="AH579">
        <v>0</v>
      </c>
      <c r="AI579">
        <v>0</v>
      </c>
      <c r="AJ579">
        <v>1</v>
      </c>
      <c r="AK579">
        <v>4</v>
      </c>
      <c r="AL579" t="s">
        <v>11746</v>
      </c>
      <c r="AM579" t="s">
        <v>2086</v>
      </c>
      <c r="AN579" t="s">
        <v>11747</v>
      </c>
      <c r="AO579" t="s">
        <v>11748</v>
      </c>
      <c r="AP579" t="s">
        <v>11749</v>
      </c>
      <c r="AQ579" t="s">
        <v>74</v>
      </c>
      <c r="AR579" t="s">
        <v>11750</v>
      </c>
      <c r="AS579" t="s">
        <v>11751</v>
      </c>
      <c r="AT579" t="s">
        <v>6558</v>
      </c>
      <c r="AU579">
        <v>2020</v>
      </c>
      <c r="AV579">
        <v>177</v>
      </c>
      <c r="AW579">
        <v>10</v>
      </c>
      <c r="AX579" t="s">
        <v>74</v>
      </c>
      <c r="AY579" t="s">
        <v>74</v>
      </c>
      <c r="AZ579" t="s">
        <v>74</v>
      </c>
      <c r="BA579" t="s">
        <v>74</v>
      </c>
      <c r="BB579">
        <v>4971</v>
      </c>
      <c r="BC579">
        <v>4982</v>
      </c>
      <c r="BD579" t="s">
        <v>74</v>
      </c>
      <c r="BE579" t="s">
        <v>11752</v>
      </c>
      <c r="BF579" t="str">
        <f>HYPERLINK("http://dx.doi.org/10.1007/s00024-020-02539-4","http://dx.doi.org/10.1007/s00024-020-02539-4")</f>
        <v>http://dx.doi.org/10.1007/s00024-020-02539-4</v>
      </c>
      <c r="BG579" t="s">
        <v>74</v>
      </c>
      <c r="BH579" t="s">
        <v>9526</v>
      </c>
      <c r="BI579">
        <v>12</v>
      </c>
      <c r="BJ579" t="s">
        <v>1361</v>
      </c>
      <c r="BK579" t="s">
        <v>100</v>
      </c>
      <c r="BL579" t="s">
        <v>1361</v>
      </c>
      <c r="BM579" t="s">
        <v>11753</v>
      </c>
      <c r="BN579" t="s">
        <v>74</v>
      </c>
      <c r="BO579" t="s">
        <v>74</v>
      </c>
      <c r="BP579" t="s">
        <v>74</v>
      </c>
      <c r="BQ579" t="s">
        <v>74</v>
      </c>
      <c r="BR579" t="s">
        <v>104</v>
      </c>
      <c r="BS579" t="s">
        <v>11754</v>
      </c>
      <c r="BT579" t="str">
        <f>HYPERLINK("https%3A%2F%2Fwww.webofscience.com%2Fwos%2Fwoscc%2Ffull-record%2FWOS:000567367800001","View Full Record in Web of Science")</f>
        <v>View Full Record in Web of Science</v>
      </c>
    </row>
    <row r="580" spans="1:72" x14ac:dyDescent="0.15">
      <c r="A580" t="s">
        <v>72</v>
      </c>
      <c r="B580" t="s">
        <v>11755</v>
      </c>
      <c r="C580" t="s">
        <v>74</v>
      </c>
      <c r="D580" t="s">
        <v>74</v>
      </c>
      <c r="E580" t="s">
        <v>74</v>
      </c>
      <c r="F580" t="s">
        <v>11756</v>
      </c>
      <c r="G580" t="s">
        <v>74</v>
      </c>
      <c r="H580" t="s">
        <v>74</v>
      </c>
      <c r="I580" t="s">
        <v>11757</v>
      </c>
      <c r="J580" t="s">
        <v>4007</v>
      </c>
      <c r="K580" t="s">
        <v>74</v>
      </c>
      <c r="L580" t="s">
        <v>74</v>
      </c>
      <c r="M580" t="s">
        <v>78</v>
      </c>
      <c r="N580" t="s">
        <v>79</v>
      </c>
      <c r="O580" t="s">
        <v>74</v>
      </c>
      <c r="P580" t="s">
        <v>74</v>
      </c>
      <c r="Q580" t="s">
        <v>74</v>
      </c>
      <c r="R580" t="s">
        <v>74</v>
      </c>
      <c r="S580" t="s">
        <v>74</v>
      </c>
      <c r="T580" t="s">
        <v>11758</v>
      </c>
      <c r="U580" t="s">
        <v>11759</v>
      </c>
      <c r="V580" t="s">
        <v>11760</v>
      </c>
      <c r="W580" t="s">
        <v>11761</v>
      </c>
      <c r="X580" t="s">
        <v>11762</v>
      </c>
      <c r="Y580" t="s">
        <v>11763</v>
      </c>
      <c r="Z580" t="s">
        <v>11764</v>
      </c>
      <c r="AA580" t="s">
        <v>11765</v>
      </c>
      <c r="AB580" t="s">
        <v>11766</v>
      </c>
      <c r="AC580" t="s">
        <v>11767</v>
      </c>
      <c r="AD580" t="s">
        <v>11768</v>
      </c>
      <c r="AE580" t="s">
        <v>11769</v>
      </c>
      <c r="AF580" t="s">
        <v>74</v>
      </c>
      <c r="AG580">
        <v>72</v>
      </c>
      <c r="AH580">
        <v>24</v>
      </c>
      <c r="AI580">
        <v>28</v>
      </c>
      <c r="AJ580">
        <v>0</v>
      </c>
      <c r="AK580">
        <v>16</v>
      </c>
      <c r="AL580" t="s">
        <v>4018</v>
      </c>
      <c r="AM580" t="s">
        <v>609</v>
      </c>
      <c r="AN580" t="s">
        <v>4019</v>
      </c>
      <c r="AO580" t="s">
        <v>4020</v>
      </c>
      <c r="AP580" t="s">
        <v>4778</v>
      </c>
      <c r="AQ580" t="s">
        <v>74</v>
      </c>
      <c r="AR580" t="s">
        <v>4021</v>
      </c>
      <c r="AS580" t="s">
        <v>4022</v>
      </c>
      <c r="AT580" t="s">
        <v>11695</v>
      </c>
      <c r="AU580">
        <v>2020</v>
      </c>
      <c r="AV580">
        <v>117</v>
      </c>
      <c r="AW580">
        <v>36</v>
      </c>
      <c r="AX580" t="s">
        <v>74</v>
      </c>
      <c r="AY580" t="s">
        <v>74</v>
      </c>
      <c r="AZ580" t="s">
        <v>74</v>
      </c>
      <c r="BA580" t="s">
        <v>74</v>
      </c>
      <c r="BB580">
        <v>22293</v>
      </c>
      <c r="BC580">
        <v>22302</v>
      </c>
      <c r="BD580" t="s">
        <v>74</v>
      </c>
      <c r="BE580" t="s">
        <v>11770</v>
      </c>
      <c r="BF580" t="str">
        <f>HYPERLINK("http://dx.doi.org/10.1073/pnas.2007925117","http://dx.doi.org/10.1073/pnas.2007925117")</f>
        <v>http://dx.doi.org/10.1073/pnas.2007925117</v>
      </c>
      <c r="BG580" t="s">
        <v>74</v>
      </c>
      <c r="BH580" t="s">
        <v>74</v>
      </c>
      <c r="BI580">
        <v>10</v>
      </c>
      <c r="BJ580" t="s">
        <v>329</v>
      </c>
      <c r="BK580" t="s">
        <v>100</v>
      </c>
      <c r="BL580" t="s">
        <v>330</v>
      </c>
      <c r="BM580" t="s">
        <v>11771</v>
      </c>
      <c r="BN580">
        <v>32839321</v>
      </c>
      <c r="BO580" t="s">
        <v>1919</v>
      </c>
      <c r="BP580" t="s">
        <v>74</v>
      </c>
      <c r="BQ580" t="s">
        <v>74</v>
      </c>
      <c r="BR580" t="s">
        <v>104</v>
      </c>
      <c r="BS580" t="s">
        <v>11772</v>
      </c>
      <c r="BT580" t="str">
        <f>HYPERLINK("https%3A%2F%2Fwww.webofscience.com%2Fwos%2Fwoscc%2Ffull-record%2FWOS:000571476100013","View Full Record in Web of Science")</f>
        <v>View Full Record in Web of Science</v>
      </c>
    </row>
    <row r="581" spans="1:72" x14ac:dyDescent="0.15">
      <c r="A581" t="s">
        <v>72</v>
      </c>
      <c r="B581" t="s">
        <v>11773</v>
      </c>
      <c r="C581" t="s">
        <v>74</v>
      </c>
      <c r="D581" t="s">
        <v>74</v>
      </c>
      <c r="E581" t="s">
        <v>74</v>
      </c>
      <c r="F581" t="s">
        <v>11774</v>
      </c>
      <c r="G581" t="s">
        <v>74</v>
      </c>
      <c r="H581" t="s">
        <v>74</v>
      </c>
      <c r="I581" t="s">
        <v>11775</v>
      </c>
      <c r="J581" t="s">
        <v>4007</v>
      </c>
      <c r="K581" t="s">
        <v>74</v>
      </c>
      <c r="L581" t="s">
        <v>74</v>
      </c>
      <c r="M581" t="s">
        <v>78</v>
      </c>
      <c r="N581" t="s">
        <v>79</v>
      </c>
      <c r="O581" t="s">
        <v>74</v>
      </c>
      <c r="P581" t="s">
        <v>74</v>
      </c>
      <c r="Q581" t="s">
        <v>74</v>
      </c>
      <c r="R581" t="s">
        <v>74</v>
      </c>
      <c r="S581" t="s">
        <v>74</v>
      </c>
      <c r="T581" t="s">
        <v>11776</v>
      </c>
      <c r="U581" t="s">
        <v>11777</v>
      </c>
      <c r="V581" t="s">
        <v>11778</v>
      </c>
      <c r="W581" t="s">
        <v>11779</v>
      </c>
      <c r="X581" t="s">
        <v>11780</v>
      </c>
      <c r="Y581" t="s">
        <v>11781</v>
      </c>
      <c r="Z581" t="s">
        <v>11782</v>
      </c>
      <c r="AA581" t="s">
        <v>11783</v>
      </c>
      <c r="AB581" t="s">
        <v>11784</v>
      </c>
      <c r="AC581" t="s">
        <v>11785</v>
      </c>
      <c r="AD581" t="s">
        <v>11786</v>
      </c>
      <c r="AE581" t="s">
        <v>11787</v>
      </c>
      <c r="AF581" t="s">
        <v>74</v>
      </c>
      <c r="AG581">
        <v>69</v>
      </c>
      <c r="AH581">
        <v>37</v>
      </c>
      <c r="AI581">
        <v>41</v>
      </c>
      <c r="AJ581">
        <v>4</v>
      </c>
      <c r="AK581">
        <v>90</v>
      </c>
      <c r="AL581" t="s">
        <v>4018</v>
      </c>
      <c r="AM581" t="s">
        <v>609</v>
      </c>
      <c r="AN581" t="s">
        <v>4019</v>
      </c>
      <c r="AO581" t="s">
        <v>4020</v>
      </c>
      <c r="AP581" t="s">
        <v>4778</v>
      </c>
      <c r="AQ581" t="s">
        <v>74</v>
      </c>
      <c r="AR581" t="s">
        <v>4021</v>
      </c>
      <c r="AS581" t="s">
        <v>4022</v>
      </c>
      <c r="AT581" t="s">
        <v>11695</v>
      </c>
      <c r="AU581">
        <v>2020</v>
      </c>
      <c r="AV581">
        <v>117</v>
      </c>
      <c r="AW581">
        <v>36</v>
      </c>
      <c r="AX581" t="s">
        <v>74</v>
      </c>
      <c r="AY581" t="s">
        <v>74</v>
      </c>
      <c r="AZ581" t="s">
        <v>74</v>
      </c>
      <c r="BA581" t="s">
        <v>74</v>
      </c>
      <c r="BB581">
        <v>22303</v>
      </c>
      <c r="BC581">
        <v>22310</v>
      </c>
      <c r="BD581" t="s">
        <v>74</v>
      </c>
      <c r="BE581" t="s">
        <v>11788</v>
      </c>
      <c r="BF581" t="str">
        <f>HYPERLINK("http://dx.doi.org/10.1073/pnas.2006659117","http://dx.doi.org/10.1073/pnas.2006659117")</f>
        <v>http://dx.doi.org/10.1073/pnas.2006659117</v>
      </c>
      <c r="BG581" t="s">
        <v>74</v>
      </c>
      <c r="BH581" t="s">
        <v>74</v>
      </c>
      <c r="BI581">
        <v>8</v>
      </c>
      <c r="BJ581" t="s">
        <v>329</v>
      </c>
      <c r="BK581" t="s">
        <v>100</v>
      </c>
      <c r="BL581" t="s">
        <v>330</v>
      </c>
      <c r="BM581" t="s">
        <v>11789</v>
      </c>
      <c r="BN581">
        <v>32817535</v>
      </c>
      <c r="BO581" t="s">
        <v>258</v>
      </c>
      <c r="BP581" t="s">
        <v>74</v>
      </c>
      <c r="BQ581" t="s">
        <v>74</v>
      </c>
      <c r="BR581" t="s">
        <v>104</v>
      </c>
      <c r="BS581" t="s">
        <v>11790</v>
      </c>
      <c r="BT581" t="str">
        <f>HYPERLINK("https%3A%2F%2Fwww.webofscience.com%2Fwos%2Fwoscc%2Ffull-record%2FWOS:000572968600001","View Full Record in Web of Science")</f>
        <v>View Full Record in Web of Science</v>
      </c>
    </row>
    <row r="582" spans="1:72" x14ac:dyDescent="0.15">
      <c r="A582" t="s">
        <v>72</v>
      </c>
      <c r="B582" t="s">
        <v>11791</v>
      </c>
      <c r="C582" t="s">
        <v>74</v>
      </c>
      <c r="D582" t="s">
        <v>74</v>
      </c>
      <c r="E582" t="s">
        <v>74</v>
      </c>
      <c r="F582" t="s">
        <v>11792</v>
      </c>
      <c r="G582" t="s">
        <v>74</v>
      </c>
      <c r="H582" t="s">
        <v>74</v>
      </c>
      <c r="I582" t="s">
        <v>11793</v>
      </c>
      <c r="J582" t="s">
        <v>11794</v>
      </c>
      <c r="K582" t="s">
        <v>74</v>
      </c>
      <c r="L582" t="s">
        <v>74</v>
      </c>
      <c r="M582" t="s">
        <v>78</v>
      </c>
      <c r="N582" t="s">
        <v>7302</v>
      </c>
      <c r="O582" t="s">
        <v>74</v>
      </c>
      <c r="P582" t="s">
        <v>74</v>
      </c>
      <c r="Q582" t="s">
        <v>74</v>
      </c>
      <c r="R582" t="s">
        <v>74</v>
      </c>
      <c r="S582" t="s">
        <v>74</v>
      </c>
      <c r="T582" t="s">
        <v>74</v>
      </c>
      <c r="U582" t="s">
        <v>11795</v>
      </c>
      <c r="V582" t="s">
        <v>11796</v>
      </c>
      <c r="W582" t="s">
        <v>11797</v>
      </c>
      <c r="X582" t="s">
        <v>11798</v>
      </c>
      <c r="Y582" t="s">
        <v>11799</v>
      </c>
      <c r="Z582" t="s">
        <v>11800</v>
      </c>
      <c r="AA582" t="s">
        <v>11801</v>
      </c>
      <c r="AB582" t="s">
        <v>11802</v>
      </c>
      <c r="AC582" t="s">
        <v>11803</v>
      </c>
      <c r="AD582" t="s">
        <v>4658</v>
      </c>
      <c r="AE582" t="s">
        <v>11804</v>
      </c>
      <c r="AF582" t="s">
        <v>74</v>
      </c>
      <c r="AG582">
        <v>111</v>
      </c>
      <c r="AH582">
        <v>1</v>
      </c>
      <c r="AI582">
        <v>1</v>
      </c>
      <c r="AJ582">
        <v>3</v>
      </c>
      <c r="AK582">
        <v>13</v>
      </c>
      <c r="AL582" t="s">
        <v>413</v>
      </c>
      <c r="AM582" t="s">
        <v>322</v>
      </c>
      <c r="AN582" t="s">
        <v>323</v>
      </c>
      <c r="AO582" t="s">
        <v>74</v>
      </c>
      <c r="AP582" t="s">
        <v>11805</v>
      </c>
      <c r="AQ582" t="s">
        <v>74</v>
      </c>
      <c r="AR582" t="s">
        <v>11806</v>
      </c>
      <c r="AS582" t="s">
        <v>11807</v>
      </c>
      <c r="AT582" t="s">
        <v>11695</v>
      </c>
      <c r="AU582">
        <v>2020</v>
      </c>
      <c r="AV582">
        <v>7</v>
      </c>
      <c r="AW582">
        <v>1</v>
      </c>
      <c r="AX582" t="s">
        <v>74</v>
      </c>
      <c r="AY582" t="s">
        <v>74</v>
      </c>
      <c r="AZ582" t="s">
        <v>74</v>
      </c>
      <c r="BA582" t="s">
        <v>74</v>
      </c>
      <c r="BB582" t="s">
        <v>74</v>
      </c>
      <c r="BC582" t="s">
        <v>74</v>
      </c>
      <c r="BD582">
        <v>297</v>
      </c>
      <c r="BE582" t="s">
        <v>11808</v>
      </c>
      <c r="BF582" t="str">
        <f>HYPERLINK("http://dx.doi.org/10.1038/s41597-020-00625-9","http://dx.doi.org/10.1038/s41597-020-00625-9")</f>
        <v>http://dx.doi.org/10.1038/s41597-020-00625-9</v>
      </c>
      <c r="BG582" t="s">
        <v>74</v>
      </c>
      <c r="BH582" t="s">
        <v>74</v>
      </c>
      <c r="BI582">
        <v>9</v>
      </c>
      <c r="BJ582" t="s">
        <v>329</v>
      </c>
      <c r="BK582" t="s">
        <v>100</v>
      </c>
      <c r="BL582" t="s">
        <v>330</v>
      </c>
      <c r="BM582" t="s">
        <v>11809</v>
      </c>
      <c r="BN582">
        <v>32901022</v>
      </c>
      <c r="BO582" t="s">
        <v>332</v>
      </c>
      <c r="BP582" t="s">
        <v>74</v>
      </c>
      <c r="BQ582" t="s">
        <v>74</v>
      </c>
      <c r="BR582" t="s">
        <v>104</v>
      </c>
      <c r="BS582" t="s">
        <v>11810</v>
      </c>
      <c r="BT582" t="str">
        <f>HYPERLINK("https%3A%2F%2Fwww.webofscience.com%2Fwos%2Fwoscc%2Ffull-record%2FWOS:000571812600010","View Full Record in Web of Science")</f>
        <v>View Full Record in Web of Science</v>
      </c>
    </row>
    <row r="583" spans="1:72" x14ac:dyDescent="0.15">
      <c r="A583" t="s">
        <v>72</v>
      </c>
      <c r="B583" t="s">
        <v>11811</v>
      </c>
      <c r="C583" t="s">
        <v>74</v>
      </c>
      <c r="D583" t="s">
        <v>74</v>
      </c>
      <c r="E583" t="s">
        <v>74</v>
      </c>
      <c r="F583" t="s">
        <v>11812</v>
      </c>
      <c r="G583" t="s">
        <v>74</v>
      </c>
      <c r="H583" t="s">
        <v>74</v>
      </c>
      <c r="I583" t="s">
        <v>11813</v>
      </c>
      <c r="J583" t="s">
        <v>11814</v>
      </c>
      <c r="K583" t="s">
        <v>74</v>
      </c>
      <c r="L583" t="s">
        <v>74</v>
      </c>
      <c r="M583" t="s">
        <v>78</v>
      </c>
      <c r="N583" t="s">
        <v>79</v>
      </c>
      <c r="O583" t="s">
        <v>74</v>
      </c>
      <c r="P583" t="s">
        <v>74</v>
      </c>
      <c r="Q583" t="s">
        <v>74</v>
      </c>
      <c r="R583" t="s">
        <v>74</v>
      </c>
      <c r="S583" t="s">
        <v>74</v>
      </c>
      <c r="T583" t="s">
        <v>74</v>
      </c>
      <c r="U583" t="s">
        <v>11815</v>
      </c>
      <c r="V583" t="s">
        <v>11816</v>
      </c>
      <c r="W583" t="s">
        <v>11817</v>
      </c>
      <c r="X583" t="s">
        <v>11818</v>
      </c>
      <c r="Y583" t="s">
        <v>11819</v>
      </c>
      <c r="Z583" t="s">
        <v>11820</v>
      </c>
      <c r="AA583" t="s">
        <v>11821</v>
      </c>
      <c r="AB583" t="s">
        <v>11822</v>
      </c>
      <c r="AC583" t="s">
        <v>11823</v>
      </c>
      <c r="AD583" t="s">
        <v>11824</v>
      </c>
      <c r="AE583" t="s">
        <v>11825</v>
      </c>
      <c r="AF583" t="s">
        <v>74</v>
      </c>
      <c r="AG583">
        <v>113</v>
      </c>
      <c r="AH583">
        <v>41</v>
      </c>
      <c r="AI583">
        <v>46</v>
      </c>
      <c r="AJ583">
        <v>11</v>
      </c>
      <c r="AK583">
        <v>101</v>
      </c>
      <c r="AL583" t="s">
        <v>4451</v>
      </c>
      <c r="AM583" t="s">
        <v>4452</v>
      </c>
      <c r="AN583" t="s">
        <v>4453</v>
      </c>
      <c r="AO583" t="s">
        <v>11826</v>
      </c>
      <c r="AP583" t="s">
        <v>11827</v>
      </c>
      <c r="AQ583" t="s">
        <v>74</v>
      </c>
      <c r="AR583" t="s">
        <v>11828</v>
      </c>
      <c r="AS583" t="s">
        <v>11829</v>
      </c>
      <c r="AT583" t="s">
        <v>11830</v>
      </c>
      <c r="AU583">
        <v>2020</v>
      </c>
      <c r="AV583">
        <v>30</v>
      </c>
      <c r="AW583">
        <v>17</v>
      </c>
      <c r="AX583" t="s">
        <v>74</v>
      </c>
      <c r="AY583" t="s">
        <v>74</v>
      </c>
      <c r="AZ583" t="s">
        <v>74</v>
      </c>
      <c r="BA583" t="s">
        <v>74</v>
      </c>
      <c r="BB583">
        <v>3330</v>
      </c>
      <c r="BC583" t="s">
        <v>614</v>
      </c>
      <c r="BD583" t="s">
        <v>74</v>
      </c>
      <c r="BE583" t="s">
        <v>11831</v>
      </c>
      <c r="BF583" t="str">
        <f>HYPERLINK("http://dx.doi.org/10.1016/j.cub.2020.06.029","http://dx.doi.org/10.1016/j.cub.2020.06.029")</f>
        <v>http://dx.doi.org/10.1016/j.cub.2020.06.029</v>
      </c>
      <c r="BG583" t="s">
        <v>74</v>
      </c>
      <c r="BH583" t="s">
        <v>74</v>
      </c>
      <c r="BI583">
        <v>19</v>
      </c>
      <c r="BJ583" t="s">
        <v>11832</v>
      </c>
      <c r="BK583" t="s">
        <v>100</v>
      </c>
      <c r="BL583" t="s">
        <v>11833</v>
      </c>
      <c r="BM583" t="s">
        <v>11834</v>
      </c>
      <c r="BN583">
        <v>32619486</v>
      </c>
      <c r="BO583" t="s">
        <v>1188</v>
      </c>
      <c r="BP583" t="s">
        <v>74</v>
      </c>
      <c r="BQ583" t="s">
        <v>74</v>
      </c>
      <c r="BR583" t="s">
        <v>104</v>
      </c>
      <c r="BS583" t="s">
        <v>11835</v>
      </c>
      <c r="BT583" t="str">
        <f>HYPERLINK("https%3A%2F%2Fwww.webofscience.com%2Fwos%2Fwoscc%2Ffull-record%2FWOS:000577931900005","View Full Record in Web of Science")</f>
        <v>View Full Record in Web of Science</v>
      </c>
    </row>
    <row r="584" spans="1:72" x14ac:dyDescent="0.15">
      <c r="A584" t="s">
        <v>72</v>
      </c>
      <c r="B584" t="s">
        <v>11836</v>
      </c>
      <c r="C584" t="s">
        <v>74</v>
      </c>
      <c r="D584" t="s">
        <v>74</v>
      </c>
      <c r="E584" t="s">
        <v>74</v>
      </c>
      <c r="F584" t="s">
        <v>11837</v>
      </c>
      <c r="G584" t="s">
        <v>74</v>
      </c>
      <c r="H584" t="s">
        <v>74</v>
      </c>
      <c r="I584" t="s">
        <v>11838</v>
      </c>
      <c r="J584" t="s">
        <v>4954</v>
      </c>
      <c r="K584" t="s">
        <v>74</v>
      </c>
      <c r="L584" t="s">
        <v>74</v>
      </c>
      <c r="M584" t="s">
        <v>78</v>
      </c>
      <c r="N584" t="s">
        <v>79</v>
      </c>
      <c r="O584" t="s">
        <v>74</v>
      </c>
      <c r="P584" t="s">
        <v>74</v>
      </c>
      <c r="Q584" t="s">
        <v>74</v>
      </c>
      <c r="R584" t="s">
        <v>74</v>
      </c>
      <c r="S584" t="s">
        <v>74</v>
      </c>
      <c r="T584" t="s">
        <v>11839</v>
      </c>
      <c r="U584" t="s">
        <v>11840</v>
      </c>
      <c r="V584" t="s">
        <v>11841</v>
      </c>
      <c r="W584" t="s">
        <v>11842</v>
      </c>
      <c r="X584" t="s">
        <v>11843</v>
      </c>
      <c r="Y584" t="s">
        <v>11844</v>
      </c>
      <c r="Z584" t="s">
        <v>11845</v>
      </c>
      <c r="AA584" t="s">
        <v>74</v>
      </c>
      <c r="AB584" t="s">
        <v>74</v>
      </c>
      <c r="AC584" t="s">
        <v>11846</v>
      </c>
      <c r="AD584" t="s">
        <v>11847</v>
      </c>
      <c r="AE584" t="s">
        <v>11848</v>
      </c>
      <c r="AF584" t="s">
        <v>74</v>
      </c>
      <c r="AG584">
        <v>36</v>
      </c>
      <c r="AH584">
        <v>5</v>
      </c>
      <c r="AI584">
        <v>7</v>
      </c>
      <c r="AJ584">
        <v>1</v>
      </c>
      <c r="AK584">
        <v>20</v>
      </c>
      <c r="AL584" t="s">
        <v>219</v>
      </c>
      <c r="AM584" t="s">
        <v>220</v>
      </c>
      <c r="AN584" t="s">
        <v>221</v>
      </c>
      <c r="AO584" t="s">
        <v>4965</v>
      </c>
      <c r="AP584" t="s">
        <v>4966</v>
      </c>
      <c r="AQ584" t="s">
        <v>74</v>
      </c>
      <c r="AR584" t="s">
        <v>4967</v>
      </c>
      <c r="AS584" t="s">
        <v>4968</v>
      </c>
      <c r="AT584" t="s">
        <v>6558</v>
      </c>
      <c r="AU584">
        <v>2020</v>
      </c>
      <c r="AV584">
        <v>85</v>
      </c>
      <c r="AW584">
        <v>10</v>
      </c>
      <c r="AX584" t="s">
        <v>74</v>
      </c>
      <c r="AY584" t="s">
        <v>74</v>
      </c>
      <c r="AZ584" t="s">
        <v>74</v>
      </c>
      <c r="BA584" t="s">
        <v>74</v>
      </c>
      <c r="BB584">
        <v>3061</v>
      </c>
      <c r="BC584">
        <v>3071</v>
      </c>
      <c r="BD584" t="s">
        <v>74</v>
      </c>
      <c r="BE584" t="s">
        <v>11849</v>
      </c>
      <c r="BF584" t="str">
        <f>HYPERLINK("http://dx.doi.org/10.1111/1750-3841.15443","http://dx.doi.org/10.1111/1750-3841.15443")</f>
        <v>http://dx.doi.org/10.1111/1750-3841.15443</v>
      </c>
      <c r="BG584" t="s">
        <v>74</v>
      </c>
      <c r="BH584" t="s">
        <v>9526</v>
      </c>
      <c r="BI584">
        <v>11</v>
      </c>
      <c r="BJ584" t="s">
        <v>3107</v>
      </c>
      <c r="BK584" t="s">
        <v>100</v>
      </c>
      <c r="BL584" t="s">
        <v>3107</v>
      </c>
      <c r="BM584" t="s">
        <v>11850</v>
      </c>
      <c r="BN584">
        <v>32895956</v>
      </c>
      <c r="BO584" t="s">
        <v>74</v>
      </c>
      <c r="BP584" t="s">
        <v>74</v>
      </c>
      <c r="BQ584" t="s">
        <v>74</v>
      </c>
      <c r="BR584" t="s">
        <v>104</v>
      </c>
      <c r="BS584" t="s">
        <v>11851</v>
      </c>
      <c r="BT584" t="str">
        <f>HYPERLINK("https%3A%2F%2Fwww.webofscience.com%2Fwos%2Fwoscc%2Ffull-record%2FWOS:000566714600001","View Full Record in Web of Science")</f>
        <v>View Full Record in Web of Science</v>
      </c>
    </row>
    <row r="585" spans="1:72" x14ac:dyDescent="0.15">
      <c r="A585" t="s">
        <v>72</v>
      </c>
      <c r="B585" t="s">
        <v>11852</v>
      </c>
      <c r="C585" t="s">
        <v>74</v>
      </c>
      <c r="D585" t="s">
        <v>74</v>
      </c>
      <c r="E585" t="s">
        <v>74</v>
      </c>
      <c r="F585" t="s">
        <v>11853</v>
      </c>
      <c r="G585" t="s">
        <v>74</v>
      </c>
      <c r="H585" t="s">
        <v>74</v>
      </c>
      <c r="I585" t="s">
        <v>11854</v>
      </c>
      <c r="J585" t="s">
        <v>309</v>
      </c>
      <c r="K585" t="s">
        <v>74</v>
      </c>
      <c r="L585" t="s">
        <v>74</v>
      </c>
      <c r="M585" t="s">
        <v>78</v>
      </c>
      <c r="N585" t="s">
        <v>79</v>
      </c>
      <c r="O585" t="s">
        <v>74</v>
      </c>
      <c r="P585" t="s">
        <v>74</v>
      </c>
      <c r="Q585" t="s">
        <v>74</v>
      </c>
      <c r="R585" t="s">
        <v>74</v>
      </c>
      <c r="S585" t="s">
        <v>74</v>
      </c>
      <c r="T585" t="s">
        <v>74</v>
      </c>
      <c r="U585" t="s">
        <v>11855</v>
      </c>
      <c r="V585" t="s">
        <v>11856</v>
      </c>
      <c r="W585" t="s">
        <v>11857</v>
      </c>
      <c r="X585" t="s">
        <v>11858</v>
      </c>
      <c r="Y585" t="s">
        <v>11859</v>
      </c>
      <c r="Z585" t="s">
        <v>11860</v>
      </c>
      <c r="AA585" t="s">
        <v>11861</v>
      </c>
      <c r="AB585" t="s">
        <v>11862</v>
      </c>
      <c r="AC585" t="s">
        <v>11863</v>
      </c>
      <c r="AD585" t="s">
        <v>11864</v>
      </c>
      <c r="AE585" t="s">
        <v>11865</v>
      </c>
      <c r="AF585" t="s">
        <v>74</v>
      </c>
      <c r="AG585">
        <v>52</v>
      </c>
      <c r="AH585">
        <v>6</v>
      </c>
      <c r="AI585">
        <v>6</v>
      </c>
      <c r="AJ585">
        <v>2</v>
      </c>
      <c r="AK585">
        <v>9</v>
      </c>
      <c r="AL585" t="s">
        <v>321</v>
      </c>
      <c r="AM585" t="s">
        <v>322</v>
      </c>
      <c r="AN585" t="s">
        <v>323</v>
      </c>
      <c r="AO585" t="s">
        <v>324</v>
      </c>
      <c r="AP585" t="s">
        <v>74</v>
      </c>
      <c r="AQ585" t="s">
        <v>74</v>
      </c>
      <c r="AR585" t="s">
        <v>325</v>
      </c>
      <c r="AS585" t="s">
        <v>326</v>
      </c>
      <c r="AT585" t="s">
        <v>11830</v>
      </c>
      <c r="AU585">
        <v>2020</v>
      </c>
      <c r="AV585">
        <v>10</v>
      </c>
      <c r="AW585">
        <v>1</v>
      </c>
      <c r="AX585" t="s">
        <v>74</v>
      </c>
      <c r="AY585" t="s">
        <v>74</v>
      </c>
      <c r="AZ585" t="s">
        <v>74</v>
      </c>
      <c r="BA585" t="s">
        <v>74</v>
      </c>
      <c r="BB585" t="s">
        <v>74</v>
      </c>
      <c r="BC585" t="s">
        <v>74</v>
      </c>
      <c r="BD585">
        <v>14715</v>
      </c>
      <c r="BE585" t="s">
        <v>11866</v>
      </c>
      <c r="BF585" t="str">
        <f>HYPERLINK("http://dx.doi.org/10.1038/s41598-020-71328-9","http://dx.doi.org/10.1038/s41598-020-71328-9")</f>
        <v>http://dx.doi.org/10.1038/s41598-020-71328-9</v>
      </c>
      <c r="BG585" t="s">
        <v>74</v>
      </c>
      <c r="BH585" t="s">
        <v>74</v>
      </c>
      <c r="BI585">
        <v>12</v>
      </c>
      <c r="BJ585" t="s">
        <v>329</v>
      </c>
      <c r="BK585" t="s">
        <v>100</v>
      </c>
      <c r="BL585" t="s">
        <v>330</v>
      </c>
      <c r="BM585" t="s">
        <v>11867</v>
      </c>
      <c r="BN585">
        <v>32895436</v>
      </c>
      <c r="BO585" t="s">
        <v>332</v>
      </c>
      <c r="BP585" t="s">
        <v>74</v>
      </c>
      <c r="BQ585" t="s">
        <v>74</v>
      </c>
      <c r="BR585" t="s">
        <v>104</v>
      </c>
      <c r="BS585" t="s">
        <v>11868</v>
      </c>
      <c r="BT585" t="str">
        <f>HYPERLINK("https%3A%2F%2Fwww.webofscience.com%2Fwos%2Fwoscc%2Ffull-record%2FWOS:000570970200010","View Full Record in Web of Science")</f>
        <v>View Full Record in Web of Science</v>
      </c>
    </row>
    <row r="586" spans="1:72" x14ac:dyDescent="0.15">
      <c r="A586" t="s">
        <v>72</v>
      </c>
      <c r="B586" t="s">
        <v>11869</v>
      </c>
      <c r="C586" t="s">
        <v>74</v>
      </c>
      <c r="D586" t="s">
        <v>74</v>
      </c>
      <c r="E586" t="s">
        <v>74</v>
      </c>
      <c r="F586" t="s">
        <v>11870</v>
      </c>
      <c r="G586" t="s">
        <v>74</v>
      </c>
      <c r="H586" t="s">
        <v>74</v>
      </c>
      <c r="I586" t="s">
        <v>11871</v>
      </c>
      <c r="J586" t="s">
        <v>11872</v>
      </c>
      <c r="K586" t="s">
        <v>74</v>
      </c>
      <c r="L586" t="s">
        <v>74</v>
      </c>
      <c r="M586" t="s">
        <v>78</v>
      </c>
      <c r="N586" t="s">
        <v>79</v>
      </c>
      <c r="O586" t="s">
        <v>74</v>
      </c>
      <c r="P586" t="s">
        <v>74</v>
      </c>
      <c r="Q586" t="s">
        <v>74</v>
      </c>
      <c r="R586" t="s">
        <v>74</v>
      </c>
      <c r="S586" t="s">
        <v>74</v>
      </c>
      <c r="T586" t="s">
        <v>11873</v>
      </c>
      <c r="U586" t="s">
        <v>11874</v>
      </c>
      <c r="V586" t="s">
        <v>11875</v>
      </c>
      <c r="W586" t="s">
        <v>11876</v>
      </c>
      <c r="X586" t="s">
        <v>11877</v>
      </c>
      <c r="Y586" t="s">
        <v>11878</v>
      </c>
      <c r="Z586" t="s">
        <v>11879</v>
      </c>
      <c r="AA586" t="s">
        <v>11880</v>
      </c>
      <c r="AB586" t="s">
        <v>11881</v>
      </c>
      <c r="AC586" t="s">
        <v>11882</v>
      </c>
      <c r="AD586" t="s">
        <v>11883</v>
      </c>
      <c r="AE586" t="s">
        <v>11884</v>
      </c>
      <c r="AF586" t="s">
        <v>74</v>
      </c>
      <c r="AG586">
        <v>32</v>
      </c>
      <c r="AH586">
        <v>1</v>
      </c>
      <c r="AI586">
        <v>1</v>
      </c>
      <c r="AJ586">
        <v>0</v>
      </c>
      <c r="AK586">
        <v>6</v>
      </c>
      <c r="AL586" t="s">
        <v>11885</v>
      </c>
      <c r="AM586" t="s">
        <v>11886</v>
      </c>
      <c r="AN586" t="s">
        <v>11887</v>
      </c>
      <c r="AO586" t="s">
        <v>11888</v>
      </c>
      <c r="AP586" t="s">
        <v>11889</v>
      </c>
      <c r="AQ586" t="s">
        <v>74</v>
      </c>
      <c r="AR586" t="s">
        <v>11890</v>
      </c>
      <c r="AS586" t="s">
        <v>11891</v>
      </c>
      <c r="AT586" t="s">
        <v>11892</v>
      </c>
      <c r="AU586">
        <v>2020</v>
      </c>
      <c r="AV586">
        <v>55</v>
      </c>
      <c r="AW586">
        <v>3</v>
      </c>
      <c r="AX586" t="s">
        <v>74</v>
      </c>
      <c r="AY586" t="s">
        <v>74</v>
      </c>
      <c r="AZ586" t="s">
        <v>74</v>
      </c>
      <c r="BA586" t="s">
        <v>74</v>
      </c>
      <c r="BB586">
        <v>391</v>
      </c>
      <c r="BC586">
        <v>403</v>
      </c>
      <c r="BD586" t="s">
        <v>74</v>
      </c>
      <c r="BE586" t="s">
        <v>11893</v>
      </c>
      <c r="BF586" t="str">
        <f>HYPERLINK("http://dx.doi.org/10.1007/s12601-020-0031-9","http://dx.doi.org/10.1007/s12601-020-0031-9")</f>
        <v>http://dx.doi.org/10.1007/s12601-020-0031-9</v>
      </c>
      <c r="BG586" t="s">
        <v>74</v>
      </c>
      <c r="BH586" t="s">
        <v>9526</v>
      </c>
      <c r="BI586">
        <v>13</v>
      </c>
      <c r="BJ586" t="s">
        <v>643</v>
      </c>
      <c r="BK586" t="s">
        <v>100</v>
      </c>
      <c r="BL586" t="s">
        <v>643</v>
      </c>
      <c r="BM586" t="s">
        <v>11894</v>
      </c>
      <c r="BN586" t="s">
        <v>74</v>
      </c>
      <c r="BO586" t="s">
        <v>74</v>
      </c>
      <c r="BP586" t="s">
        <v>74</v>
      </c>
      <c r="BQ586" t="s">
        <v>74</v>
      </c>
      <c r="BR586" t="s">
        <v>104</v>
      </c>
      <c r="BS586" t="s">
        <v>11895</v>
      </c>
      <c r="BT586" t="str">
        <f>HYPERLINK("https%3A%2F%2Fwww.webofscience.com%2Fwos%2Fwoscc%2Ffull-record%2FWOS:000566310300004","View Full Record in Web of Science")</f>
        <v>View Full Record in Web of Science</v>
      </c>
    </row>
    <row r="587" spans="1:72" x14ac:dyDescent="0.15">
      <c r="A587" t="s">
        <v>72</v>
      </c>
      <c r="B587" t="s">
        <v>11896</v>
      </c>
      <c r="C587" t="s">
        <v>74</v>
      </c>
      <c r="D587" t="s">
        <v>74</v>
      </c>
      <c r="E587" t="s">
        <v>74</v>
      </c>
      <c r="F587" t="s">
        <v>11897</v>
      </c>
      <c r="G587" t="s">
        <v>74</v>
      </c>
      <c r="H587" t="s">
        <v>74</v>
      </c>
      <c r="I587" t="s">
        <v>11898</v>
      </c>
      <c r="J587" t="s">
        <v>10577</v>
      </c>
      <c r="K587" t="s">
        <v>74</v>
      </c>
      <c r="L587" t="s">
        <v>74</v>
      </c>
      <c r="M587" t="s">
        <v>78</v>
      </c>
      <c r="N587" t="s">
        <v>79</v>
      </c>
      <c r="O587" t="s">
        <v>74</v>
      </c>
      <c r="P587" t="s">
        <v>74</v>
      </c>
      <c r="Q587" t="s">
        <v>74</v>
      </c>
      <c r="R587" t="s">
        <v>74</v>
      </c>
      <c r="S587" t="s">
        <v>74</v>
      </c>
      <c r="T587" t="s">
        <v>11899</v>
      </c>
      <c r="U587" t="s">
        <v>11900</v>
      </c>
      <c r="V587" t="s">
        <v>11901</v>
      </c>
      <c r="W587" t="s">
        <v>11902</v>
      </c>
      <c r="X587" t="s">
        <v>11903</v>
      </c>
      <c r="Y587" t="s">
        <v>11904</v>
      </c>
      <c r="Z587" t="s">
        <v>11905</v>
      </c>
      <c r="AA587" t="s">
        <v>11906</v>
      </c>
      <c r="AB587" t="s">
        <v>11907</v>
      </c>
      <c r="AC587" t="s">
        <v>11908</v>
      </c>
      <c r="AD587" t="s">
        <v>11908</v>
      </c>
      <c r="AE587" t="s">
        <v>11909</v>
      </c>
      <c r="AF587" t="s">
        <v>74</v>
      </c>
      <c r="AG587">
        <v>95</v>
      </c>
      <c r="AH587">
        <v>0</v>
      </c>
      <c r="AI587">
        <v>0</v>
      </c>
      <c r="AJ587">
        <v>3</v>
      </c>
      <c r="AK587">
        <v>14</v>
      </c>
      <c r="AL587" t="s">
        <v>219</v>
      </c>
      <c r="AM587" t="s">
        <v>220</v>
      </c>
      <c r="AN587" t="s">
        <v>221</v>
      </c>
      <c r="AO587" t="s">
        <v>10590</v>
      </c>
      <c r="AP587" t="s">
        <v>10591</v>
      </c>
      <c r="AQ587" t="s">
        <v>74</v>
      </c>
      <c r="AR587" t="s">
        <v>10592</v>
      </c>
      <c r="AS587" t="s">
        <v>10593</v>
      </c>
      <c r="AT587" t="s">
        <v>6558</v>
      </c>
      <c r="AU587">
        <v>2020</v>
      </c>
      <c r="AV587">
        <v>35</v>
      </c>
      <c r="AW587">
        <v>7</v>
      </c>
      <c r="AX587" t="s">
        <v>74</v>
      </c>
      <c r="AY587" t="s">
        <v>74</v>
      </c>
      <c r="AZ587" t="s">
        <v>74</v>
      </c>
      <c r="BA587" t="s">
        <v>74</v>
      </c>
      <c r="BB587">
        <v>881</v>
      </c>
      <c r="BC587">
        <v>891</v>
      </c>
      <c r="BD587" t="s">
        <v>74</v>
      </c>
      <c r="BE587" t="s">
        <v>11910</v>
      </c>
      <c r="BF587" t="str">
        <f>HYPERLINK("http://dx.doi.org/10.1002/jqs.3238","http://dx.doi.org/10.1002/jqs.3238")</f>
        <v>http://dx.doi.org/10.1002/jqs.3238</v>
      </c>
      <c r="BG587" t="s">
        <v>74</v>
      </c>
      <c r="BH587" t="s">
        <v>9526</v>
      </c>
      <c r="BI587">
        <v>11</v>
      </c>
      <c r="BJ587" t="s">
        <v>99</v>
      </c>
      <c r="BK587" t="s">
        <v>100</v>
      </c>
      <c r="BL587" t="s">
        <v>101</v>
      </c>
      <c r="BM587" t="s">
        <v>11911</v>
      </c>
      <c r="BN587" t="s">
        <v>74</v>
      </c>
      <c r="BO587" t="s">
        <v>1876</v>
      </c>
      <c r="BP587" t="s">
        <v>74</v>
      </c>
      <c r="BQ587" t="s">
        <v>74</v>
      </c>
      <c r="BR587" t="s">
        <v>104</v>
      </c>
      <c r="BS587" t="s">
        <v>11912</v>
      </c>
      <c r="BT587" t="str">
        <f>HYPERLINK("https%3A%2F%2Fwww.webofscience.com%2Fwos%2Fwoscc%2Ffull-record%2FWOS:000565970300001","View Full Record in Web of Science")</f>
        <v>View Full Record in Web of Science</v>
      </c>
    </row>
    <row r="588" spans="1:72" x14ac:dyDescent="0.15">
      <c r="A588" t="s">
        <v>72</v>
      </c>
      <c r="B588" t="s">
        <v>11913</v>
      </c>
      <c r="C588" t="s">
        <v>74</v>
      </c>
      <c r="D588" t="s">
        <v>74</v>
      </c>
      <c r="E588" t="s">
        <v>74</v>
      </c>
      <c r="F588" t="s">
        <v>11914</v>
      </c>
      <c r="G588" t="s">
        <v>74</v>
      </c>
      <c r="H588" t="s">
        <v>74</v>
      </c>
      <c r="I588" t="s">
        <v>11915</v>
      </c>
      <c r="J588" t="s">
        <v>11916</v>
      </c>
      <c r="K588" t="s">
        <v>74</v>
      </c>
      <c r="L588" t="s">
        <v>74</v>
      </c>
      <c r="M588" t="s">
        <v>78</v>
      </c>
      <c r="N588" t="s">
        <v>79</v>
      </c>
      <c r="O588" t="s">
        <v>74</v>
      </c>
      <c r="P588" t="s">
        <v>74</v>
      </c>
      <c r="Q588" t="s">
        <v>74</v>
      </c>
      <c r="R588" t="s">
        <v>74</v>
      </c>
      <c r="S588" t="s">
        <v>74</v>
      </c>
      <c r="T588" t="s">
        <v>11917</v>
      </c>
      <c r="U588" t="s">
        <v>11918</v>
      </c>
      <c r="V588" t="s">
        <v>74</v>
      </c>
      <c r="W588" t="s">
        <v>11919</v>
      </c>
      <c r="X588" t="s">
        <v>11920</v>
      </c>
      <c r="Y588" t="s">
        <v>11921</v>
      </c>
      <c r="Z588" t="s">
        <v>11922</v>
      </c>
      <c r="AA588" t="s">
        <v>11923</v>
      </c>
      <c r="AB588" t="s">
        <v>11924</v>
      </c>
      <c r="AC588" t="s">
        <v>11925</v>
      </c>
      <c r="AD588" t="s">
        <v>11926</v>
      </c>
      <c r="AE588" t="s">
        <v>11927</v>
      </c>
      <c r="AF588" t="s">
        <v>74</v>
      </c>
      <c r="AG588">
        <v>81</v>
      </c>
      <c r="AH588">
        <v>47</v>
      </c>
      <c r="AI588">
        <v>53</v>
      </c>
      <c r="AJ588">
        <v>56</v>
      </c>
      <c r="AK588">
        <v>310</v>
      </c>
      <c r="AL588" t="s">
        <v>275</v>
      </c>
      <c r="AM588" t="s">
        <v>276</v>
      </c>
      <c r="AN588" t="s">
        <v>277</v>
      </c>
      <c r="AO588" t="s">
        <v>11928</v>
      </c>
      <c r="AP588" t="s">
        <v>11929</v>
      </c>
      <c r="AQ588" t="s">
        <v>74</v>
      </c>
      <c r="AR588" t="s">
        <v>11930</v>
      </c>
      <c r="AS588" t="s">
        <v>11931</v>
      </c>
      <c r="AT588" t="s">
        <v>11932</v>
      </c>
      <c r="AU588">
        <v>2020</v>
      </c>
      <c r="AV588">
        <v>396</v>
      </c>
      <c r="AW588" t="s">
        <v>74</v>
      </c>
      <c r="AX588" t="s">
        <v>74</v>
      </c>
      <c r="AY588" t="s">
        <v>74</v>
      </c>
      <c r="AZ588" t="s">
        <v>74</v>
      </c>
      <c r="BA588" t="s">
        <v>74</v>
      </c>
      <c r="BB588" t="s">
        <v>74</v>
      </c>
      <c r="BC588" t="s">
        <v>74</v>
      </c>
      <c r="BD588">
        <v>122742</v>
      </c>
      <c r="BE588" t="s">
        <v>11933</v>
      </c>
      <c r="BF588" t="str">
        <f>HYPERLINK("http://dx.doi.org/10.1016/j.jhazmat.2020.122742","http://dx.doi.org/10.1016/j.jhazmat.2020.122742")</f>
        <v>http://dx.doi.org/10.1016/j.jhazmat.2020.122742</v>
      </c>
      <c r="BG588" t="s">
        <v>74</v>
      </c>
      <c r="BH588" t="s">
        <v>74</v>
      </c>
      <c r="BI588">
        <v>11</v>
      </c>
      <c r="BJ588" t="s">
        <v>945</v>
      </c>
      <c r="BK588" t="s">
        <v>100</v>
      </c>
      <c r="BL588" t="s">
        <v>946</v>
      </c>
      <c r="BM588" t="s">
        <v>11934</v>
      </c>
      <c r="BN588">
        <v>32361301</v>
      </c>
      <c r="BO588" t="s">
        <v>74</v>
      </c>
      <c r="BP588" t="s">
        <v>74</v>
      </c>
      <c r="BQ588" t="s">
        <v>74</v>
      </c>
      <c r="BR588" t="s">
        <v>104</v>
      </c>
      <c r="BS588" t="s">
        <v>11935</v>
      </c>
      <c r="BT588" t="str">
        <f>HYPERLINK("https%3A%2F%2Fwww.webofscience.com%2Fwos%2Fwoscc%2Ffull-record%2FWOS:000541924000074","View Full Record in Web of Science")</f>
        <v>View Full Record in Web of Science</v>
      </c>
    </row>
    <row r="589" spans="1:72" x14ac:dyDescent="0.15">
      <c r="A589" t="s">
        <v>72</v>
      </c>
      <c r="B589" t="s">
        <v>11936</v>
      </c>
      <c r="C589" t="s">
        <v>74</v>
      </c>
      <c r="D589" t="s">
        <v>74</v>
      </c>
      <c r="E589" t="s">
        <v>74</v>
      </c>
      <c r="F589" t="s">
        <v>11937</v>
      </c>
      <c r="G589" t="s">
        <v>74</v>
      </c>
      <c r="H589" t="s">
        <v>74</v>
      </c>
      <c r="I589" t="s">
        <v>11938</v>
      </c>
      <c r="J589" t="s">
        <v>853</v>
      </c>
      <c r="K589" t="s">
        <v>74</v>
      </c>
      <c r="L589" t="s">
        <v>74</v>
      </c>
      <c r="M589" t="s">
        <v>78</v>
      </c>
      <c r="N589" t="s">
        <v>79</v>
      </c>
      <c r="O589" t="s">
        <v>74</v>
      </c>
      <c r="P589" t="s">
        <v>74</v>
      </c>
      <c r="Q589" t="s">
        <v>74</v>
      </c>
      <c r="R589" t="s">
        <v>74</v>
      </c>
      <c r="S589" t="s">
        <v>74</v>
      </c>
      <c r="T589" t="s">
        <v>11939</v>
      </c>
      <c r="U589" t="s">
        <v>11940</v>
      </c>
      <c r="V589" t="s">
        <v>11941</v>
      </c>
      <c r="W589" t="s">
        <v>11942</v>
      </c>
      <c r="X589" t="s">
        <v>74</v>
      </c>
      <c r="Y589" t="s">
        <v>11943</v>
      </c>
      <c r="Z589" t="s">
        <v>11944</v>
      </c>
      <c r="AA589" t="s">
        <v>11945</v>
      </c>
      <c r="AB589" t="s">
        <v>11946</v>
      </c>
      <c r="AC589" t="s">
        <v>11947</v>
      </c>
      <c r="AD589" t="s">
        <v>11948</v>
      </c>
      <c r="AE589" t="s">
        <v>11949</v>
      </c>
      <c r="AF589" t="s">
        <v>74</v>
      </c>
      <c r="AG589">
        <v>59</v>
      </c>
      <c r="AH589">
        <v>5</v>
      </c>
      <c r="AI589">
        <v>5</v>
      </c>
      <c r="AJ589">
        <v>2</v>
      </c>
      <c r="AK589">
        <v>14</v>
      </c>
      <c r="AL589" t="s">
        <v>866</v>
      </c>
      <c r="AM589" t="s">
        <v>867</v>
      </c>
      <c r="AN589" t="s">
        <v>868</v>
      </c>
      <c r="AO589" t="s">
        <v>869</v>
      </c>
      <c r="AP589" t="s">
        <v>74</v>
      </c>
      <c r="AQ589" t="s">
        <v>74</v>
      </c>
      <c r="AR589" t="s">
        <v>870</v>
      </c>
      <c r="AS589" t="s">
        <v>871</v>
      </c>
      <c r="AT589" t="s">
        <v>11950</v>
      </c>
      <c r="AU589">
        <v>2020</v>
      </c>
      <c r="AV589">
        <v>8</v>
      </c>
      <c r="AW589" t="s">
        <v>74</v>
      </c>
      <c r="AX589" t="s">
        <v>74</v>
      </c>
      <c r="AY589" t="s">
        <v>74</v>
      </c>
      <c r="AZ589" t="s">
        <v>74</v>
      </c>
      <c r="BA589" t="s">
        <v>74</v>
      </c>
      <c r="BB589" t="s">
        <v>74</v>
      </c>
      <c r="BC589" t="s">
        <v>74</v>
      </c>
      <c r="BD589">
        <v>262</v>
      </c>
      <c r="BE589" t="s">
        <v>11951</v>
      </c>
      <c r="BF589" t="str">
        <f>HYPERLINK("http://dx.doi.org/10.3389/fevo.2020.00262","http://dx.doi.org/10.3389/fevo.2020.00262")</f>
        <v>http://dx.doi.org/10.3389/fevo.2020.00262</v>
      </c>
      <c r="BG589" t="s">
        <v>74</v>
      </c>
      <c r="BH589" t="s">
        <v>74</v>
      </c>
      <c r="BI589">
        <v>10</v>
      </c>
      <c r="BJ589" t="s">
        <v>823</v>
      </c>
      <c r="BK589" t="s">
        <v>100</v>
      </c>
      <c r="BL589" t="s">
        <v>284</v>
      </c>
      <c r="BM589" t="s">
        <v>11952</v>
      </c>
      <c r="BN589" t="s">
        <v>74</v>
      </c>
      <c r="BO589" t="s">
        <v>202</v>
      </c>
      <c r="BP589" t="s">
        <v>74</v>
      </c>
      <c r="BQ589" t="s">
        <v>74</v>
      </c>
      <c r="BR589" t="s">
        <v>104</v>
      </c>
      <c r="BS589" t="s">
        <v>11953</v>
      </c>
      <c r="BT589" t="str">
        <f>HYPERLINK("https%3A%2F%2Fwww.webofscience.com%2Fwos%2Fwoscc%2Ffull-record%2FWOS:000573808000001","View Full Record in Web of Science")</f>
        <v>View Full Record in Web of Science</v>
      </c>
    </row>
    <row r="590" spans="1:72" x14ac:dyDescent="0.15">
      <c r="A590" t="s">
        <v>72</v>
      </c>
      <c r="B590" t="s">
        <v>11954</v>
      </c>
      <c r="C590" t="s">
        <v>74</v>
      </c>
      <c r="D590" t="s">
        <v>74</v>
      </c>
      <c r="E590" t="s">
        <v>74</v>
      </c>
      <c r="F590" t="s">
        <v>11955</v>
      </c>
      <c r="G590" t="s">
        <v>74</v>
      </c>
      <c r="H590" t="s">
        <v>74</v>
      </c>
      <c r="I590" t="s">
        <v>11956</v>
      </c>
      <c r="J590" t="s">
        <v>77</v>
      </c>
      <c r="K590" t="s">
        <v>74</v>
      </c>
      <c r="L590" t="s">
        <v>74</v>
      </c>
      <c r="M590" t="s">
        <v>78</v>
      </c>
      <c r="N590" t="s">
        <v>79</v>
      </c>
      <c r="O590" t="s">
        <v>74</v>
      </c>
      <c r="P590" t="s">
        <v>74</v>
      </c>
      <c r="Q590" t="s">
        <v>74</v>
      </c>
      <c r="R590" t="s">
        <v>74</v>
      </c>
      <c r="S590" t="s">
        <v>74</v>
      </c>
      <c r="T590" t="s">
        <v>74</v>
      </c>
      <c r="U590" t="s">
        <v>11957</v>
      </c>
      <c r="V590" t="s">
        <v>11958</v>
      </c>
      <c r="W590" t="s">
        <v>11959</v>
      </c>
      <c r="X590" t="s">
        <v>11960</v>
      </c>
      <c r="Y590" t="s">
        <v>11961</v>
      </c>
      <c r="Z590" t="s">
        <v>11962</v>
      </c>
      <c r="AA590" t="s">
        <v>11963</v>
      </c>
      <c r="AB590" t="s">
        <v>11964</v>
      </c>
      <c r="AC590" t="s">
        <v>11965</v>
      </c>
      <c r="AD590" t="s">
        <v>11966</v>
      </c>
      <c r="AE590" t="s">
        <v>11967</v>
      </c>
      <c r="AF590" t="s">
        <v>74</v>
      </c>
      <c r="AG590">
        <v>62</v>
      </c>
      <c r="AH590">
        <v>9</v>
      </c>
      <c r="AI590">
        <v>10</v>
      </c>
      <c r="AJ590">
        <v>3</v>
      </c>
      <c r="AK590">
        <v>11</v>
      </c>
      <c r="AL590" t="s">
        <v>91</v>
      </c>
      <c r="AM590" t="s">
        <v>92</v>
      </c>
      <c r="AN590" t="s">
        <v>93</v>
      </c>
      <c r="AO590" t="s">
        <v>94</v>
      </c>
      <c r="AP590" t="s">
        <v>95</v>
      </c>
      <c r="AQ590" t="s">
        <v>74</v>
      </c>
      <c r="AR590" t="s">
        <v>77</v>
      </c>
      <c r="AS590" t="s">
        <v>96</v>
      </c>
      <c r="AT590" t="s">
        <v>11950</v>
      </c>
      <c r="AU590">
        <v>2020</v>
      </c>
      <c r="AV590">
        <v>14</v>
      </c>
      <c r="AW590">
        <v>9</v>
      </c>
      <c r="AX590" t="s">
        <v>74</v>
      </c>
      <c r="AY590" t="s">
        <v>74</v>
      </c>
      <c r="AZ590" t="s">
        <v>74</v>
      </c>
      <c r="BA590" t="s">
        <v>74</v>
      </c>
      <c r="BB590">
        <v>2849</v>
      </c>
      <c r="BC590">
        <v>2867</v>
      </c>
      <c r="BD590" t="s">
        <v>74</v>
      </c>
      <c r="BE590" t="s">
        <v>11968</v>
      </c>
      <c r="BF590" t="str">
        <f>HYPERLINK("http://dx.doi.org/10.5194/tc-14-2849-2020","http://dx.doi.org/10.5194/tc-14-2849-2020")</f>
        <v>http://dx.doi.org/10.5194/tc-14-2849-2020</v>
      </c>
      <c r="BG590" t="s">
        <v>74</v>
      </c>
      <c r="BH590" t="s">
        <v>74</v>
      </c>
      <c r="BI590">
        <v>19</v>
      </c>
      <c r="BJ590" t="s">
        <v>99</v>
      </c>
      <c r="BK590" t="s">
        <v>100</v>
      </c>
      <c r="BL590" t="s">
        <v>101</v>
      </c>
      <c r="BM590" t="s">
        <v>11969</v>
      </c>
      <c r="BN590" t="s">
        <v>74</v>
      </c>
      <c r="BO590" t="s">
        <v>332</v>
      </c>
      <c r="BP590" t="s">
        <v>74</v>
      </c>
      <c r="BQ590" t="s">
        <v>74</v>
      </c>
      <c r="BR590" t="s">
        <v>104</v>
      </c>
      <c r="BS590" t="s">
        <v>11970</v>
      </c>
      <c r="BT590" t="str">
        <f>HYPERLINK("https%3A%2F%2Fwww.webofscience.com%2Fwos%2Fwoscc%2Ffull-record%2FWOS:000569374500001","View Full Record in Web of Science")</f>
        <v>View Full Record in Web of Science</v>
      </c>
    </row>
    <row r="591" spans="1:72" x14ac:dyDescent="0.15">
      <c r="A591" t="s">
        <v>72</v>
      </c>
      <c r="B591" t="s">
        <v>11971</v>
      </c>
      <c r="C591" t="s">
        <v>74</v>
      </c>
      <c r="D591" t="s">
        <v>74</v>
      </c>
      <c r="E591" t="s">
        <v>74</v>
      </c>
      <c r="F591" t="s">
        <v>11972</v>
      </c>
      <c r="G591" t="s">
        <v>74</v>
      </c>
      <c r="H591" t="s">
        <v>74</v>
      </c>
      <c r="I591" t="s">
        <v>11973</v>
      </c>
      <c r="J591" t="s">
        <v>9871</v>
      </c>
      <c r="K591" t="s">
        <v>74</v>
      </c>
      <c r="L591" t="s">
        <v>74</v>
      </c>
      <c r="M591" t="s">
        <v>78</v>
      </c>
      <c r="N591" t="s">
        <v>79</v>
      </c>
      <c r="O591" t="s">
        <v>74</v>
      </c>
      <c r="P591" t="s">
        <v>74</v>
      </c>
      <c r="Q591" t="s">
        <v>74</v>
      </c>
      <c r="R591" t="s">
        <v>74</v>
      </c>
      <c r="S591" t="s">
        <v>74</v>
      </c>
      <c r="T591" t="s">
        <v>74</v>
      </c>
      <c r="U591" t="s">
        <v>11974</v>
      </c>
      <c r="V591" t="s">
        <v>11975</v>
      </c>
      <c r="W591" t="s">
        <v>11976</v>
      </c>
      <c r="X591" t="s">
        <v>11977</v>
      </c>
      <c r="Y591" t="s">
        <v>11978</v>
      </c>
      <c r="Z591" t="s">
        <v>11979</v>
      </c>
      <c r="AA591" t="s">
        <v>74</v>
      </c>
      <c r="AB591" t="s">
        <v>74</v>
      </c>
      <c r="AC591" t="s">
        <v>11980</v>
      </c>
      <c r="AD591" t="s">
        <v>11981</v>
      </c>
      <c r="AE591" t="s">
        <v>11982</v>
      </c>
      <c r="AF591" t="s">
        <v>74</v>
      </c>
      <c r="AG591">
        <v>54</v>
      </c>
      <c r="AH591">
        <v>4</v>
      </c>
      <c r="AI591">
        <v>5</v>
      </c>
      <c r="AJ591">
        <v>0</v>
      </c>
      <c r="AK591">
        <v>3</v>
      </c>
      <c r="AL591" t="s">
        <v>219</v>
      </c>
      <c r="AM591" t="s">
        <v>220</v>
      </c>
      <c r="AN591" t="s">
        <v>221</v>
      </c>
      <c r="AO591" t="s">
        <v>9880</v>
      </c>
      <c r="AP591" t="s">
        <v>9881</v>
      </c>
      <c r="AQ591" t="s">
        <v>74</v>
      </c>
      <c r="AR591" t="s">
        <v>9882</v>
      </c>
      <c r="AS591" t="s">
        <v>9883</v>
      </c>
      <c r="AT591" t="s">
        <v>11892</v>
      </c>
      <c r="AU591">
        <v>2020</v>
      </c>
      <c r="AV591">
        <v>55</v>
      </c>
      <c r="AW591">
        <v>9</v>
      </c>
      <c r="AX591" t="s">
        <v>74</v>
      </c>
      <c r="AY591" t="s">
        <v>74</v>
      </c>
      <c r="AZ591" t="s">
        <v>74</v>
      </c>
      <c r="BA591" t="s">
        <v>74</v>
      </c>
      <c r="BB591">
        <v>2007</v>
      </c>
      <c r="BC591">
        <v>2020</v>
      </c>
      <c r="BD591" t="s">
        <v>74</v>
      </c>
      <c r="BE591" t="s">
        <v>11983</v>
      </c>
      <c r="BF591" t="str">
        <f>HYPERLINK("http://dx.doi.org/10.1111/maps.13562","http://dx.doi.org/10.1111/maps.13562")</f>
        <v>http://dx.doi.org/10.1111/maps.13562</v>
      </c>
      <c r="BG591" t="s">
        <v>74</v>
      </c>
      <c r="BH591" t="s">
        <v>9526</v>
      </c>
      <c r="BI591">
        <v>14</v>
      </c>
      <c r="BJ591" t="s">
        <v>1361</v>
      </c>
      <c r="BK591" t="s">
        <v>100</v>
      </c>
      <c r="BL591" t="s">
        <v>1361</v>
      </c>
      <c r="BM591" t="s">
        <v>11984</v>
      </c>
      <c r="BN591" t="s">
        <v>74</v>
      </c>
      <c r="BO591" t="s">
        <v>74</v>
      </c>
      <c r="BP591" t="s">
        <v>74</v>
      </c>
      <c r="BQ591" t="s">
        <v>74</v>
      </c>
      <c r="BR591" t="s">
        <v>104</v>
      </c>
      <c r="BS591" t="s">
        <v>11985</v>
      </c>
      <c r="BT591" t="str">
        <f>HYPERLINK("https%3A%2F%2Fwww.webofscience.com%2Fwos%2Fwoscc%2Ffull-record%2FWOS:000565686300001","View Full Record in Web of Science")</f>
        <v>View Full Record in Web of Science</v>
      </c>
    </row>
    <row r="592" spans="1:72" x14ac:dyDescent="0.15">
      <c r="A592" t="s">
        <v>72</v>
      </c>
      <c r="B592" t="s">
        <v>11986</v>
      </c>
      <c r="C592" t="s">
        <v>74</v>
      </c>
      <c r="D592" t="s">
        <v>74</v>
      </c>
      <c r="E592" t="s">
        <v>74</v>
      </c>
      <c r="F592" t="s">
        <v>11987</v>
      </c>
      <c r="G592" t="s">
        <v>74</v>
      </c>
      <c r="H592" t="s">
        <v>74</v>
      </c>
      <c r="I592" t="s">
        <v>11988</v>
      </c>
      <c r="J592" t="s">
        <v>9580</v>
      </c>
      <c r="K592" t="s">
        <v>74</v>
      </c>
      <c r="L592" t="s">
        <v>74</v>
      </c>
      <c r="M592" t="s">
        <v>78</v>
      </c>
      <c r="N592" t="s">
        <v>79</v>
      </c>
      <c r="O592" t="s">
        <v>74</v>
      </c>
      <c r="P592" t="s">
        <v>74</v>
      </c>
      <c r="Q592" t="s">
        <v>74</v>
      </c>
      <c r="R592" t="s">
        <v>74</v>
      </c>
      <c r="S592" t="s">
        <v>74</v>
      </c>
      <c r="T592" t="s">
        <v>74</v>
      </c>
      <c r="U592" t="s">
        <v>11989</v>
      </c>
      <c r="V592" t="s">
        <v>11990</v>
      </c>
      <c r="W592" t="s">
        <v>11991</v>
      </c>
      <c r="X592" t="s">
        <v>11992</v>
      </c>
      <c r="Y592" t="s">
        <v>11993</v>
      </c>
      <c r="Z592" t="s">
        <v>11994</v>
      </c>
      <c r="AA592" t="s">
        <v>11995</v>
      </c>
      <c r="AB592" t="s">
        <v>11996</v>
      </c>
      <c r="AC592" t="s">
        <v>11997</v>
      </c>
      <c r="AD592" t="s">
        <v>11998</v>
      </c>
      <c r="AE592" t="s">
        <v>11999</v>
      </c>
      <c r="AF592" t="s">
        <v>74</v>
      </c>
      <c r="AG592">
        <v>82</v>
      </c>
      <c r="AH592">
        <v>4</v>
      </c>
      <c r="AI592">
        <v>4</v>
      </c>
      <c r="AJ592">
        <v>1</v>
      </c>
      <c r="AK592">
        <v>15</v>
      </c>
      <c r="AL592" t="s">
        <v>581</v>
      </c>
      <c r="AM592" t="s">
        <v>582</v>
      </c>
      <c r="AN592" t="s">
        <v>583</v>
      </c>
      <c r="AO592" t="s">
        <v>9592</v>
      </c>
      <c r="AP592" t="s">
        <v>9593</v>
      </c>
      <c r="AQ592" t="s">
        <v>74</v>
      </c>
      <c r="AR592" t="s">
        <v>9594</v>
      </c>
      <c r="AS592" t="s">
        <v>9595</v>
      </c>
      <c r="AT592" t="s">
        <v>10451</v>
      </c>
      <c r="AU592">
        <v>2020</v>
      </c>
      <c r="AV592">
        <v>167</v>
      </c>
      <c r="AW592">
        <v>10</v>
      </c>
      <c r="AX592" t="s">
        <v>74</v>
      </c>
      <c r="AY592" t="s">
        <v>74</v>
      </c>
      <c r="AZ592" t="s">
        <v>74</v>
      </c>
      <c r="BA592" t="s">
        <v>74</v>
      </c>
      <c r="BB592" t="s">
        <v>74</v>
      </c>
      <c r="BC592" t="s">
        <v>74</v>
      </c>
      <c r="BD592">
        <v>143</v>
      </c>
      <c r="BE592" t="s">
        <v>12000</v>
      </c>
      <c r="BF592" t="str">
        <f>HYPERLINK("http://dx.doi.org/10.1007/s00227-020-03746-2","http://dx.doi.org/10.1007/s00227-020-03746-2")</f>
        <v>http://dx.doi.org/10.1007/s00227-020-03746-2</v>
      </c>
      <c r="BG592" t="s">
        <v>74</v>
      </c>
      <c r="BH592" t="s">
        <v>74</v>
      </c>
      <c r="BI592">
        <v>13</v>
      </c>
      <c r="BJ592" t="s">
        <v>9597</v>
      </c>
      <c r="BK592" t="s">
        <v>100</v>
      </c>
      <c r="BL592" t="s">
        <v>9597</v>
      </c>
      <c r="BM592" t="s">
        <v>12001</v>
      </c>
      <c r="BN592" t="s">
        <v>74</v>
      </c>
      <c r="BO592" t="s">
        <v>74</v>
      </c>
      <c r="BP592" t="s">
        <v>74</v>
      </c>
      <c r="BQ592" t="s">
        <v>74</v>
      </c>
      <c r="BR592" t="s">
        <v>104</v>
      </c>
      <c r="BS592" t="s">
        <v>12002</v>
      </c>
      <c r="BT592" t="str">
        <f>HYPERLINK("https%3A%2F%2Fwww.webofscience.com%2Fwos%2Fwoscc%2Ffull-record%2FWOS:000569774900003","View Full Record in Web of Science")</f>
        <v>View Full Record in Web of Science</v>
      </c>
    </row>
    <row r="593" spans="1:72" x14ac:dyDescent="0.15">
      <c r="A593" t="s">
        <v>72</v>
      </c>
      <c r="B593" t="s">
        <v>12003</v>
      </c>
      <c r="C593" t="s">
        <v>74</v>
      </c>
      <c r="D593" t="s">
        <v>74</v>
      </c>
      <c r="E593" t="s">
        <v>74</v>
      </c>
      <c r="F593" t="s">
        <v>12004</v>
      </c>
      <c r="G593" t="s">
        <v>74</v>
      </c>
      <c r="H593" t="s">
        <v>74</v>
      </c>
      <c r="I593" t="s">
        <v>12005</v>
      </c>
      <c r="J593" t="s">
        <v>12006</v>
      </c>
      <c r="K593" t="s">
        <v>74</v>
      </c>
      <c r="L593" t="s">
        <v>74</v>
      </c>
      <c r="M593" t="s">
        <v>78</v>
      </c>
      <c r="N593" t="s">
        <v>79</v>
      </c>
      <c r="O593" t="s">
        <v>74</v>
      </c>
      <c r="P593" t="s">
        <v>74</v>
      </c>
      <c r="Q593" t="s">
        <v>74</v>
      </c>
      <c r="R593" t="s">
        <v>74</v>
      </c>
      <c r="S593" t="s">
        <v>74</v>
      </c>
      <c r="T593" t="s">
        <v>12007</v>
      </c>
      <c r="U593" t="s">
        <v>12008</v>
      </c>
      <c r="V593" t="s">
        <v>12009</v>
      </c>
      <c r="W593" t="s">
        <v>12010</v>
      </c>
      <c r="X593" t="s">
        <v>12011</v>
      </c>
      <c r="Y593" t="s">
        <v>12012</v>
      </c>
      <c r="Z593" t="s">
        <v>12013</v>
      </c>
      <c r="AA593" t="s">
        <v>12014</v>
      </c>
      <c r="AB593" t="s">
        <v>12015</v>
      </c>
      <c r="AC593" t="s">
        <v>12016</v>
      </c>
      <c r="AD593" t="s">
        <v>12017</v>
      </c>
      <c r="AE593" t="s">
        <v>12018</v>
      </c>
      <c r="AF593" t="s">
        <v>74</v>
      </c>
      <c r="AG593">
        <v>259</v>
      </c>
      <c r="AH593">
        <v>14</v>
      </c>
      <c r="AI593">
        <v>15</v>
      </c>
      <c r="AJ593">
        <v>4</v>
      </c>
      <c r="AK593">
        <v>53</v>
      </c>
      <c r="AL593" t="s">
        <v>482</v>
      </c>
      <c r="AM593" t="s">
        <v>554</v>
      </c>
      <c r="AN593" t="s">
        <v>555</v>
      </c>
      <c r="AO593" t="s">
        <v>12019</v>
      </c>
      <c r="AP593" t="s">
        <v>12020</v>
      </c>
      <c r="AQ593" t="s">
        <v>74</v>
      </c>
      <c r="AR593" t="s">
        <v>12021</v>
      </c>
      <c r="AS593" t="s">
        <v>12022</v>
      </c>
      <c r="AT593" t="s">
        <v>1212</v>
      </c>
      <c r="AU593">
        <v>2020</v>
      </c>
      <c r="AV593">
        <v>41</v>
      </c>
      <c r="AW593">
        <v>6</v>
      </c>
      <c r="AX593" t="s">
        <v>74</v>
      </c>
      <c r="AY593" t="s">
        <v>74</v>
      </c>
      <c r="AZ593" t="s">
        <v>489</v>
      </c>
      <c r="BA593" t="s">
        <v>74</v>
      </c>
      <c r="BB593">
        <v>1237</v>
      </c>
      <c r="BC593">
        <v>1284</v>
      </c>
      <c r="BD593" t="s">
        <v>74</v>
      </c>
      <c r="BE593" t="s">
        <v>12023</v>
      </c>
      <c r="BF593" t="str">
        <f>HYPERLINK("http://dx.doi.org/10.1007/s10712-020-09604-6","http://dx.doi.org/10.1007/s10712-020-09604-6")</f>
        <v>http://dx.doi.org/10.1007/s10712-020-09604-6</v>
      </c>
      <c r="BG593" t="s">
        <v>74</v>
      </c>
      <c r="BH593" t="s">
        <v>9526</v>
      </c>
      <c r="BI593">
        <v>48</v>
      </c>
      <c r="BJ593" t="s">
        <v>1361</v>
      </c>
      <c r="BK593" t="s">
        <v>100</v>
      </c>
      <c r="BL593" t="s">
        <v>1361</v>
      </c>
      <c r="BM593" t="s">
        <v>12024</v>
      </c>
      <c r="BN593" t="s">
        <v>74</v>
      </c>
      <c r="BO593" t="s">
        <v>1259</v>
      </c>
      <c r="BP593" t="s">
        <v>74</v>
      </c>
      <c r="BQ593" t="s">
        <v>74</v>
      </c>
      <c r="BR593" t="s">
        <v>104</v>
      </c>
      <c r="BS593" t="s">
        <v>12025</v>
      </c>
      <c r="BT593" t="str">
        <f>HYPERLINK("https%3A%2F%2Fwww.webofscience.com%2Fwos%2Fwoscc%2Ffull-record%2FWOS:000565834600001","View Full Record in Web of Science")</f>
        <v>View Full Record in Web of Science</v>
      </c>
    </row>
    <row r="594" spans="1:72" x14ac:dyDescent="0.15">
      <c r="A594" t="s">
        <v>72</v>
      </c>
      <c r="B594" t="s">
        <v>12026</v>
      </c>
      <c r="C594" t="s">
        <v>74</v>
      </c>
      <c r="D594" t="s">
        <v>74</v>
      </c>
      <c r="E594" t="s">
        <v>74</v>
      </c>
      <c r="F594" t="s">
        <v>12027</v>
      </c>
      <c r="G594" t="s">
        <v>74</v>
      </c>
      <c r="H594" t="s">
        <v>74</v>
      </c>
      <c r="I594" t="s">
        <v>12028</v>
      </c>
      <c r="J594" t="s">
        <v>4350</v>
      </c>
      <c r="K594" t="s">
        <v>74</v>
      </c>
      <c r="L594" t="s">
        <v>74</v>
      </c>
      <c r="M594" t="s">
        <v>78</v>
      </c>
      <c r="N594" t="s">
        <v>79</v>
      </c>
      <c r="O594" t="s">
        <v>74</v>
      </c>
      <c r="P594" t="s">
        <v>74</v>
      </c>
      <c r="Q594" t="s">
        <v>74</v>
      </c>
      <c r="R594" t="s">
        <v>74</v>
      </c>
      <c r="S594" t="s">
        <v>74</v>
      </c>
      <c r="T594" t="s">
        <v>12029</v>
      </c>
      <c r="U594" t="s">
        <v>12030</v>
      </c>
      <c r="V594" t="s">
        <v>12031</v>
      </c>
      <c r="W594" t="s">
        <v>12032</v>
      </c>
      <c r="X594" t="s">
        <v>12033</v>
      </c>
      <c r="Y594" t="s">
        <v>12034</v>
      </c>
      <c r="Z594" t="s">
        <v>12035</v>
      </c>
      <c r="AA594" t="s">
        <v>12036</v>
      </c>
      <c r="AB594" t="s">
        <v>12037</v>
      </c>
      <c r="AC594" t="s">
        <v>12038</v>
      </c>
      <c r="AD594" t="s">
        <v>12039</v>
      </c>
      <c r="AE594" t="s">
        <v>12040</v>
      </c>
      <c r="AF594" t="s">
        <v>74</v>
      </c>
      <c r="AG594">
        <v>109</v>
      </c>
      <c r="AH594">
        <v>28</v>
      </c>
      <c r="AI594">
        <v>31</v>
      </c>
      <c r="AJ594">
        <v>13</v>
      </c>
      <c r="AK594">
        <v>21</v>
      </c>
      <c r="AL594" t="s">
        <v>482</v>
      </c>
      <c r="AM594" t="s">
        <v>554</v>
      </c>
      <c r="AN594" t="s">
        <v>555</v>
      </c>
      <c r="AO594" t="s">
        <v>4363</v>
      </c>
      <c r="AP594" t="s">
        <v>4364</v>
      </c>
      <c r="AQ594" t="s">
        <v>74</v>
      </c>
      <c r="AR594" t="s">
        <v>4350</v>
      </c>
      <c r="AS594" t="s">
        <v>4365</v>
      </c>
      <c r="AT594" t="s">
        <v>252</v>
      </c>
      <c r="AU594">
        <v>2021</v>
      </c>
      <c r="AV594">
        <v>50</v>
      </c>
      <c r="AW594">
        <v>1</v>
      </c>
      <c r="AX594" t="s">
        <v>74</v>
      </c>
      <c r="AY594" t="s">
        <v>74</v>
      </c>
      <c r="AZ594" t="s">
        <v>489</v>
      </c>
      <c r="BA594" t="s">
        <v>74</v>
      </c>
      <c r="BB594">
        <v>242</v>
      </c>
      <c r="BC594">
        <v>259</v>
      </c>
      <c r="BD594" t="s">
        <v>74</v>
      </c>
      <c r="BE594" t="s">
        <v>12041</v>
      </c>
      <c r="BF594" t="str">
        <f>HYPERLINK("http://dx.doi.org/10.1007/s13280-020-01371-3","http://dx.doi.org/10.1007/s13280-020-01371-3")</f>
        <v>http://dx.doi.org/10.1007/s13280-020-01371-3</v>
      </c>
      <c r="BG594" t="s">
        <v>74</v>
      </c>
      <c r="BH594" t="s">
        <v>9526</v>
      </c>
      <c r="BI594">
        <v>18</v>
      </c>
      <c r="BJ594" t="s">
        <v>945</v>
      </c>
      <c r="BK594" t="s">
        <v>255</v>
      </c>
      <c r="BL594" t="s">
        <v>946</v>
      </c>
      <c r="BM594" t="s">
        <v>12042</v>
      </c>
      <c r="BN594">
        <v>32885401</v>
      </c>
      <c r="BO594" t="s">
        <v>564</v>
      </c>
      <c r="BP594" t="s">
        <v>74</v>
      </c>
      <c r="BQ594" t="s">
        <v>74</v>
      </c>
      <c r="BR594" t="s">
        <v>104</v>
      </c>
      <c r="BS594" t="s">
        <v>12043</v>
      </c>
      <c r="BT594" t="str">
        <f>HYPERLINK("https%3A%2F%2Fwww.webofscience.com%2Fwos%2Fwoscc%2Ffull-record%2FWOS:000565814900002","View Full Record in Web of Science")</f>
        <v>View Full Record in Web of Science</v>
      </c>
    </row>
    <row r="595" spans="1:72" x14ac:dyDescent="0.15">
      <c r="A595" t="s">
        <v>72</v>
      </c>
      <c r="B595" t="s">
        <v>12044</v>
      </c>
      <c r="C595" t="s">
        <v>74</v>
      </c>
      <c r="D595" t="s">
        <v>74</v>
      </c>
      <c r="E595" t="s">
        <v>74</v>
      </c>
      <c r="F595" t="s">
        <v>12045</v>
      </c>
      <c r="G595" t="s">
        <v>74</v>
      </c>
      <c r="H595" t="s">
        <v>74</v>
      </c>
      <c r="I595" t="s">
        <v>12046</v>
      </c>
      <c r="J595" t="s">
        <v>4046</v>
      </c>
      <c r="K595" t="s">
        <v>74</v>
      </c>
      <c r="L595" t="s">
        <v>74</v>
      </c>
      <c r="M595" t="s">
        <v>78</v>
      </c>
      <c r="N595" t="s">
        <v>79</v>
      </c>
      <c r="O595" t="s">
        <v>74</v>
      </c>
      <c r="P595" t="s">
        <v>74</v>
      </c>
      <c r="Q595" t="s">
        <v>74</v>
      </c>
      <c r="R595" t="s">
        <v>74</v>
      </c>
      <c r="S595" t="s">
        <v>74</v>
      </c>
      <c r="T595" t="s">
        <v>12047</v>
      </c>
      <c r="U595" t="s">
        <v>12048</v>
      </c>
      <c r="V595" t="s">
        <v>12049</v>
      </c>
      <c r="W595" t="s">
        <v>12050</v>
      </c>
      <c r="X595" t="s">
        <v>12051</v>
      </c>
      <c r="Y595" t="s">
        <v>12052</v>
      </c>
      <c r="Z595" t="s">
        <v>12053</v>
      </c>
      <c r="AA595" t="s">
        <v>12054</v>
      </c>
      <c r="AB595" t="s">
        <v>12055</v>
      </c>
      <c r="AC595" t="s">
        <v>12056</v>
      </c>
      <c r="AD595" t="s">
        <v>12057</v>
      </c>
      <c r="AE595" t="s">
        <v>12058</v>
      </c>
      <c r="AF595" t="s">
        <v>74</v>
      </c>
      <c r="AG595">
        <v>36</v>
      </c>
      <c r="AH595">
        <v>13</v>
      </c>
      <c r="AI595">
        <v>13</v>
      </c>
      <c r="AJ595">
        <v>2</v>
      </c>
      <c r="AK595">
        <v>21</v>
      </c>
      <c r="AL595" t="s">
        <v>866</v>
      </c>
      <c r="AM595" t="s">
        <v>867</v>
      </c>
      <c r="AN595" t="s">
        <v>868</v>
      </c>
      <c r="AO595" t="s">
        <v>4058</v>
      </c>
      <c r="AP595" t="s">
        <v>74</v>
      </c>
      <c r="AQ595" t="s">
        <v>74</v>
      </c>
      <c r="AR595" t="s">
        <v>4059</v>
      </c>
      <c r="AS595" t="s">
        <v>4060</v>
      </c>
      <c r="AT595" t="s">
        <v>10451</v>
      </c>
      <c r="AU595">
        <v>2020</v>
      </c>
      <c r="AV595">
        <v>11</v>
      </c>
      <c r="AW595" t="s">
        <v>74</v>
      </c>
      <c r="AX595" t="s">
        <v>74</v>
      </c>
      <c r="AY595" t="s">
        <v>74</v>
      </c>
      <c r="AZ595" t="s">
        <v>74</v>
      </c>
      <c r="BA595" t="s">
        <v>74</v>
      </c>
      <c r="BB595" t="s">
        <v>74</v>
      </c>
      <c r="BC595" t="s">
        <v>74</v>
      </c>
      <c r="BD595">
        <v>570836</v>
      </c>
      <c r="BE595" t="s">
        <v>12059</v>
      </c>
      <c r="BF595" t="str">
        <f>HYPERLINK("http://dx.doi.org/10.3389/fmicb.2020.570836","http://dx.doi.org/10.3389/fmicb.2020.570836")</f>
        <v>http://dx.doi.org/10.3389/fmicb.2020.570836</v>
      </c>
      <c r="BG595" t="s">
        <v>74</v>
      </c>
      <c r="BH595" t="s">
        <v>74</v>
      </c>
      <c r="BI595">
        <v>13</v>
      </c>
      <c r="BJ595" t="s">
        <v>229</v>
      </c>
      <c r="BK595" t="s">
        <v>100</v>
      </c>
      <c r="BL595" t="s">
        <v>229</v>
      </c>
      <c r="BM595" t="s">
        <v>12060</v>
      </c>
      <c r="BN595">
        <v>33013802</v>
      </c>
      <c r="BO595" t="s">
        <v>2113</v>
      </c>
      <c r="BP595" t="s">
        <v>74</v>
      </c>
      <c r="BQ595" t="s">
        <v>74</v>
      </c>
      <c r="BR595" t="s">
        <v>104</v>
      </c>
      <c r="BS595" t="s">
        <v>12061</v>
      </c>
      <c r="BT595" t="str">
        <f>HYPERLINK("https%3A%2F%2Fwww.webofscience.com%2Fwos%2Fwoscc%2Ffull-record%2FWOS:000572509000001","View Full Record in Web of Science")</f>
        <v>View Full Record in Web of Science</v>
      </c>
    </row>
    <row r="596" spans="1:72" x14ac:dyDescent="0.15">
      <c r="A596" t="s">
        <v>72</v>
      </c>
      <c r="B596" t="s">
        <v>12062</v>
      </c>
      <c r="C596" t="s">
        <v>74</v>
      </c>
      <c r="D596" t="s">
        <v>74</v>
      </c>
      <c r="E596" t="s">
        <v>74</v>
      </c>
      <c r="F596" t="s">
        <v>12063</v>
      </c>
      <c r="G596" t="s">
        <v>74</v>
      </c>
      <c r="H596" t="s">
        <v>74</v>
      </c>
      <c r="I596" t="s">
        <v>12064</v>
      </c>
      <c r="J596" t="s">
        <v>853</v>
      </c>
      <c r="K596" t="s">
        <v>74</v>
      </c>
      <c r="L596" t="s">
        <v>74</v>
      </c>
      <c r="M596" t="s">
        <v>78</v>
      </c>
      <c r="N596" t="s">
        <v>79</v>
      </c>
      <c r="O596" t="s">
        <v>74</v>
      </c>
      <c r="P596" t="s">
        <v>74</v>
      </c>
      <c r="Q596" t="s">
        <v>74</v>
      </c>
      <c r="R596" t="s">
        <v>74</v>
      </c>
      <c r="S596" t="s">
        <v>74</v>
      </c>
      <c r="T596" t="s">
        <v>12065</v>
      </c>
      <c r="U596" t="s">
        <v>12066</v>
      </c>
      <c r="V596" t="s">
        <v>12067</v>
      </c>
      <c r="W596" t="s">
        <v>12068</v>
      </c>
      <c r="X596" t="s">
        <v>12069</v>
      </c>
      <c r="Y596" t="s">
        <v>12070</v>
      </c>
      <c r="Z596" t="s">
        <v>12071</v>
      </c>
      <c r="AA596" t="s">
        <v>12072</v>
      </c>
      <c r="AB596" t="s">
        <v>12073</v>
      </c>
      <c r="AC596" t="s">
        <v>12074</v>
      </c>
      <c r="AD596" t="s">
        <v>12075</v>
      </c>
      <c r="AE596" t="s">
        <v>12076</v>
      </c>
      <c r="AF596" t="s">
        <v>74</v>
      </c>
      <c r="AG596">
        <v>64</v>
      </c>
      <c r="AH596">
        <v>13</v>
      </c>
      <c r="AI596">
        <v>13</v>
      </c>
      <c r="AJ596">
        <v>0</v>
      </c>
      <c r="AK596">
        <v>11</v>
      </c>
      <c r="AL596" t="s">
        <v>866</v>
      </c>
      <c r="AM596" t="s">
        <v>867</v>
      </c>
      <c r="AN596" t="s">
        <v>868</v>
      </c>
      <c r="AO596" t="s">
        <v>869</v>
      </c>
      <c r="AP596" t="s">
        <v>74</v>
      </c>
      <c r="AQ596" t="s">
        <v>74</v>
      </c>
      <c r="AR596" t="s">
        <v>870</v>
      </c>
      <c r="AS596" t="s">
        <v>871</v>
      </c>
      <c r="AT596" t="s">
        <v>11055</v>
      </c>
      <c r="AU596">
        <v>2020</v>
      </c>
      <c r="AV596">
        <v>8</v>
      </c>
      <c r="AW596" t="s">
        <v>74</v>
      </c>
      <c r="AX596" t="s">
        <v>74</v>
      </c>
      <c r="AY596" t="s">
        <v>74</v>
      </c>
      <c r="AZ596" t="s">
        <v>74</v>
      </c>
      <c r="BA596" t="s">
        <v>74</v>
      </c>
      <c r="BB596" t="s">
        <v>74</v>
      </c>
      <c r="BC596" t="s">
        <v>74</v>
      </c>
      <c r="BD596">
        <v>268</v>
      </c>
      <c r="BE596" t="s">
        <v>12077</v>
      </c>
      <c r="BF596" t="str">
        <f>HYPERLINK("http://dx.doi.org/10.3389/fevo.2020.00268","http://dx.doi.org/10.3389/fevo.2020.00268")</f>
        <v>http://dx.doi.org/10.3389/fevo.2020.00268</v>
      </c>
      <c r="BG596" t="s">
        <v>74</v>
      </c>
      <c r="BH596" t="s">
        <v>74</v>
      </c>
      <c r="BI596">
        <v>16</v>
      </c>
      <c r="BJ596" t="s">
        <v>823</v>
      </c>
      <c r="BK596" t="s">
        <v>100</v>
      </c>
      <c r="BL596" t="s">
        <v>284</v>
      </c>
      <c r="BM596" t="s">
        <v>12078</v>
      </c>
      <c r="BN596" t="s">
        <v>74</v>
      </c>
      <c r="BO596" t="s">
        <v>332</v>
      </c>
      <c r="BP596" t="s">
        <v>74</v>
      </c>
      <c r="BQ596" t="s">
        <v>74</v>
      </c>
      <c r="BR596" t="s">
        <v>104</v>
      </c>
      <c r="BS596" t="s">
        <v>12079</v>
      </c>
      <c r="BT596" t="str">
        <f>HYPERLINK("https%3A%2F%2Fwww.webofscience.com%2Fwos%2Fwoscc%2Ffull-record%2FWOS:000570454400001","View Full Record in Web of Science")</f>
        <v>View Full Record in Web of Science</v>
      </c>
    </row>
    <row r="597" spans="1:72" x14ac:dyDescent="0.15">
      <c r="A597" t="s">
        <v>72</v>
      </c>
      <c r="B597" t="s">
        <v>12080</v>
      </c>
      <c r="C597" t="s">
        <v>74</v>
      </c>
      <c r="D597" t="s">
        <v>74</v>
      </c>
      <c r="E597" t="s">
        <v>74</v>
      </c>
      <c r="F597" t="s">
        <v>12081</v>
      </c>
      <c r="G597" t="s">
        <v>74</v>
      </c>
      <c r="H597" t="s">
        <v>74</v>
      </c>
      <c r="I597" t="s">
        <v>12082</v>
      </c>
      <c r="J597" t="s">
        <v>6130</v>
      </c>
      <c r="K597" t="s">
        <v>74</v>
      </c>
      <c r="L597" t="s">
        <v>74</v>
      </c>
      <c r="M597" t="s">
        <v>78</v>
      </c>
      <c r="N597" t="s">
        <v>79</v>
      </c>
      <c r="O597" t="s">
        <v>74</v>
      </c>
      <c r="P597" t="s">
        <v>74</v>
      </c>
      <c r="Q597" t="s">
        <v>74</v>
      </c>
      <c r="R597" t="s">
        <v>74</v>
      </c>
      <c r="S597" t="s">
        <v>74</v>
      </c>
      <c r="T597" t="s">
        <v>12083</v>
      </c>
      <c r="U597" t="s">
        <v>12084</v>
      </c>
      <c r="V597" t="s">
        <v>12085</v>
      </c>
      <c r="W597" t="s">
        <v>12086</v>
      </c>
      <c r="X597" t="s">
        <v>12087</v>
      </c>
      <c r="Y597" t="s">
        <v>12088</v>
      </c>
      <c r="Z597" t="s">
        <v>12089</v>
      </c>
      <c r="AA597" t="s">
        <v>74</v>
      </c>
      <c r="AB597" t="s">
        <v>12090</v>
      </c>
      <c r="AC597" t="s">
        <v>12091</v>
      </c>
      <c r="AD597" t="s">
        <v>12092</v>
      </c>
      <c r="AE597" t="s">
        <v>12093</v>
      </c>
      <c r="AF597" t="s">
        <v>74</v>
      </c>
      <c r="AG597">
        <v>45</v>
      </c>
      <c r="AH597">
        <v>7</v>
      </c>
      <c r="AI597">
        <v>8</v>
      </c>
      <c r="AJ597">
        <v>0</v>
      </c>
      <c r="AK597">
        <v>53</v>
      </c>
      <c r="AL597" t="s">
        <v>937</v>
      </c>
      <c r="AM597" t="s">
        <v>609</v>
      </c>
      <c r="AN597" t="s">
        <v>938</v>
      </c>
      <c r="AO597" t="s">
        <v>6143</v>
      </c>
      <c r="AP597" t="s">
        <v>6144</v>
      </c>
      <c r="AQ597" t="s">
        <v>74</v>
      </c>
      <c r="AR597" t="s">
        <v>6145</v>
      </c>
      <c r="AS597" t="s">
        <v>6146</v>
      </c>
      <c r="AT597" t="s">
        <v>11055</v>
      </c>
      <c r="AU597">
        <v>2020</v>
      </c>
      <c r="AV597">
        <v>68</v>
      </c>
      <c r="AW597">
        <v>35</v>
      </c>
      <c r="AX597" t="s">
        <v>74</v>
      </c>
      <c r="AY597" t="s">
        <v>74</v>
      </c>
      <c r="AZ597" t="s">
        <v>74</v>
      </c>
      <c r="BA597" t="s">
        <v>74</v>
      </c>
      <c r="BB597">
        <v>9368</v>
      </c>
      <c r="BC597">
        <v>9376</v>
      </c>
      <c r="BD597" t="s">
        <v>74</v>
      </c>
      <c r="BE597" t="s">
        <v>12094</v>
      </c>
      <c r="BF597" t="str">
        <f>HYPERLINK("http://dx.doi.org/10.1021/acs.jafc.0c03185","http://dx.doi.org/10.1021/acs.jafc.0c03185")</f>
        <v>http://dx.doi.org/10.1021/acs.jafc.0c03185</v>
      </c>
      <c r="BG597" t="s">
        <v>74</v>
      </c>
      <c r="BH597" t="s">
        <v>74</v>
      </c>
      <c r="BI597">
        <v>9</v>
      </c>
      <c r="BJ597" t="s">
        <v>6148</v>
      </c>
      <c r="BK597" t="s">
        <v>100</v>
      </c>
      <c r="BL597" t="s">
        <v>6149</v>
      </c>
      <c r="BM597" t="s">
        <v>12095</v>
      </c>
      <c r="BN597">
        <v>32700528</v>
      </c>
      <c r="BO597" t="s">
        <v>74</v>
      </c>
      <c r="BP597" t="s">
        <v>74</v>
      </c>
      <c r="BQ597" t="s">
        <v>74</v>
      </c>
      <c r="BR597" t="s">
        <v>104</v>
      </c>
      <c r="BS597" t="s">
        <v>12096</v>
      </c>
      <c r="BT597" t="str">
        <f>HYPERLINK("https%3A%2F%2Fwww.webofscience.com%2Fwos%2Fwoscc%2Ffull-record%2FWOS:000569284100009","View Full Record in Web of Science")</f>
        <v>View Full Record in Web of Science</v>
      </c>
    </row>
    <row r="598" spans="1:72" x14ac:dyDescent="0.15">
      <c r="A598" t="s">
        <v>72</v>
      </c>
      <c r="B598" t="s">
        <v>12097</v>
      </c>
      <c r="C598" t="s">
        <v>74</v>
      </c>
      <c r="D598" t="s">
        <v>74</v>
      </c>
      <c r="E598" t="s">
        <v>74</v>
      </c>
      <c r="F598" t="s">
        <v>12098</v>
      </c>
      <c r="G598" t="s">
        <v>74</v>
      </c>
      <c r="H598" t="s">
        <v>74</v>
      </c>
      <c r="I598" t="s">
        <v>12099</v>
      </c>
      <c r="J598" t="s">
        <v>9765</v>
      </c>
      <c r="K598" t="s">
        <v>74</v>
      </c>
      <c r="L598" t="s">
        <v>74</v>
      </c>
      <c r="M598" t="s">
        <v>78</v>
      </c>
      <c r="N598" t="s">
        <v>79</v>
      </c>
      <c r="O598" t="s">
        <v>74</v>
      </c>
      <c r="P598" t="s">
        <v>74</v>
      </c>
      <c r="Q598" t="s">
        <v>74</v>
      </c>
      <c r="R598" t="s">
        <v>74</v>
      </c>
      <c r="S598" t="s">
        <v>74</v>
      </c>
      <c r="T598" t="s">
        <v>74</v>
      </c>
      <c r="U598" t="s">
        <v>12100</v>
      </c>
      <c r="V598" t="s">
        <v>12101</v>
      </c>
      <c r="W598" t="s">
        <v>12102</v>
      </c>
      <c r="X598" t="s">
        <v>12103</v>
      </c>
      <c r="Y598" t="s">
        <v>12104</v>
      </c>
      <c r="Z598" t="s">
        <v>12105</v>
      </c>
      <c r="AA598" t="s">
        <v>12106</v>
      </c>
      <c r="AB598" t="s">
        <v>12107</v>
      </c>
      <c r="AC598" t="s">
        <v>12108</v>
      </c>
      <c r="AD598" t="s">
        <v>12109</v>
      </c>
      <c r="AE598" t="s">
        <v>12110</v>
      </c>
      <c r="AF598" t="s">
        <v>74</v>
      </c>
      <c r="AG598">
        <v>110</v>
      </c>
      <c r="AH598">
        <v>13</v>
      </c>
      <c r="AI598">
        <v>13</v>
      </c>
      <c r="AJ598">
        <v>1</v>
      </c>
      <c r="AK598">
        <v>11</v>
      </c>
      <c r="AL598" t="s">
        <v>91</v>
      </c>
      <c r="AM598" t="s">
        <v>92</v>
      </c>
      <c r="AN598" t="s">
        <v>93</v>
      </c>
      <c r="AO598" t="s">
        <v>9777</v>
      </c>
      <c r="AP598" t="s">
        <v>9778</v>
      </c>
      <c r="AQ598" t="s">
        <v>74</v>
      </c>
      <c r="AR598" t="s">
        <v>9779</v>
      </c>
      <c r="AS598" t="s">
        <v>9780</v>
      </c>
      <c r="AT598" t="s">
        <v>11055</v>
      </c>
      <c r="AU598">
        <v>2020</v>
      </c>
      <c r="AV598">
        <v>16</v>
      </c>
      <c r="AW598">
        <v>5</v>
      </c>
      <c r="AX598" t="s">
        <v>74</v>
      </c>
      <c r="AY598" t="s">
        <v>74</v>
      </c>
      <c r="AZ598" t="s">
        <v>74</v>
      </c>
      <c r="BA598" t="s">
        <v>74</v>
      </c>
      <c r="BB598">
        <v>1691</v>
      </c>
      <c r="BC598">
        <v>1713</v>
      </c>
      <c r="BD598" t="s">
        <v>74</v>
      </c>
      <c r="BE598" t="s">
        <v>12111</v>
      </c>
      <c r="BF598" t="str">
        <f>HYPERLINK("http://dx.doi.org/10.5194/cp-16-1691-2020","http://dx.doi.org/10.5194/cp-16-1691-2020")</f>
        <v>http://dx.doi.org/10.5194/cp-16-1691-2020</v>
      </c>
      <c r="BG598" t="s">
        <v>74</v>
      </c>
      <c r="BH598" t="s">
        <v>74</v>
      </c>
      <c r="BI598">
        <v>23</v>
      </c>
      <c r="BJ598" t="s">
        <v>3614</v>
      </c>
      <c r="BK598" t="s">
        <v>100</v>
      </c>
      <c r="BL598" t="s">
        <v>3615</v>
      </c>
      <c r="BM598" t="s">
        <v>12112</v>
      </c>
      <c r="BN598" t="s">
        <v>74</v>
      </c>
      <c r="BO598" t="s">
        <v>10703</v>
      </c>
      <c r="BP598" t="s">
        <v>74</v>
      </c>
      <c r="BQ598" t="s">
        <v>74</v>
      </c>
      <c r="BR598" t="s">
        <v>104</v>
      </c>
      <c r="BS598" t="s">
        <v>12113</v>
      </c>
      <c r="BT598" t="str">
        <f>HYPERLINK("https%3A%2F%2Fwww.webofscience.com%2Fwos%2Fwoscc%2Ffull-record%2FWOS:000569150600001","View Full Record in Web of Science")</f>
        <v>View Full Record in Web of Science</v>
      </c>
    </row>
    <row r="599" spans="1:72" x14ac:dyDescent="0.15">
      <c r="A599" t="s">
        <v>72</v>
      </c>
      <c r="B599" t="s">
        <v>12114</v>
      </c>
      <c r="C599" t="s">
        <v>74</v>
      </c>
      <c r="D599" t="s">
        <v>74</v>
      </c>
      <c r="E599" t="s">
        <v>74</v>
      </c>
      <c r="F599" t="s">
        <v>12115</v>
      </c>
      <c r="G599" t="s">
        <v>74</v>
      </c>
      <c r="H599" t="s">
        <v>74</v>
      </c>
      <c r="I599" t="s">
        <v>12116</v>
      </c>
      <c r="J599" t="s">
        <v>77</v>
      </c>
      <c r="K599" t="s">
        <v>74</v>
      </c>
      <c r="L599" t="s">
        <v>74</v>
      </c>
      <c r="M599" t="s">
        <v>78</v>
      </c>
      <c r="N599" t="s">
        <v>79</v>
      </c>
      <c r="O599" t="s">
        <v>74</v>
      </c>
      <c r="P599" t="s">
        <v>74</v>
      </c>
      <c r="Q599" t="s">
        <v>74</v>
      </c>
      <c r="R599" t="s">
        <v>74</v>
      </c>
      <c r="S599" t="s">
        <v>74</v>
      </c>
      <c r="T599" t="s">
        <v>74</v>
      </c>
      <c r="U599" t="s">
        <v>12117</v>
      </c>
      <c r="V599" t="s">
        <v>12118</v>
      </c>
      <c r="W599" t="s">
        <v>12119</v>
      </c>
      <c r="X599" t="s">
        <v>12120</v>
      </c>
      <c r="Y599" t="s">
        <v>12121</v>
      </c>
      <c r="Z599" t="s">
        <v>12122</v>
      </c>
      <c r="AA599" t="s">
        <v>12123</v>
      </c>
      <c r="AB599" t="s">
        <v>12124</v>
      </c>
      <c r="AC599" t="s">
        <v>12125</v>
      </c>
      <c r="AD599" t="s">
        <v>12126</v>
      </c>
      <c r="AE599" t="s">
        <v>12127</v>
      </c>
      <c r="AF599" t="s">
        <v>74</v>
      </c>
      <c r="AG599">
        <v>22</v>
      </c>
      <c r="AH599">
        <v>17</v>
      </c>
      <c r="AI599">
        <v>17</v>
      </c>
      <c r="AJ599">
        <v>2</v>
      </c>
      <c r="AK599">
        <v>4</v>
      </c>
      <c r="AL599" t="s">
        <v>91</v>
      </c>
      <c r="AM599" t="s">
        <v>92</v>
      </c>
      <c r="AN599" t="s">
        <v>93</v>
      </c>
      <c r="AO599" t="s">
        <v>94</v>
      </c>
      <c r="AP599" t="s">
        <v>95</v>
      </c>
      <c r="AQ599" t="s">
        <v>74</v>
      </c>
      <c r="AR599" t="s">
        <v>77</v>
      </c>
      <c r="AS599" t="s">
        <v>96</v>
      </c>
      <c r="AT599" t="s">
        <v>11055</v>
      </c>
      <c r="AU599">
        <v>2020</v>
      </c>
      <c r="AV599">
        <v>14</v>
      </c>
      <c r="AW599">
        <v>9</v>
      </c>
      <c r="AX599" t="s">
        <v>74</v>
      </c>
      <c r="AY599" t="s">
        <v>74</v>
      </c>
      <c r="AZ599" t="s">
        <v>74</v>
      </c>
      <c r="BA599" t="s">
        <v>74</v>
      </c>
      <c r="BB599">
        <v>2809</v>
      </c>
      <c r="BC599">
        <v>2817</v>
      </c>
      <c r="BD599" t="s">
        <v>74</v>
      </c>
      <c r="BE599" t="s">
        <v>12128</v>
      </c>
      <c r="BF599" t="str">
        <f>HYPERLINK("http://dx.doi.org/10.5194/tc-14-2809-2020","http://dx.doi.org/10.5194/tc-14-2809-2020")</f>
        <v>http://dx.doi.org/10.5194/tc-14-2809-2020</v>
      </c>
      <c r="BG599" t="s">
        <v>74</v>
      </c>
      <c r="BH599" t="s">
        <v>74</v>
      </c>
      <c r="BI599">
        <v>9</v>
      </c>
      <c r="BJ599" t="s">
        <v>99</v>
      </c>
      <c r="BK599" t="s">
        <v>100</v>
      </c>
      <c r="BL599" t="s">
        <v>101</v>
      </c>
      <c r="BM599" t="s">
        <v>12129</v>
      </c>
      <c r="BN599" t="s">
        <v>74</v>
      </c>
      <c r="BO599" t="s">
        <v>677</v>
      </c>
      <c r="BP599" t="s">
        <v>74</v>
      </c>
      <c r="BQ599" t="s">
        <v>74</v>
      </c>
      <c r="BR599" t="s">
        <v>104</v>
      </c>
      <c r="BS599" t="s">
        <v>12130</v>
      </c>
      <c r="BT599" t="str">
        <f>HYPERLINK("https%3A%2F%2Fwww.webofscience.com%2Fwos%2Fwoscc%2Ffull-record%2FWOS:000567810500001","View Full Record in Web of Science")</f>
        <v>View Full Record in Web of Science</v>
      </c>
    </row>
    <row r="600" spans="1:72" x14ac:dyDescent="0.15">
      <c r="A600" t="s">
        <v>72</v>
      </c>
      <c r="B600" t="s">
        <v>5886</v>
      </c>
      <c r="C600" t="s">
        <v>74</v>
      </c>
      <c r="D600" t="s">
        <v>74</v>
      </c>
      <c r="E600" t="s">
        <v>74</v>
      </c>
      <c r="F600" t="s">
        <v>5887</v>
      </c>
      <c r="G600" t="s">
        <v>74</v>
      </c>
      <c r="H600" t="s">
        <v>74</v>
      </c>
      <c r="I600" t="s">
        <v>12131</v>
      </c>
      <c r="J600" t="s">
        <v>878</v>
      </c>
      <c r="K600" t="s">
        <v>74</v>
      </c>
      <c r="L600" t="s">
        <v>74</v>
      </c>
      <c r="M600" t="s">
        <v>78</v>
      </c>
      <c r="N600" t="s">
        <v>12132</v>
      </c>
      <c r="O600" t="s">
        <v>74</v>
      </c>
      <c r="P600" t="s">
        <v>74</v>
      </c>
      <c r="Q600" t="s">
        <v>74</v>
      </c>
      <c r="R600" t="s">
        <v>74</v>
      </c>
      <c r="S600" t="s">
        <v>74</v>
      </c>
      <c r="T600" t="s">
        <v>74</v>
      </c>
      <c r="U600" t="s">
        <v>74</v>
      </c>
      <c r="V600" t="s">
        <v>12133</v>
      </c>
      <c r="W600" t="s">
        <v>12134</v>
      </c>
      <c r="X600" t="s">
        <v>5893</v>
      </c>
      <c r="Y600" t="s">
        <v>5894</v>
      </c>
      <c r="Z600" t="s">
        <v>5895</v>
      </c>
      <c r="AA600" t="s">
        <v>12135</v>
      </c>
      <c r="AB600" t="s">
        <v>12136</v>
      </c>
      <c r="AC600" t="s">
        <v>74</v>
      </c>
      <c r="AD600" t="s">
        <v>74</v>
      </c>
      <c r="AE600" t="s">
        <v>74</v>
      </c>
      <c r="AF600" t="s">
        <v>74</v>
      </c>
      <c r="AG600">
        <v>1</v>
      </c>
      <c r="AH600">
        <v>0</v>
      </c>
      <c r="AI600">
        <v>0</v>
      </c>
      <c r="AJ600">
        <v>2</v>
      </c>
      <c r="AK600">
        <v>14</v>
      </c>
      <c r="AL600" t="s">
        <v>482</v>
      </c>
      <c r="AM600" t="s">
        <v>483</v>
      </c>
      <c r="AN600" t="s">
        <v>484</v>
      </c>
      <c r="AO600" t="s">
        <v>891</v>
      </c>
      <c r="AP600" t="s">
        <v>892</v>
      </c>
      <c r="AQ600" t="s">
        <v>74</v>
      </c>
      <c r="AR600" t="s">
        <v>878</v>
      </c>
      <c r="AS600" t="s">
        <v>893</v>
      </c>
      <c r="AT600" t="s">
        <v>10611</v>
      </c>
      <c r="AU600">
        <v>2021</v>
      </c>
      <c r="AV600">
        <v>24</v>
      </c>
      <c r="AW600">
        <v>4</v>
      </c>
      <c r="AX600" t="s">
        <v>74</v>
      </c>
      <c r="AY600" t="s">
        <v>74</v>
      </c>
      <c r="AZ600" t="s">
        <v>74</v>
      </c>
      <c r="BA600" t="s">
        <v>74</v>
      </c>
      <c r="BB600">
        <v>1006</v>
      </c>
      <c r="BC600">
        <v>1006</v>
      </c>
      <c r="BD600" t="s">
        <v>74</v>
      </c>
      <c r="BE600" t="s">
        <v>12137</v>
      </c>
      <c r="BF600" t="str">
        <f>HYPERLINK("http://dx.doi.org/10.1007/s10021-020-00549-w","http://dx.doi.org/10.1007/s10021-020-00549-w")</f>
        <v>http://dx.doi.org/10.1007/s10021-020-00549-w</v>
      </c>
      <c r="BG600" t="s">
        <v>74</v>
      </c>
      <c r="BH600" t="s">
        <v>9526</v>
      </c>
      <c r="BI600">
        <v>1</v>
      </c>
      <c r="BJ600" t="s">
        <v>823</v>
      </c>
      <c r="BK600" t="s">
        <v>100</v>
      </c>
      <c r="BL600" t="s">
        <v>284</v>
      </c>
      <c r="BM600" t="s">
        <v>10613</v>
      </c>
      <c r="BN600" t="s">
        <v>74</v>
      </c>
      <c r="BO600" t="s">
        <v>1432</v>
      </c>
      <c r="BP600" t="s">
        <v>74</v>
      </c>
      <c r="BQ600" t="s">
        <v>74</v>
      </c>
      <c r="BR600" t="s">
        <v>104</v>
      </c>
      <c r="BS600" t="s">
        <v>12138</v>
      </c>
      <c r="BT600" t="str">
        <f>HYPERLINK("https%3A%2F%2Fwww.webofscience.com%2Fwos%2Fwoscc%2Ffull-record%2FWOS:000565485700001","View Full Record in Web of Science")</f>
        <v>View Full Record in Web of Science</v>
      </c>
    </row>
    <row r="601" spans="1:72" x14ac:dyDescent="0.15">
      <c r="A601" t="s">
        <v>72</v>
      </c>
      <c r="B601" t="s">
        <v>12139</v>
      </c>
      <c r="C601" t="s">
        <v>74</v>
      </c>
      <c r="D601" t="s">
        <v>74</v>
      </c>
      <c r="E601" t="s">
        <v>74</v>
      </c>
      <c r="F601" t="s">
        <v>12140</v>
      </c>
      <c r="G601" t="s">
        <v>74</v>
      </c>
      <c r="H601" t="s">
        <v>74</v>
      </c>
      <c r="I601" t="s">
        <v>12141</v>
      </c>
      <c r="J601" t="s">
        <v>12142</v>
      </c>
      <c r="K601" t="s">
        <v>74</v>
      </c>
      <c r="L601" t="s">
        <v>74</v>
      </c>
      <c r="M601" t="s">
        <v>78</v>
      </c>
      <c r="N601" t="s">
        <v>79</v>
      </c>
      <c r="O601" t="s">
        <v>74</v>
      </c>
      <c r="P601" t="s">
        <v>74</v>
      </c>
      <c r="Q601" t="s">
        <v>74</v>
      </c>
      <c r="R601" t="s">
        <v>74</v>
      </c>
      <c r="S601" t="s">
        <v>74</v>
      </c>
      <c r="T601" t="s">
        <v>12143</v>
      </c>
      <c r="U601" t="s">
        <v>12144</v>
      </c>
      <c r="V601" t="s">
        <v>12145</v>
      </c>
      <c r="W601" t="s">
        <v>12146</v>
      </c>
      <c r="X601" t="s">
        <v>12147</v>
      </c>
      <c r="Y601" t="s">
        <v>12148</v>
      </c>
      <c r="Z601" t="s">
        <v>12149</v>
      </c>
      <c r="AA601" t="s">
        <v>12150</v>
      </c>
      <c r="AB601" t="s">
        <v>12151</v>
      </c>
      <c r="AC601" t="s">
        <v>12152</v>
      </c>
      <c r="AD601" t="s">
        <v>12153</v>
      </c>
      <c r="AE601" t="s">
        <v>12154</v>
      </c>
      <c r="AF601" t="s">
        <v>74</v>
      </c>
      <c r="AG601">
        <v>127</v>
      </c>
      <c r="AH601">
        <v>7</v>
      </c>
      <c r="AI601">
        <v>7</v>
      </c>
      <c r="AJ601">
        <v>0</v>
      </c>
      <c r="AK601">
        <v>8</v>
      </c>
      <c r="AL601" t="s">
        <v>482</v>
      </c>
      <c r="AM601" t="s">
        <v>483</v>
      </c>
      <c r="AN601" t="s">
        <v>484</v>
      </c>
      <c r="AO601" t="s">
        <v>12155</v>
      </c>
      <c r="AP601" t="s">
        <v>12156</v>
      </c>
      <c r="AQ601" t="s">
        <v>74</v>
      </c>
      <c r="AR601" t="s">
        <v>12157</v>
      </c>
      <c r="AS601" t="s">
        <v>12158</v>
      </c>
      <c r="AT601" t="s">
        <v>10611</v>
      </c>
      <c r="AU601">
        <v>2021</v>
      </c>
      <c r="AV601">
        <v>44</v>
      </c>
      <c r="AW601">
        <v>4</v>
      </c>
      <c r="AX601" t="s">
        <v>74</v>
      </c>
      <c r="AY601" t="s">
        <v>74</v>
      </c>
      <c r="AZ601" t="s">
        <v>74</v>
      </c>
      <c r="BA601" t="s">
        <v>74</v>
      </c>
      <c r="BB601">
        <v>1132</v>
      </c>
      <c r="BC601">
        <v>1146</v>
      </c>
      <c r="BD601" t="s">
        <v>74</v>
      </c>
      <c r="BE601" t="s">
        <v>12159</v>
      </c>
      <c r="BF601" t="str">
        <f>HYPERLINK("http://dx.doi.org/10.1007/s12237-020-00825-x","http://dx.doi.org/10.1007/s12237-020-00825-x")</f>
        <v>http://dx.doi.org/10.1007/s12237-020-00825-x</v>
      </c>
      <c r="BG601" t="s">
        <v>74</v>
      </c>
      <c r="BH601" t="s">
        <v>9526</v>
      </c>
      <c r="BI601">
        <v>15</v>
      </c>
      <c r="BJ601" t="s">
        <v>918</v>
      </c>
      <c r="BK601" t="s">
        <v>100</v>
      </c>
      <c r="BL601" t="s">
        <v>919</v>
      </c>
      <c r="BM601" t="s">
        <v>12160</v>
      </c>
      <c r="BN601" t="s">
        <v>74</v>
      </c>
      <c r="BO601" t="s">
        <v>74</v>
      </c>
      <c r="BP601" t="s">
        <v>74</v>
      </c>
      <c r="BQ601" t="s">
        <v>74</v>
      </c>
      <c r="BR601" t="s">
        <v>104</v>
      </c>
      <c r="BS601" t="s">
        <v>12161</v>
      </c>
      <c r="BT601" t="str">
        <f>HYPERLINK("https%3A%2F%2Fwww.webofscience.com%2Fwos%2Fwoscc%2Ffull-record%2FWOS:000565481100002","View Full Record in Web of Science")</f>
        <v>View Full Record in Web of Science</v>
      </c>
    </row>
    <row r="602" spans="1:72" x14ac:dyDescent="0.15">
      <c r="A602" t="s">
        <v>72</v>
      </c>
      <c r="B602" t="s">
        <v>3595</v>
      </c>
      <c r="C602" t="s">
        <v>74</v>
      </c>
      <c r="D602" t="s">
        <v>74</v>
      </c>
      <c r="E602" t="s">
        <v>74</v>
      </c>
      <c r="F602" t="s">
        <v>12162</v>
      </c>
      <c r="G602" t="s">
        <v>74</v>
      </c>
      <c r="H602" t="s">
        <v>74</v>
      </c>
      <c r="I602" t="s">
        <v>12163</v>
      </c>
      <c r="J602" t="s">
        <v>1264</v>
      </c>
      <c r="K602" t="s">
        <v>74</v>
      </c>
      <c r="L602" t="s">
        <v>74</v>
      </c>
      <c r="M602" t="s">
        <v>78</v>
      </c>
      <c r="N602" t="s">
        <v>79</v>
      </c>
      <c r="O602" t="s">
        <v>74</v>
      </c>
      <c r="P602" t="s">
        <v>74</v>
      </c>
      <c r="Q602" t="s">
        <v>74</v>
      </c>
      <c r="R602" t="s">
        <v>74</v>
      </c>
      <c r="S602" t="s">
        <v>74</v>
      </c>
      <c r="T602" t="s">
        <v>12164</v>
      </c>
      <c r="U602" t="s">
        <v>74</v>
      </c>
      <c r="V602" t="s">
        <v>12165</v>
      </c>
      <c r="W602" t="s">
        <v>12166</v>
      </c>
      <c r="X602" t="s">
        <v>1268</v>
      </c>
      <c r="Y602" t="s">
        <v>12167</v>
      </c>
      <c r="Z602" t="s">
        <v>3604</v>
      </c>
      <c r="AA602" t="s">
        <v>12168</v>
      </c>
      <c r="AB602" t="s">
        <v>12169</v>
      </c>
      <c r="AC602" t="s">
        <v>12170</v>
      </c>
      <c r="AD602" t="s">
        <v>12171</v>
      </c>
      <c r="AE602" t="s">
        <v>12172</v>
      </c>
      <c r="AF602" t="s">
        <v>74</v>
      </c>
      <c r="AG602">
        <v>18</v>
      </c>
      <c r="AH602">
        <v>2</v>
      </c>
      <c r="AI602">
        <v>2</v>
      </c>
      <c r="AJ602">
        <v>0</v>
      </c>
      <c r="AK602">
        <v>2</v>
      </c>
      <c r="AL602" t="s">
        <v>1276</v>
      </c>
      <c r="AM602" t="s">
        <v>483</v>
      </c>
      <c r="AN602" t="s">
        <v>1277</v>
      </c>
      <c r="AO602" t="s">
        <v>1278</v>
      </c>
      <c r="AP602" t="s">
        <v>1279</v>
      </c>
      <c r="AQ602" t="s">
        <v>74</v>
      </c>
      <c r="AR602" t="s">
        <v>1280</v>
      </c>
      <c r="AS602" t="s">
        <v>1281</v>
      </c>
      <c r="AT602" t="s">
        <v>11892</v>
      </c>
      <c r="AU602">
        <v>2020</v>
      </c>
      <c r="AV602">
        <v>60</v>
      </c>
      <c r="AW602">
        <v>5</v>
      </c>
      <c r="AX602" t="s">
        <v>74</v>
      </c>
      <c r="AY602" t="s">
        <v>74</v>
      </c>
      <c r="AZ602" t="s">
        <v>74</v>
      </c>
      <c r="BA602" t="s">
        <v>74</v>
      </c>
      <c r="BB602">
        <v>589</v>
      </c>
      <c r="BC602">
        <v>592</v>
      </c>
      <c r="BD602" t="s">
        <v>74</v>
      </c>
      <c r="BE602" t="s">
        <v>12173</v>
      </c>
      <c r="BF602" t="str">
        <f>HYPERLINK("http://dx.doi.org/10.1134/S000143702005015X","http://dx.doi.org/10.1134/S000143702005015X")</f>
        <v>http://dx.doi.org/10.1134/S000143702005015X</v>
      </c>
      <c r="BG602" t="s">
        <v>74</v>
      </c>
      <c r="BH602" t="s">
        <v>74</v>
      </c>
      <c r="BI602">
        <v>4</v>
      </c>
      <c r="BJ602" t="s">
        <v>1283</v>
      </c>
      <c r="BK602" t="s">
        <v>100</v>
      </c>
      <c r="BL602" t="s">
        <v>1283</v>
      </c>
      <c r="BM602" t="s">
        <v>12174</v>
      </c>
      <c r="BN602" t="s">
        <v>74</v>
      </c>
      <c r="BO602" t="s">
        <v>74</v>
      </c>
      <c r="BP602" t="s">
        <v>74</v>
      </c>
      <c r="BQ602" t="s">
        <v>74</v>
      </c>
      <c r="BR602" t="s">
        <v>104</v>
      </c>
      <c r="BS602" t="s">
        <v>12175</v>
      </c>
      <c r="BT602" t="str">
        <f>HYPERLINK("https%3A%2F%2Fwww.webofscience.com%2Fwos%2Fwoscc%2Ffull-record%2FWOS:000624555400002","View Full Record in Web of Science")</f>
        <v>View Full Record in Web of Science</v>
      </c>
    </row>
    <row r="603" spans="1:72" x14ac:dyDescent="0.15">
      <c r="A603" t="s">
        <v>72</v>
      </c>
      <c r="B603" t="s">
        <v>12176</v>
      </c>
      <c r="C603" t="s">
        <v>74</v>
      </c>
      <c r="D603" t="s">
        <v>74</v>
      </c>
      <c r="E603" t="s">
        <v>74</v>
      </c>
      <c r="F603" t="s">
        <v>12177</v>
      </c>
      <c r="G603" t="s">
        <v>74</v>
      </c>
      <c r="H603" t="s">
        <v>74</v>
      </c>
      <c r="I603" t="s">
        <v>12178</v>
      </c>
      <c r="J603" t="s">
        <v>1264</v>
      </c>
      <c r="K603" t="s">
        <v>74</v>
      </c>
      <c r="L603" t="s">
        <v>74</v>
      </c>
      <c r="M603" t="s">
        <v>78</v>
      </c>
      <c r="N603" t="s">
        <v>79</v>
      </c>
      <c r="O603" t="s">
        <v>74</v>
      </c>
      <c r="P603" t="s">
        <v>74</v>
      </c>
      <c r="Q603" t="s">
        <v>74</v>
      </c>
      <c r="R603" t="s">
        <v>74</v>
      </c>
      <c r="S603" t="s">
        <v>74</v>
      </c>
      <c r="T603" t="s">
        <v>12179</v>
      </c>
      <c r="U603" t="s">
        <v>74</v>
      </c>
      <c r="V603" t="s">
        <v>12180</v>
      </c>
      <c r="W603" t="s">
        <v>12181</v>
      </c>
      <c r="X603" t="s">
        <v>1268</v>
      </c>
      <c r="Y603" t="s">
        <v>12182</v>
      </c>
      <c r="Z603" t="s">
        <v>12183</v>
      </c>
      <c r="AA603" t="s">
        <v>12184</v>
      </c>
      <c r="AB603" t="s">
        <v>12185</v>
      </c>
      <c r="AC603" t="s">
        <v>12186</v>
      </c>
      <c r="AD603" t="s">
        <v>12187</v>
      </c>
      <c r="AE603" t="s">
        <v>12188</v>
      </c>
      <c r="AF603" t="s">
        <v>74</v>
      </c>
      <c r="AG603">
        <v>39</v>
      </c>
      <c r="AH603">
        <v>0</v>
      </c>
      <c r="AI603">
        <v>0</v>
      </c>
      <c r="AJ603">
        <v>1</v>
      </c>
      <c r="AK603">
        <v>1</v>
      </c>
      <c r="AL603" t="s">
        <v>1276</v>
      </c>
      <c r="AM603" t="s">
        <v>483</v>
      </c>
      <c r="AN603" t="s">
        <v>1277</v>
      </c>
      <c r="AO603" t="s">
        <v>1278</v>
      </c>
      <c r="AP603" t="s">
        <v>1279</v>
      </c>
      <c r="AQ603" t="s">
        <v>74</v>
      </c>
      <c r="AR603" t="s">
        <v>1280</v>
      </c>
      <c r="AS603" t="s">
        <v>1281</v>
      </c>
      <c r="AT603" t="s">
        <v>11892</v>
      </c>
      <c r="AU603">
        <v>2020</v>
      </c>
      <c r="AV603">
        <v>60</v>
      </c>
      <c r="AW603">
        <v>5</v>
      </c>
      <c r="AX603" t="s">
        <v>74</v>
      </c>
      <c r="AY603" t="s">
        <v>74</v>
      </c>
      <c r="AZ603" t="s">
        <v>74</v>
      </c>
      <c r="BA603" t="s">
        <v>74</v>
      </c>
      <c r="BB603">
        <v>643</v>
      </c>
      <c r="BC603">
        <v>649</v>
      </c>
      <c r="BD603" t="s">
        <v>74</v>
      </c>
      <c r="BE603" t="s">
        <v>12189</v>
      </c>
      <c r="BF603" t="str">
        <f>HYPERLINK("http://dx.doi.org/10.1134/S0001437020050185","http://dx.doi.org/10.1134/S0001437020050185")</f>
        <v>http://dx.doi.org/10.1134/S0001437020050185</v>
      </c>
      <c r="BG603" t="s">
        <v>74</v>
      </c>
      <c r="BH603" t="s">
        <v>74</v>
      </c>
      <c r="BI603">
        <v>7</v>
      </c>
      <c r="BJ603" t="s">
        <v>1283</v>
      </c>
      <c r="BK603" t="s">
        <v>100</v>
      </c>
      <c r="BL603" t="s">
        <v>1283</v>
      </c>
      <c r="BM603" t="s">
        <v>12174</v>
      </c>
      <c r="BN603" t="s">
        <v>74</v>
      </c>
      <c r="BO603" t="s">
        <v>74</v>
      </c>
      <c r="BP603" t="s">
        <v>74</v>
      </c>
      <c r="BQ603" t="s">
        <v>74</v>
      </c>
      <c r="BR603" t="s">
        <v>104</v>
      </c>
      <c r="BS603" t="s">
        <v>12190</v>
      </c>
      <c r="BT603" t="str">
        <f>HYPERLINK("https%3A%2F%2Fwww.webofscience.com%2Fwos%2Fwoscc%2Ffull-record%2FWOS:000624555400008","View Full Record in Web of Science")</f>
        <v>View Full Record in Web of Science</v>
      </c>
    </row>
    <row r="604" spans="1:72" x14ac:dyDescent="0.15">
      <c r="A604" t="s">
        <v>72</v>
      </c>
      <c r="B604" t="s">
        <v>12191</v>
      </c>
      <c r="C604" t="s">
        <v>74</v>
      </c>
      <c r="D604" t="s">
        <v>74</v>
      </c>
      <c r="E604" t="s">
        <v>74</v>
      </c>
      <c r="F604" t="s">
        <v>12192</v>
      </c>
      <c r="G604" t="s">
        <v>74</v>
      </c>
      <c r="H604" t="s">
        <v>74</v>
      </c>
      <c r="I604" t="s">
        <v>12193</v>
      </c>
      <c r="J604" t="s">
        <v>1264</v>
      </c>
      <c r="K604" t="s">
        <v>74</v>
      </c>
      <c r="L604" t="s">
        <v>74</v>
      </c>
      <c r="M604" t="s">
        <v>78</v>
      </c>
      <c r="N604" t="s">
        <v>79</v>
      </c>
      <c r="O604" t="s">
        <v>74</v>
      </c>
      <c r="P604" t="s">
        <v>74</v>
      </c>
      <c r="Q604" t="s">
        <v>74</v>
      </c>
      <c r="R604" t="s">
        <v>74</v>
      </c>
      <c r="S604" t="s">
        <v>74</v>
      </c>
      <c r="T604" t="s">
        <v>12194</v>
      </c>
      <c r="U604" t="s">
        <v>74</v>
      </c>
      <c r="V604" t="s">
        <v>12195</v>
      </c>
      <c r="W604" t="s">
        <v>12196</v>
      </c>
      <c r="X604" t="s">
        <v>1268</v>
      </c>
      <c r="Y604" t="s">
        <v>12197</v>
      </c>
      <c r="Z604" t="s">
        <v>3604</v>
      </c>
      <c r="AA604" t="s">
        <v>12198</v>
      </c>
      <c r="AB604" t="s">
        <v>12199</v>
      </c>
      <c r="AC604" t="s">
        <v>12200</v>
      </c>
      <c r="AD604" t="s">
        <v>74</v>
      </c>
      <c r="AE604" t="s">
        <v>12201</v>
      </c>
      <c r="AF604" t="s">
        <v>74</v>
      </c>
      <c r="AG604">
        <v>1</v>
      </c>
      <c r="AH604">
        <v>25</v>
      </c>
      <c r="AI604">
        <v>25</v>
      </c>
      <c r="AJ604">
        <v>0</v>
      </c>
      <c r="AK604">
        <v>2</v>
      </c>
      <c r="AL604" t="s">
        <v>1276</v>
      </c>
      <c r="AM604" t="s">
        <v>483</v>
      </c>
      <c r="AN604" t="s">
        <v>1277</v>
      </c>
      <c r="AO604" t="s">
        <v>1278</v>
      </c>
      <c r="AP604" t="s">
        <v>1279</v>
      </c>
      <c r="AQ604" t="s">
        <v>74</v>
      </c>
      <c r="AR604" t="s">
        <v>1280</v>
      </c>
      <c r="AS604" t="s">
        <v>1281</v>
      </c>
      <c r="AT604" t="s">
        <v>11892</v>
      </c>
      <c r="AU604">
        <v>2020</v>
      </c>
      <c r="AV604">
        <v>60</v>
      </c>
      <c r="AW604">
        <v>5</v>
      </c>
      <c r="AX604" t="s">
        <v>74</v>
      </c>
      <c r="AY604" t="s">
        <v>74</v>
      </c>
      <c r="AZ604" t="s">
        <v>74</v>
      </c>
      <c r="BA604" t="s">
        <v>74</v>
      </c>
      <c r="BB604">
        <v>721</v>
      </c>
      <c r="BC604">
        <v>723</v>
      </c>
      <c r="BD604" t="s">
        <v>74</v>
      </c>
      <c r="BE604" t="s">
        <v>12202</v>
      </c>
      <c r="BF604" t="str">
        <f>HYPERLINK("http://dx.doi.org/10.1134/S0001437020050161","http://dx.doi.org/10.1134/S0001437020050161")</f>
        <v>http://dx.doi.org/10.1134/S0001437020050161</v>
      </c>
      <c r="BG604" t="s">
        <v>74</v>
      </c>
      <c r="BH604" t="s">
        <v>74</v>
      </c>
      <c r="BI604">
        <v>3</v>
      </c>
      <c r="BJ604" t="s">
        <v>1283</v>
      </c>
      <c r="BK604" t="s">
        <v>100</v>
      </c>
      <c r="BL604" t="s">
        <v>1283</v>
      </c>
      <c r="BM604" t="s">
        <v>12174</v>
      </c>
      <c r="BN604" t="s">
        <v>74</v>
      </c>
      <c r="BO604" t="s">
        <v>74</v>
      </c>
      <c r="BP604" t="s">
        <v>74</v>
      </c>
      <c r="BQ604" t="s">
        <v>74</v>
      </c>
      <c r="BR604" t="s">
        <v>104</v>
      </c>
      <c r="BS604" t="s">
        <v>12203</v>
      </c>
      <c r="BT604" t="str">
        <f>HYPERLINK("https%3A%2F%2Fwww.webofscience.com%2Fwos%2Fwoscc%2Ffull-record%2FWOS:000624555400015","View Full Record in Web of Science")</f>
        <v>View Full Record in Web of Science</v>
      </c>
    </row>
    <row r="605" spans="1:72" x14ac:dyDescent="0.15">
      <c r="A605" t="s">
        <v>72</v>
      </c>
      <c r="B605" t="s">
        <v>12204</v>
      </c>
      <c r="C605" t="s">
        <v>74</v>
      </c>
      <c r="D605" t="s">
        <v>74</v>
      </c>
      <c r="E605" t="s">
        <v>74</v>
      </c>
      <c r="F605" t="s">
        <v>12205</v>
      </c>
      <c r="G605" t="s">
        <v>74</v>
      </c>
      <c r="H605" t="s">
        <v>74</v>
      </c>
      <c r="I605" t="s">
        <v>12206</v>
      </c>
      <c r="J605" t="s">
        <v>12207</v>
      </c>
      <c r="K605" t="s">
        <v>74</v>
      </c>
      <c r="L605" t="s">
        <v>74</v>
      </c>
      <c r="M605" t="s">
        <v>78</v>
      </c>
      <c r="N605" t="s">
        <v>79</v>
      </c>
      <c r="O605" t="s">
        <v>74</v>
      </c>
      <c r="P605" t="s">
        <v>74</v>
      </c>
      <c r="Q605" t="s">
        <v>74</v>
      </c>
      <c r="R605" t="s">
        <v>74</v>
      </c>
      <c r="S605" t="s">
        <v>74</v>
      </c>
      <c r="T605" t="s">
        <v>12208</v>
      </c>
      <c r="U605" t="s">
        <v>12209</v>
      </c>
      <c r="V605" t="s">
        <v>12210</v>
      </c>
      <c r="W605" t="s">
        <v>12211</v>
      </c>
      <c r="X605" t="s">
        <v>12212</v>
      </c>
      <c r="Y605" t="s">
        <v>12213</v>
      </c>
      <c r="Z605" t="s">
        <v>12214</v>
      </c>
      <c r="AA605" t="s">
        <v>12215</v>
      </c>
      <c r="AB605" t="s">
        <v>12216</v>
      </c>
      <c r="AC605" t="s">
        <v>12217</v>
      </c>
      <c r="AD605" t="s">
        <v>12218</v>
      </c>
      <c r="AE605" t="s">
        <v>12219</v>
      </c>
      <c r="AF605" t="s">
        <v>74</v>
      </c>
      <c r="AG605">
        <v>62</v>
      </c>
      <c r="AH605">
        <v>40</v>
      </c>
      <c r="AI605">
        <v>42</v>
      </c>
      <c r="AJ605">
        <v>4</v>
      </c>
      <c r="AK605">
        <v>19</v>
      </c>
      <c r="AL605" t="s">
        <v>1710</v>
      </c>
      <c r="AM605" t="s">
        <v>609</v>
      </c>
      <c r="AN605" t="s">
        <v>1711</v>
      </c>
      <c r="AO605" t="s">
        <v>74</v>
      </c>
      <c r="AP605" t="s">
        <v>12220</v>
      </c>
      <c r="AQ605" t="s">
        <v>74</v>
      </c>
      <c r="AR605" t="s">
        <v>12207</v>
      </c>
      <c r="AS605" t="s">
        <v>12221</v>
      </c>
      <c r="AT605" t="s">
        <v>11892</v>
      </c>
      <c r="AU605">
        <v>2020</v>
      </c>
      <c r="AV605">
        <v>8</v>
      </c>
      <c r="AW605">
        <v>9</v>
      </c>
      <c r="AX605" t="s">
        <v>74</v>
      </c>
      <c r="AY605" t="s">
        <v>74</v>
      </c>
      <c r="AZ605" t="s">
        <v>74</v>
      </c>
      <c r="BA605" t="s">
        <v>74</v>
      </c>
      <c r="BB605" t="s">
        <v>74</v>
      </c>
      <c r="BC605" t="s">
        <v>74</v>
      </c>
      <c r="BD605" t="s">
        <v>12222</v>
      </c>
      <c r="BE605" t="s">
        <v>12223</v>
      </c>
      <c r="BF605" t="str">
        <f>HYPERLINK("http://dx.doi.org/10.1029/2019EF001413","http://dx.doi.org/10.1029/2019EF001413")</f>
        <v>http://dx.doi.org/10.1029/2019EF001413</v>
      </c>
      <c r="BG605" t="s">
        <v>74</v>
      </c>
      <c r="BH605" t="s">
        <v>74</v>
      </c>
      <c r="BI605">
        <v>25</v>
      </c>
      <c r="BJ605" t="s">
        <v>846</v>
      </c>
      <c r="BK605" t="s">
        <v>100</v>
      </c>
      <c r="BL605" t="s">
        <v>847</v>
      </c>
      <c r="BM605" t="s">
        <v>12224</v>
      </c>
      <c r="BN605" t="s">
        <v>74</v>
      </c>
      <c r="BO605" t="s">
        <v>3431</v>
      </c>
      <c r="BP605" t="s">
        <v>74</v>
      </c>
      <c r="BQ605" t="s">
        <v>74</v>
      </c>
      <c r="BR605" t="s">
        <v>104</v>
      </c>
      <c r="BS605" t="s">
        <v>12225</v>
      </c>
      <c r="BT605" t="str">
        <f>HYPERLINK("https%3A%2F%2Fwww.webofscience.com%2Fwos%2Fwoscc%2Ffull-record%2FWOS:000576405800004","View Full Record in Web of Science")</f>
        <v>View Full Record in Web of Science</v>
      </c>
    </row>
    <row r="606" spans="1:72" x14ac:dyDescent="0.15">
      <c r="A606" t="s">
        <v>72</v>
      </c>
      <c r="B606" t="s">
        <v>12226</v>
      </c>
      <c r="C606" t="s">
        <v>74</v>
      </c>
      <c r="D606" t="s">
        <v>74</v>
      </c>
      <c r="E606" t="s">
        <v>74</v>
      </c>
      <c r="F606" t="s">
        <v>12227</v>
      </c>
      <c r="G606" t="s">
        <v>74</v>
      </c>
      <c r="H606" t="s">
        <v>74</v>
      </c>
      <c r="I606" t="s">
        <v>12228</v>
      </c>
      <c r="J606" t="s">
        <v>1697</v>
      </c>
      <c r="K606" t="s">
        <v>74</v>
      </c>
      <c r="L606" t="s">
        <v>74</v>
      </c>
      <c r="M606" t="s">
        <v>78</v>
      </c>
      <c r="N606" t="s">
        <v>79</v>
      </c>
      <c r="O606" t="s">
        <v>74</v>
      </c>
      <c r="P606" t="s">
        <v>74</v>
      </c>
      <c r="Q606" t="s">
        <v>74</v>
      </c>
      <c r="R606" t="s">
        <v>74</v>
      </c>
      <c r="S606" t="s">
        <v>74</v>
      </c>
      <c r="T606" t="s">
        <v>74</v>
      </c>
      <c r="U606" t="s">
        <v>12229</v>
      </c>
      <c r="V606" t="s">
        <v>12230</v>
      </c>
      <c r="W606" t="s">
        <v>12231</v>
      </c>
      <c r="X606" t="s">
        <v>12232</v>
      </c>
      <c r="Y606" t="s">
        <v>12233</v>
      </c>
      <c r="Z606" t="s">
        <v>12234</v>
      </c>
      <c r="AA606" t="s">
        <v>74</v>
      </c>
      <c r="AB606" t="s">
        <v>12235</v>
      </c>
      <c r="AC606" t="s">
        <v>12236</v>
      </c>
      <c r="AD606" t="s">
        <v>12237</v>
      </c>
      <c r="AE606" t="s">
        <v>12238</v>
      </c>
      <c r="AF606" t="s">
        <v>74</v>
      </c>
      <c r="AG606">
        <v>75</v>
      </c>
      <c r="AH606">
        <v>8</v>
      </c>
      <c r="AI606">
        <v>8</v>
      </c>
      <c r="AJ606">
        <v>2</v>
      </c>
      <c r="AK606">
        <v>36</v>
      </c>
      <c r="AL606" t="s">
        <v>1710</v>
      </c>
      <c r="AM606" t="s">
        <v>609</v>
      </c>
      <c r="AN606" t="s">
        <v>1711</v>
      </c>
      <c r="AO606" t="s">
        <v>74</v>
      </c>
      <c r="AP606" t="s">
        <v>1712</v>
      </c>
      <c r="AQ606" t="s">
        <v>74</v>
      </c>
      <c r="AR606" t="s">
        <v>1713</v>
      </c>
      <c r="AS606" t="s">
        <v>1714</v>
      </c>
      <c r="AT606" t="s">
        <v>11892</v>
      </c>
      <c r="AU606">
        <v>2020</v>
      </c>
      <c r="AV606">
        <v>7</v>
      </c>
      <c r="AW606">
        <v>9</v>
      </c>
      <c r="AX606" t="s">
        <v>74</v>
      </c>
      <c r="AY606" t="s">
        <v>74</v>
      </c>
      <c r="AZ606" t="s">
        <v>74</v>
      </c>
      <c r="BA606" t="s">
        <v>74</v>
      </c>
      <c r="BB606" t="s">
        <v>74</v>
      </c>
      <c r="BC606" t="s">
        <v>74</v>
      </c>
      <c r="BD606" t="s">
        <v>12239</v>
      </c>
      <c r="BE606" t="s">
        <v>12240</v>
      </c>
      <c r="BF606" t="str">
        <f>HYPERLINK("http://dx.doi.org/10.1029/2020EA001227","http://dx.doi.org/10.1029/2020EA001227")</f>
        <v>http://dx.doi.org/10.1029/2020EA001227</v>
      </c>
      <c r="BG606" t="s">
        <v>74</v>
      </c>
      <c r="BH606" t="s">
        <v>74</v>
      </c>
      <c r="BI606">
        <v>12</v>
      </c>
      <c r="BJ606" t="s">
        <v>1717</v>
      </c>
      <c r="BK606" t="s">
        <v>100</v>
      </c>
      <c r="BL606" t="s">
        <v>1718</v>
      </c>
      <c r="BM606" t="s">
        <v>12241</v>
      </c>
      <c r="BN606" t="s">
        <v>74</v>
      </c>
      <c r="BO606" t="s">
        <v>74</v>
      </c>
      <c r="BP606" t="s">
        <v>74</v>
      </c>
      <c r="BQ606" t="s">
        <v>74</v>
      </c>
      <c r="BR606" t="s">
        <v>104</v>
      </c>
      <c r="BS606" t="s">
        <v>12242</v>
      </c>
      <c r="BT606" t="str">
        <f>HYPERLINK("https%3A%2F%2Fwww.webofscience.com%2Fwos%2Fwoscc%2Ffull-record%2FWOS:000576647500018","View Full Record in Web of Science")</f>
        <v>View Full Record in Web of Science</v>
      </c>
    </row>
    <row r="607" spans="1:72" x14ac:dyDescent="0.15">
      <c r="A607" t="s">
        <v>72</v>
      </c>
      <c r="B607" t="s">
        <v>12243</v>
      </c>
      <c r="C607" t="s">
        <v>74</v>
      </c>
      <c r="D607" t="s">
        <v>74</v>
      </c>
      <c r="E607" t="s">
        <v>74</v>
      </c>
      <c r="F607" t="s">
        <v>12244</v>
      </c>
      <c r="G607" t="s">
        <v>74</v>
      </c>
      <c r="H607" t="s">
        <v>74</v>
      </c>
      <c r="I607" t="s">
        <v>12245</v>
      </c>
      <c r="J607" t="s">
        <v>2712</v>
      </c>
      <c r="K607" t="s">
        <v>74</v>
      </c>
      <c r="L607" t="s">
        <v>74</v>
      </c>
      <c r="M607" t="s">
        <v>78</v>
      </c>
      <c r="N607" t="s">
        <v>79</v>
      </c>
      <c r="O607" t="s">
        <v>74</v>
      </c>
      <c r="P607" t="s">
        <v>74</v>
      </c>
      <c r="Q607" t="s">
        <v>74</v>
      </c>
      <c r="R607" t="s">
        <v>74</v>
      </c>
      <c r="S607" t="s">
        <v>74</v>
      </c>
      <c r="T607" t="s">
        <v>12246</v>
      </c>
      <c r="U607" t="s">
        <v>12247</v>
      </c>
      <c r="V607" t="s">
        <v>12248</v>
      </c>
      <c r="W607" t="s">
        <v>12249</v>
      </c>
      <c r="X607" t="s">
        <v>12250</v>
      </c>
      <c r="Y607" t="s">
        <v>12251</v>
      </c>
      <c r="Z607" t="s">
        <v>12252</v>
      </c>
      <c r="AA607" t="s">
        <v>74</v>
      </c>
      <c r="AB607" t="s">
        <v>74</v>
      </c>
      <c r="AC607" t="s">
        <v>12253</v>
      </c>
      <c r="AD607" t="s">
        <v>12254</v>
      </c>
      <c r="AE607" t="s">
        <v>12255</v>
      </c>
      <c r="AF607" t="s">
        <v>74</v>
      </c>
      <c r="AG607">
        <v>26</v>
      </c>
      <c r="AH607">
        <v>12</v>
      </c>
      <c r="AI607">
        <v>12</v>
      </c>
      <c r="AJ607">
        <v>0</v>
      </c>
      <c r="AK607">
        <v>9</v>
      </c>
      <c r="AL607" t="s">
        <v>2724</v>
      </c>
      <c r="AM607" t="s">
        <v>2725</v>
      </c>
      <c r="AN607" t="s">
        <v>2726</v>
      </c>
      <c r="AO607" t="s">
        <v>2727</v>
      </c>
      <c r="AP607" t="s">
        <v>74</v>
      </c>
      <c r="AQ607" t="s">
        <v>74</v>
      </c>
      <c r="AR607" t="s">
        <v>2728</v>
      </c>
      <c r="AS607" t="s">
        <v>2729</v>
      </c>
      <c r="AT607" t="s">
        <v>11892</v>
      </c>
      <c r="AU607">
        <v>2020</v>
      </c>
      <c r="AV607">
        <v>15</v>
      </c>
      <c r="AW607">
        <v>9</v>
      </c>
      <c r="AX607" t="s">
        <v>74</v>
      </c>
      <c r="AY607" t="s">
        <v>74</v>
      </c>
      <c r="AZ607" t="s">
        <v>74</v>
      </c>
      <c r="BA607" t="s">
        <v>74</v>
      </c>
      <c r="BB607" t="s">
        <v>74</v>
      </c>
      <c r="BC607" t="s">
        <v>74</v>
      </c>
      <c r="BD607">
        <v>94072</v>
      </c>
      <c r="BE607" t="s">
        <v>12256</v>
      </c>
      <c r="BF607" t="str">
        <f>HYPERLINK("http://dx.doi.org/10.1088/1748-9326/ab9d3d","http://dx.doi.org/10.1088/1748-9326/ab9d3d")</f>
        <v>http://dx.doi.org/10.1088/1748-9326/ab9d3d</v>
      </c>
      <c r="BG607" t="s">
        <v>74</v>
      </c>
      <c r="BH607" t="s">
        <v>74</v>
      </c>
      <c r="BI607">
        <v>8</v>
      </c>
      <c r="BJ607" t="s">
        <v>1027</v>
      </c>
      <c r="BK607" t="s">
        <v>100</v>
      </c>
      <c r="BL607" t="s">
        <v>1028</v>
      </c>
      <c r="BM607" t="s">
        <v>12257</v>
      </c>
      <c r="BN607" t="s">
        <v>74</v>
      </c>
      <c r="BO607" t="s">
        <v>202</v>
      </c>
      <c r="BP607" t="s">
        <v>74</v>
      </c>
      <c r="BQ607" t="s">
        <v>74</v>
      </c>
      <c r="BR607" t="s">
        <v>104</v>
      </c>
      <c r="BS607" t="s">
        <v>12258</v>
      </c>
      <c r="BT607" t="str">
        <f>HYPERLINK("https%3A%2F%2Fwww.webofscience.com%2Fwos%2Fwoscc%2Ffull-record%2FWOS:000566180800001","View Full Record in Web of Science")</f>
        <v>View Full Record in Web of Science</v>
      </c>
    </row>
    <row r="608" spans="1:72" x14ac:dyDescent="0.15">
      <c r="A608" t="s">
        <v>72</v>
      </c>
      <c r="B608" t="s">
        <v>12259</v>
      </c>
      <c r="C608" t="s">
        <v>74</v>
      </c>
      <c r="D608" t="s">
        <v>74</v>
      </c>
      <c r="E608" t="s">
        <v>74</v>
      </c>
      <c r="F608" t="s">
        <v>12260</v>
      </c>
      <c r="G608" t="s">
        <v>74</v>
      </c>
      <c r="H608" t="s">
        <v>74</v>
      </c>
      <c r="I608" t="s">
        <v>12261</v>
      </c>
      <c r="J608" t="s">
        <v>7086</v>
      </c>
      <c r="K608" t="s">
        <v>74</v>
      </c>
      <c r="L608" t="s">
        <v>74</v>
      </c>
      <c r="M608" t="s">
        <v>78</v>
      </c>
      <c r="N608" t="s">
        <v>79</v>
      </c>
      <c r="O608" t="s">
        <v>74</v>
      </c>
      <c r="P608" t="s">
        <v>74</v>
      </c>
      <c r="Q608" t="s">
        <v>74</v>
      </c>
      <c r="R608" t="s">
        <v>74</v>
      </c>
      <c r="S608" t="s">
        <v>74</v>
      </c>
      <c r="T608" t="s">
        <v>74</v>
      </c>
      <c r="U608" t="s">
        <v>12262</v>
      </c>
      <c r="V608" t="s">
        <v>12263</v>
      </c>
      <c r="W608" t="s">
        <v>12264</v>
      </c>
      <c r="X608" t="s">
        <v>12265</v>
      </c>
      <c r="Y608" t="s">
        <v>12266</v>
      </c>
      <c r="Z608" t="s">
        <v>12267</v>
      </c>
      <c r="AA608" t="s">
        <v>12268</v>
      </c>
      <c r="AB608" t="s">
        <v>12269</v>
      </c>
      <c r="AC608" t="s">
        <v>12270</v>
      </c>
      <c r="AD608" t="s">
        <v>12271</v>
      </c>
      <c r="AE608" t="s">
        <v>12272</v>
      </c>
      <c r="AF608" t="s">
        <v>74</v>
      </c>
      <c r="AG608">
        <v>70</v>
      </c>
      <c r="AH608">
        <v>4</v>
      </c>
      <c r="AI608">
        <v>5</v>
      </c>
      <c r="AJ608">
        <v>2</v>
      </c>
      <c r="AK608">
        <v>13</v>
      </c>
      <c r="AL608" t="s">
        <v>1495</v>
      </c>
      <c r="AM608" t="s">
        <v>1496</v>
      </c>
      <c r="AN608" t="s">
        <v>1497</v>
      </c>
      <c r="AO608" t="s">
        <v>7099</v>
      </c>
      <c r="AP608" t="s">
        <v>7100</v>
      </c>
      <c r="AQ608" t="s">
        <v>74</v>
      </c>
      <c r="AR608" t="s">
        <v>7101</v>
      </c>
      <c r="AS608" t="s">
        <v>7102</v>
      </c>
      <c r="AT608" t="s">
        <v>11892</v>
      </c>
      <c r="AU608">
        <v>2020</v>
      </c>
      <c r="AV608">
        <v>50</v>
      </c>
      <c r="AW608">
        <v>9</v>
      </c>
      <c r="AX608" t="s">
        <v>74</v>
      </c>
      <c r="AY608" t="s">
        <v>74</v>
      </c>
      <c r="AZ608" t="s">
        <v>74</v>
      </c>
      <c r="BA608" t="s">
        <v>74</v>
      </c>
      <c r="BB608">
        <v>2797</v>
      </c>
      <c r="BC608">
        <v>2814</v>
      </c>
      <c r="BD608" t="s">
        <v>74</v>
      </c>
      <c r="BE608" t="s">
        <v>12273</v>
      </c>
      <c r="BF608" t="str">
        <f>HYPERLINK("http://dx.doi.org/10.1175/JPO-D-19-0326.1","http://dx.doi.org/10.1175/JPO-D-19-0326.1")</f>
        <v>http://dx.doi.org/10.1175/JPO-D-19-0326.1</v>
      </c>
      <c r="BG608" t="s">
        <v>74</v>
      </c>
      <c r="BH608" t="s">
        <v>74</v>
      </c>
      <c r="BI608">
        <v>18</v>
      </c>
      <c r="BJ608" t="s">
        <v>1283</v>
      </c>
      <c r="BK608" t="s">
        <v>100</v>
      </c>
      <c r="BL608" t="s">
        <v>1283</v>
      </c>
      <c r="BM608" t="s">
        <v>12274</v>
      </c>
      <c r="BN608" t="s">
        <v>74</v>
      </c>
      <c r="BO608" t="s">
        <v>701</v>
      </c>
      <c r="BP608" t="s">
        <v>74</v>
      </c>
      <c r="BQ608" t="s">
        <v>74</v>
      </c>
      <c r="BR608" t="s">
        <v>104</v>
      </c>
      <c r="BS608" t="s">
        <v>12275</v>
      </c>
      <c r="BT608" t="str">
        <f>HYPERLINK("https%3A%2F%2Fwww.webofscience.com%2Fwos%2Fwoscc%2Ffull-record%2FWOS:000608257600001","View Full Record in Web of Science")</f>
        <v>View Full Record in Web of Science</v>
      </c>
    </row>
    <row r="609" spans="1:72" x14ac:dyDescent="0.15">
      <c r="A609" t="s">
        <v>72</v>
      </c>
      <c r="B609" t="s">
        <v>12276</v>
      </c>
      <c r="C609" t="s">
        <v>74</v>
      </c>
      <c r="D609" t="s">
        <v>74</v>
      </c>
      <c r="E609" t="s">
        <v>74</v>
      </c>
      <c r="F609" t="s">
        <v>12277</v>
      </c>
      <c r="G609" t="s">
        <v>74</v>
      </c>
      <c r="H609" t="s">
        <v>74</v>
      </c>
      <c r="I609" t="s">
        <v>12278</v>
      </c>
      <c r="J609" t="s">
        <v>1830</v>
      </c>
      <c r="K609" t="s">
        <v>74</v>
      </c>
      <c r="L609" t="s">
        <v>74</v>
      </c>
      <c r="M609" t="s">
        <v>78</v>
      </c>
      <c r="N609" t="s">
        <v>79</v>
      </c>
      <c r="O609" t="s">
        <v>74</v>
      </c>
      <c r="P609" t="s">
        <v>74</v>
      </c>
      <c r="Q609" t="s">
        <v>74</v>
      </c>
      <c r="R609" t="s">
        <v>74</v>
      </c>
      <c r="S609" t="s">
        <v>74</v>
      </c>
      <c r="T609" t="s">
        <v>12279</v>
      </c>
      <c r="U609" t="s">
        <v>12280</v>
      </c>
      <c r="V609" t="s">
        <v>12281</v>
      </c>
      <c r="W609" t="s">
        <v>12282</v>
      </c>
      <c r="X609" t="s">
        <v>12283</v>
      </c>
      <c r="Y609" t="s">
        <v>12284</v>
      </c>
      <c r="Z609" t="s">
        <v>12285</v>
      </c>
      <c r="AA609" t="s">
        <v>12286</v>
      </c>
      <c r="AB609" t="s">
        <v>12287</v>
      </c>
      <c r="AC609" t="s">
        <v>12288</v>
      </c>
      <c r="AD609" t="s">
        <v>12289</v>
      </c>
      <c r="AE609" t="s">
        <v>12290</v>
      </c>
      <c r="AF609" t="s">
        <v>74</v>
      </c>
      <c r="AG609">
        <v>32</v>
      </c>
      <c r="AH609">
        <v>25</v>
      </c>
      <c r="AI609">
        <v>26</v>
      </c>
      <c r="AJ609">
        <v>4</v>
      </c>
      <c r="AK609">
        <v>11</v>
      </c>
      <c r="AL609" t="s">
        <v>1710</v>
      </c>
      <c r="AM609" t="s">
        <v>609</v>
      </c>
      <c r="AN609" t="s">
        <v>1711</v>
      </c>
      <c r="AO609" t="s">
        <v>1843</v>
      </c>
      <c r="AP609" t="s">
        <v>1844</v>
      </c>
      <c r="AQ609" t="s">
        <v>74</v>
      </c>
      <c r="AR609" t="s">
        <v>1845</v>
      </c>
      <c r="AS609" t="s">
        <v>1846</v>
      </c>
      <c r="AT609" t="s">
        <v>11892</v>
      </c>
      <c r="AU609">
        <v>2020</v>
      </c>
      <c r="AV609">
        <v>125</v>
      </c>
      <c r="AW609">
        <v>9</v>
      </c>
      <c r="AX609" t="s">
        <v>74</v>
      </c>
      <c r="AY609" t="s">
        <v>74</v>
      </c>
      <c r="AZ609" t="s">
        <v>74</v>
      </c>
      <c r="BA609" t="s">
        <v>74</v>
      </c>
      <c r="BB609" t="s">
        <v>74</v>
      </c>
      <c r="BC609" t="s">
        <v>74</v>
      </c>
      <c r="BD609" t="s">
        <v>12291</v>
      </c>
      <c r="BE609" t="s">
        <v>12292</v>
      </c>
      <c r="BF609" t="str">
        <f>HYPERLINK("http://dx.doi.org/10.1029/2020JA028283","http://dx.doi.org/10.1029/2020JA028283")</f>
        <v>http://dx.doi.org/10.1029/2020JA028283</v>
      </c>
      <c r="BG609" t="s">
        <v>74</v>
      </c>
      <c r="BH609" t="s">
        <v>74</v>
      </c>
      <c r="BI609">
        <v>15</v>
      </c>
      <c r="BJ609" t="s">
        <v>1849</v>
      </c>
      <c r="BK609" t="s">
        <v>100</v>
      </c>
      <c r="BL609" t="s">
        <v>1849</v>
      </c>
      <c r="BM609" t="s">
        <v>12293</v>
      </c>
      <c r="BN609" t="s">
        <v>74</v>
      </c>
      <c r="BO609" t="s">
        <v>564</v>
      </c>
      <c r="BP609" t="s">
        <v>74</v>
      </c>
      <c r="BQ609" t="s">
        <v>74</v>
      </c>
      <c r="BR609" t="s">
        <v>104</v>
      </c>
      <c r="BS609" t="s">
        <v>12294</v>
      </c>
      <c r="BT609" t="str">
        <f>HYPERLINK("https%3A%2F%2Fwww.webofscience.com%2Fwos%2Fwoscc%2Ffull-record%2FWOS:000600989000038","View Full Record in Web of Science")</f>
        <v>View Full Record in Web of Science</v>
      </c>
    </row>
    <row r="610" spans="1:72" x14ac:dyDescent="0.15">
      <c r="A610" t="s">
        <v>72</v>
      </c>
      <c r="B610" t="s">
        <v>12295</v>
      </c>
      <c r="C610" t="s">
        <v>74</v>
      </c>
      <c r="D610" t="s">
        <v>74</v>
      </c>
      <c r="E610" t="s">
        <v>74</v>
      </c>
      <c r="F610" t="s">
        <v>12296</v>
      </c>
      <c r="G610" t="s">
        <v>74</v>
      </c>
      <c r="H610" t="s">
        <v>74</v>
      </c>
      <c r="I610" t="s">
        <v>12297</v>
      </c>
      <c r="J610" t="s">
        <v>1830</v>
      </c>
      <c r="K610" t="s">
        <v>74</v>
      </c>
      <c r="L610" t="s">
        <v>74</v>
      </c>
      <c r="M610" t="s">
        <v>78</v>
      </c>
      <c r="N610" t="s">
        <v>79</v>
      </c>
      <c r="O610" t="s">
        <v>74</v>
      </c>
      <c r="P610" t="s">
        <v>74</v>
      </c>
      <c r="Q610" t="s">
        <v>74</v>
      </c>
      <c r="R610" t="s">
        <v>74</v>
      </c>
      <c r="S610" t="s">
        <v>74</v>
      </c>
      <c r="T610" t="s">
        <v>74</v>
      </c>
      <c r="U610" t="s">
        <v>12298</v>
      </c>
      <c r="V610" t="s">
        <v>12299</v>
      </c>
      <c r="W610" t="s">
        <v>12300</v>
      </c>
      <c r="X610" t="s">
        <v>12301</v>
      </c>
      <c r="Y610" t="s">
        <v>12302</v>
      </c>
      <c r="Z610" t="s">
        <v>12303</v>
      </c>
      <c r="AA610" t="s">
        <v>12304</v>
      </c>
      <c r="AB610" t="s">
        <v>12305</v>
      </c>
      <c r="AC610" t="s">
        <v>12306</v>
      </c>
      <c r="AD610" t="s">
        <v>12307</v>
      </c>
      <c r="AE610" t="s">
        <v>12308</v>
      </c>
      <c r="AF610" t="s">
        <v>74</v>
      </c>
      <c r="AG610">
        <v>89</v>
      </c>
      <c r="AH610">
        <v>10</v>
      </c>
      <c r="AI610">
        <v>10</v>
      </c>
      <c r="AJ610">
        <v>0</v>
      </c>
      <c r="AK610">
        <v>5</v>
      </c>
      <c r="AL610" t="s">
        <v>1710</v>
      </c>
      <c r="AM610" t="s">
        <v>609</v>
      </c>
      <c r="AN610" t="s">
        <v>1711</v>
      </c>
      <c r="AO610" t="s">
        <v>1843</v>
      </c>
      <c r="AP610" t="s">
        <v>1844</v>
      </c>
      <c r="AQ610" t="s">
        <v>74</v>
      </c>
      <c r="AR610" t="s">
        <v>1845</v>
      </c>
      <c r="AS610" t="s">
        <v>1846</v>
      </c>
      <c r="AT610" t="s">
        <v>11892</v>
      </c>
      <c r="AU610">
        <v>2020</v>
      </c>
      <c r="AV610">
        <v>125</v>
      </c>
      <c r="AW610">
        <v>9</v>
      </c>
      <c r="AX610" t="s">
        <v>74</v>
      </c>
      <c r="AY610" t="s">
        <v>74</v>
      </c>
      <c r="AZ610" t="s">
        <v>74</v>
      </c>
      <c r="BA610" t="s">
        <v>74</v>
      </c>
      <c r="BB610" t="s">
        <v>74</v>
      </c>
      <c r="BC610" t="s">
        <v>74</v>
      </c>
      <c r="BD610" t="s">
        <v>12309</v>
      </c>
      <c r="BE610" t="s">
        <v>12310</v>
      </c>
      <c r="BF610" t="str">
        <f>HYPERLINK("http://dx.doi.org/10.1029/2020JA028109","http://dx.doi.org/10.1029/2020JA028109")</f>
        <v>http://dx.doi.org/10.1029/2020JA028109</v>
      </c>
      <c r="BG610" t="s">
        <v>74</v>
      </c>
      <c r="BH610" t="s">
        <v>74</v>
      </c>
      <c r="BI610">
        <v>20</v>
      </c>
      <c r="BJ610" t="s">
        <v>1849</v>
      </c>
      <c r="BK610" t="s">
        <v>100</v>
      </c>
      <c r="BL610" t="s">
        <v>1849</v>
      </c>
      <c r="BM610" t="s">
        <v>12293</v>
      </c>
      <c r="BN610" t="s">
        <v>74</v>
      </c>
      <c r="BO610" t="s">
        <v>564</v>
      </c>
      <c r="BP610" t="s">
        <v>74</v>
      </c>
      <c r="BQ610" t="s">
        <v>74</v>
      </c>
      <c r="BR610" t="s">
        <v>104</v>
      </c>
      <c r="BS610" t="s">
        <v>12311</v>
      </c>
      <c r="BT610" t="str">
        <f>HYPERLINK("https%3A%2F%2Fwww.webofscience.com%2Fwos%2Fwoscc%2Ffull-record%2FWOS:000600989000045","View Full Record in Web of Science")</f>
        <v>View Full Record in Web of Science</v>
      </c>
    </row>
    <row r="611" spans="1:72" x14ac:dyDescent="0.15">
      <c r="A611" t="s">
        <v>72</v>
      </c>
      <c r="B611" t="s">
        <v>12312</v>
      </c>
      <c r="C611" t="s">
        <v>74</v>
      </c>
      <c r="D611" t="s">
        <v>74</v>
      </c>
      <c r="E611" t="s">
        <v>74</v>
      </c>
      <c r="F611" t="s">
        <v>12313</v>
      </c>
      <c r="G611" t="s">
        <v>74</v>
      </c>
      <c r="H611" t="s">
        <v>74</v>
      </c>
      <c r="I611" t="s">
        <v>12314</v>
      </c>
      <c r="J611" t="s">
        <v>1830</v>
      </c>
      <c r="K611" t="s">
        <v>74</v>
      </c>
      <c r="L611" t="s">
        <v>74</v>
      </c>
      <c r="M611" t="s">
        <v>78</v>
      </c>
      <c r="N611" t="s">
        <v>79</v>
      </c>
      <c r="O611" t="s">
        <v>74</v>
      </c>
      <c r="P611" t="s">
        <v>74</v>
      </c>
      <c r="Q611" t="s">
        <v>74</v>
      </c>
      <c r="R611" t="s">
        <v>74</v>
      </c>
      <c r="S611" t="s">
        <v>74</v>
      </c>
      <c r="T611" t="s">
        <v>12315</v>
      </c>
      <c r="U611" t="s">
        <v>12316</v>
      </c>
      <c r="V611" t="s">
        <v>12317</v>
      </c>
      <c r="W611" t="s">
        <v>12318</v>
      </c>
      <c r="X611" t="s">
        <v>12319</v>
      </c>
      <c r="Y611" t="s">
        <v>12320</v>
      </c>
      <c r="Z611" t="s">
        <v>12321</v>
      </c>
      <c r="AA611" t="s">
        <v>12322</v>
      </c>
      <c r="AB611" t="s">
        <v>12323</v>
      </c>
      <c r="AC611" t="s">
        <v>12324</v>
      </c>
      <c r="AD611" t="s">
        <v>12325</v>
      </c>
      <c r="AE611" t="s">
        <v>12326</v>
      </c>
      <c r="AF611" t="s">
        <v>74</v>
      </c>
      <c r="AG611">
        <v>85</v>
      </c>
      <c r="AH611">
        <v>8</v>
      </c>
      <c r="AI611">
        <v>8</v>
      </c>
      <c r="AJ611">
        <v>2</v>
      </c>
      <c r="AK611">
        <v>12</v>
      </c>
      <c r="AL611" t="s">
        <v>1710</v>
      </c>
      <c r="AM611" t="s">
        <v>609</v>
      </c>
      <c r="AN611" t="s">
        <v>1711</v>
      </c>
      <c r="AO611" t="s">
        <v>1843</v>
      </c>
      <c r="AP611" t="s">
        <v>1844</v>
      </c>
      <c r="AQ611" t="s">
        <v>74</v>
      </c>
      <c r="AR611" t="s">
        <v>1845</v>
      </c>
      <c r="AS611" t="s">
        <v>1846</v>
      </c>
      <c r="AT611" t="s">
        <v>11892</v>
      </c>
      <c r="AU611">
        <v>2020</v>
      </c>
      <c r="AV611">
        <v>125</v>
      </c>
      <c r="AW611">
        <v>9</v>
      </c>
      <c r="AX611" t="s">
        <v>74</v>
      </c>
      <c r="AY611" t="s">
        <v>74</v>
      </c>
      <c r="AZ611" t="s">
        <v>74</v>
      </c>
      <c r="BA611" t="s">
        <v>74</v>
      </c>
      <c r="BB611" t="s">
        <v>74</v>
      </c>
      <c r="BC611" t="s">
        <v>74</v>
      </c>
      <c r="BD611" t="s">
        <v>12327</v>
      </c>
      <c r="BE611" t="s">
        <v>12328</v>
      </c>
      <c r="BF611" t="str">
        <f>HYPERLINK("http://dx.doi.org/10.1029/2020JA028224","http://dx.doi.org/10.1029/2020JA028224")</f>
        <v>http://dx.doi.org/10.1029/2020JA028224</v>
      </c>
      <c r="BG611" t="s">
        <v>74</v>
      </c>
      <c r="BH611" t="s">
        <v>74</v>
      </c>
      <c r="BI611">
        <v>21</v>
      </c>
      <c r="BJ611" t="s">
        <v>1849</v>
      </c>
      <c r="BK611" t="s">
        <v>100</v>
      </c>
      <c r="BL611" t="s">
        <v>1849</v>
      </c>
      <c r="BM611" t="s">
        <v>12293</v>
      </c>
      <c r="BN611" t="s">
        <v>74</v>
      </c>
      <c r="BO611" t="s">
        <v>1259</v>
      </c>
      <c r="BP611" t="s">
        <v>74</v>
      </c>
      <c r="BQ611" t="s">
        <v>74</v>
      </c>
      <c r="BR611" t="s">
        <v>104</v>
      </c>
      <c r="BS611" t="s">
        <v>12329</v>
      </c>
      <c r="BT611" t="str">
        <f>HYPERLINK("https%3A%2F%2Fwww.webofscience.com%2Fwos%2Fwoscc%2Ffull-record%2FWOS:000600989000057","View Full Record in Web of Science")</f>
        <v>View Full Record in Web of Science</v>
      </c>
    </row>
    <row r="612" spans="1:72" x14ac:dyDescent="0.15">
      <c r="A612" t="s">
        <v>72</v>
      </c>
      <c r="B612" t="s">
        <v>12330</v>
      </c>
      <c r="C612" t="s">
        <v>74</v>
      </c>
      <c r="D612" t="s">
        <v>74</v>
      </c>
      <c r="E612" t="s">
        <v>74</v>
      </c>
      <c r="F612" t="s">
        <v>12331</v>
      </c>
      <c r="G612" t="s">
        <v>74</v>
      </c>
      <c r="H612" t="s">
        <v>74</v>
      </c>
      <c r="I612" t="s">
        <v>12332</v>
      </c>
      <c r="J612" t="s">
        <v>1830</v>
      </c>
      <c r="K612" t="s">
        <v>74</v>
      </c>
      <c r="L612" t="s">
        <v>74</v>
      </c>
      <c r="M612" t="s">
        <v>78</v>
      </c>
      <c r="N612" t="s">
        <v>79</v>
      </c>
      <c r="O612" t="s">
        <v>74</v>
      </c>
      <c r="P612" t="s">
        <v>74</v>
      </c>
      <c r="Q612" t="s">
        <v>74</v>
      </c>
      <c r="R612" t="s">
        <v>74</v>
      </c>
      <c r="S612" t="s">
        <v>74</v>
      </c>
      <c r="T612" t="s">
        <v>74</v>
      </c>
      <c r="U612" t="s">
        <v>12333</v>
      </c>
      <c r="V612" t="s">
        <v>12334</v>
      </c>
      <c r="W612" t="s">
        <v>12335</v>
      </c>
      <c r="X612" t="s">
        <v>12336</v>
      </c>
      <c r="Y612" t="s">
        <v>12337</v>
      </c>
      <c r="Z612" t="s">
        <v>12338</v>
      </c>
      <c r="AA612" t="s">
        <v>12339</v>
      </c>
      <c r="AB612" t="s">
        <v>12340</v>
      </c>
      <c r="AC612" t="s">
        <v>12341</v>
      </c>
      <c r="AD612" t="s">
        <v>9009</v>
      </c>
      <c r="AE612" t="s">
        <v>12342</v>
      </c>
      <c r="AF612" t="s">
        <v>74</v>
      </c>
      <c r="AG612">
        <v>51</v>
      </c>
      <c r="AH612">
        <v>8</v>
      </c>
      <c r="AI612">
        <v>8</v>
      </c>
      <c r="AJ612">
        <v>6</v>
      </c>
      <c r="AK612">
        <v>26</v>
      </c>
      <c r="AL612" t="s">
        <v>1710</v>
      </c>
      <c r="AM612" t="s">
        <v>609</v>
      </c>
      <c r="AN612" t="s">
        <v>1711</v>
      </c>
      <c r="AO612" t="s">
        <v>1843</v>
      </c>
      <c r="AP612" t="s">
        <v>1844</v>
      </c>
      <c r="AQ612" t="s">
        <v>74</v>
      </c>
      <c r="AR612" t="s">
        <v>1845</v>
      </c>
      <c r="AS612" t="s">
        <v>1846</v>
      </c>
      <c r="AT612" t="s">
        <v>11892</v>
      </c>
      <c r="AU612">
        <v>2020</v>
      </c>
      <c r="AV612">
        <v>125</v>
      </c>
      <c r="AW612">
        <v>9</v>
      </c>
      <c r="AX612" t="s">
        <v>74</v>
      </c>
      <c r="AY612" t="s">
        <v>74</v>
      </c>
      <c r="AZ612" t="s">
        <v>74</v>
      </c>
      <c r="BA612" t="s">
        <v>74</v>
      </c>
      <c r="BB612" t="s">
        <v>74</v>
      </c>
      <c r="BC612" t="s">
        <v>74</v>
      </c>
      <c r="BD612" t="s">
        <v>12343</v>
      </c>
      <c r="BE612" t="s">
        <v>12344</v>
      </c>
      <c r="BF612" t="str">
        <f>HYPERLINK("http://dx.doi.org/10.1029/2019JA027590","http://dx.doi.org/10.1029/2019JA027590")</f>
        <v>http://dx.doi.org/10.1029/2019JA027590</v>
      </c>
      <c r="BG612" t="s">
        <v>74</v>
      </c>
      <c r="BH612" t="s">
        <v>74</v>
      </c>
      <c r="BI612">
        <v>17</v>
      </c>
      <c r="BJ612" t="s">
        <v>1849</v>
      </c>
      <c r="BK612" t="s">
        <v>100</v>
      </c>
      <c r="BL612" t="s">
        <v>1849</v>
      </c>
      <c r="BM612" t="s">
        <v>12293</v>
      </c>
      <c r="BN612" t="s">
        <v>74</v>
      </c>
      <c r="BO612" t="s">
        <v>74</v>
      </c>
      <c r="BP612" t="s">
        <v>74</v>
      </c>
      <c r="BQ612" t="s">
        <v>74</v>
      </c>
      <c r="BR612" t="s">
        <v>104</v>
      </c>
      <c r="BS612" t="s">
        <v>12345</v>
      </c>
      <c r="BT612" t="str">
        <f>HYPERLINK("https%3A%2F%2Fwww.webofscience.com%2Fwos%2Fwoscc%2Ffull-record%2FWOS:000600989000006","View Full Record in Web of Science")</f>
        <v>View Full Record in Web of Science</v>
      </c>
    </row>
    <row r="613" spans="1:72" x14ac:dyDescent="0.15">
      <c r="A613" t="s">
        <v>72</v>
      </c>
      <c r="B613" t="s">
        <v>12346</v>
      </c>
      <c r="C613" t="s">
        <v>74</v>
      </c>
      <c r="D613" t="s">
        <v>74</v>
      </c>
      <c r="E613" t="s">
        <v>74</v>
      </c>
      <c r="F613" t="s">
        <v>12347</v>
      </c>
      <c r="G613" t="s">
        <v>74</v>
      </c>
      <c r="H613" t="s">
        <v>74</v>
      </c>
      <c r="I613" t="s">
        <v>12348</v>
      </c>
      <c r="J613" t="s">
        <v>12349</v>
      </c>
      <c r="K613" t="s">
        <v>74</v>
      </c>
      <c r="L613" t="s">
        <v>74</v>
      </c>
      <c r="M613" t="s">
        <v>78</v>
      </c>
      <c r="N613" t="s">
        <v>3481</v>
      </c>
      <c r="O613" t="s">
        <v>74</v>
      </c>
      <c r="P613" t="s">
        <v>74</v>
      </c>
      <c r="Q613" t="s">
        <v>74</v>
      </c>
      <c r="R613" t="s">
        <v>74</v>
      </c>
      <c r="S613" t="s">
        <v>74</v>
      </c>
      <c r="T613" t="s">
        <v>74</v>
      </c>
      <c r="U613" t="s">
        <v>12350</v>
      </c>
      <c r="V613" t="s">
        <v>74</v>
      </c>
      <c r="W613" t="s">
        <v>12351</v>
      </c>
      <c r="X613" t="s">
        <v>12352</v>
      </c>
      <c r="Y613" t="s">
        <v>12353</v>
      </c>
      <c r="Z613" t="s">
        <v>12354</v>
      </c>
      <c r="AA613" t="s">
        <v>12355</v>
      </c>
      <c r="AB613" t="s">
        <v>12356</v>
      </c>
      <c r="AC613" t="s">
        <v>74</v>
      </c>
      <c r="AD613" t="s">
        <v>74</v>
      </c>
      <c r="AE613" t="s">
        <v>74</v>
      </c>
      <c r="AF613" t="s">
        <v>74</v>
      </c>
      <c r="AG613">
        <v>10</v>
      </c>
      <c r="AH613">
        <v>9</v>
      </c>
      <c r="AI613">
        <v>9</v>
      </c>
      <c r="AJ613">
        <v>0</v>
      </c>
      <c r="AK613">
        <v>7</v>
      </c>
      <c r="AL613" t="s">
        <v>1546</v>
      </c>
      <c r="AM613" t="s">
        <v>1547</v>
      </c>
      <c r="AN613" t="s">
        <v>1548</v>
      </c>
      <c r="AO613" t="s">
        <v>12357</v>
      </c>
      <c r="AP613" t="s">
        <v>12358</v>
      </c>
      <c r="AQ613" t="s">
        <v>74</v>
      </c>
      <c r="AR613" t="s">
        <v>12359</v>
      </c>
      <c r="AS613" t="s">
        <v>12360</v>
      </c>
      <c r="AT613" t="s">
        <v>11892</v>
      </c>
      <c r="AU613">
        <v>2020</v>
      </c>
      <c r="AV613">
        <v>80</v>
      </c>
      <c r="AW613">
        <v>3</v>
      </c>
      <c r="AX613" t="s">
        <v>74</v>
      </c>
      <c r="AY613" t="s">
        <v>74</v>
      </c>
      <c r="AZ613" t="s">
        <v>489</v>
      </c>
      <c r="BA613" t="s">
        <v>74</v>
      </c>
      <c r="BB613" t="s">
        <v>74</v>
      </c>
      <c r="BC613" t="s">
        <v>74</v>
      </c>
      <c r="BD613">
        <v>125652</v>
      </c>
      <c r="BE613" t="s">
        <v>12361</v>
      </c>
      <c r="BF613" t="str">
        <f>HYPERLINK("http://dx.doi.org/10.1016/j.chemer.2020.125652","http://dx.doi.org/10.1016/j.chemer.2020.125652")</f>
        <v>http://dx.doi.org/10.1016/j.chemer.2020.125652</v>
      </c>
      <c r="BG613" t="s">
        <v>74</v>
      </c>
      <c r="BH613" t="s">
        <v>74</v>
      </c>
      <c r="BI613">
        <v>4</v>
      </c>
      <c r="BJ613" t="s">
        <v>1361</v>
      </c>
      <c r="BK613" t="s">
        <v>100</v>
      </c>
      <c r="BL613" t="s">
        <v>1361</v>
      </c>
      <c r="BM613" t="s">
        <v>12362</v>
      </c>
      <c r="BN613" t="s">
        <v>74</v>
      </c>
      <c r="BO613" t="s">
        <v>74</v>
      </c>
      <c r="BP613" t="s">
        <v>74</v>
      </c>
      <c r="BQ613" t="s">
        <v>74</v>
      </c>
      <c r="BR613" t="s">
        <v>104</v>
      </c>
      <c r="BS613" t="s">
        <v>12363</v>
      </c>
      <c r="BT613" t="str">
        <f>HYPERLINK("https%3A%2F%2Fwww.webofscience.com%2Fwos%2Fwoscc%2Ffull-record%2FWOS:000583156800001","View Full Record in Web of Science")</f>
        <v>View Full Record in Web of Science</v>
      </c>
    </row>
    <row r="614" spans="1:72" x14ac:dyDescent="0.15">
      <c r="A614" t="s">
        <v>72</v>
      </c>
      <c r="B614" t="s">
        <v>12364</v>
      </c>
      <c r="C614" t="s">
        <v>74</v>
      </c>
      <c r="D614" t="s">
        <v>74</v>
      </c>
      <c r="E614" t="s">
        <v>74</v>
      </c>
      <c r="F614" t="s">
        <v>12365</v>
      </c>
      <c r="G614" t="s">
        <v>74</v>
      </c>
      <c r="H614" t="s">
        <v>74</v>
      </c>
      <c r="I614" t="s">
        <v>12366</v>
      </c>
      <c r="J614" t="s">
        <v>12367</v>
      </c>
      <c r="K614" t="s">
        <v>74</v>
      </c>
      <c r="L614" t="s">
        <v>74</v>
      </c>
      <c r="M614" t="s">
        <v>78</v>
      </c>
      <c r="N614" t="s">
        <v>3481</v>
      </c>
      <c r="O614" t="s">
        <v>74</v>
      </c>
      <c r="P614" t="s">
        <v>74</v>
      </c>
      <c r="Q614" t="s">
        <v>74</v>
      </c>
      <c r="R614" t="s">
        <v>74</v>
      </c>
      <c r="S614" t="s">
        <v>74</v>
      </c>
      <c r="T614" t="s">
        <v>74</v>
      </c>
      <c r="U614" t="s">
        <v>12368</v>
      </c>
      <c r="V614" t="s">
        <v>74</v>
      </c>
      <c r="W614" t="s">
        <v>12369</v>
      </c>
      <c r="X614" t="s">
        <v>12370</v>
      </c>
      <c r="Y614" t="s">
        <v>12371</v>
      </c>
      <c r="Z614" t="s">
        <v>12372</v>
      </c>
      <c r="AA614" t="s">
        <v>12373</v>
      </c>
      <c r="AB614" t="s">
        <v>12374</v>
      </c>
      <c r="AC614" t="s">
        <v>12375</v>
      </c>
      <c r="AD614" t="s">
        <v>12376</v>
      </c>
      <c r="AE614" t="s">
        <v>12377</v>
      </c>
      <c r="AF614" t="s">
        <v>74</v>
      </c>
      <c r="AG614">
        <v>43</v>
      </c>
      <c r="AH614">
        <v>11</v>
      </c>
      <c r="AI614">
        <v>11</v>
      </c>
      <c r="AJ614">
        <v>3</v>
      </c>
      <c r="AK614">
        <v>10</v>
      </c>
      <c r="AL614" t="s">
        <v>219</v>
      </c>
      <c r="AM614" t="s">
        <v>220</v>
      </c>
      <c r="AN614" t="s">
        <v>221</v>
      </c>
      <c r="AO614" t="s">
        <v>12378</v>
      </c>
      <c r="AP614" t="s">
        <v>12379</v>
      </c>
      <c r="AQ614" t="s">
        <v>74</v>
      </c>
      <c r="AR614" t="s">
        <v>12380</v>
      </c>
      <c r="AS614" t="s">
        <v>12381</v>
      </c>
      <c r="AT614" t="s">
        <v>11892</v>
      </c>
      <c r="AU614">
        <v>2020</v>
      </c>
      <c r="AV614">
        <v>31</v>
      </c>
      <c r="AW614">
        <v>15</v>
      </c>
      <c r="AX614" t="s">
        <v>74</v>
      </c>
      <c r="AY614" t="s">
        <v>74</v>
      </c>
      <c r="AZ614" t="s">
        <v>74</v>
      </c>
      <c r="BA614" t="s">
        <v>74</v>
      </c>
      <c r="BB614">
        <v>1871</v>
      </c>
      <c r="BC614">
        <v>1876</v>
      </c>
      <c r="BD614" t="s">
        <v>74</v>
      </c>
      <c r="BE614" t="s">
        <v>12382</v>
      </c>
      <c r="BF614" t="str">
        <f>HYPERLINK("http://dx.doi.org/10.1002/ldr.3283","http://dx.doi.org/10.1002/ldr.3283")</f>
        <v>http://dx.doi.org/10.1002/ldr.3283</v>
      </c>
      <c r="BG614" t="s">
        <v>74</v>
      </c>
      <c r="BH614" t="s">
        <v>74</v>
      </c>
      <c r="BI614">
        <v>6</v>
      </c>
      <c r="BJ614" t="s">
        <v>12383</v>
      </c>
      <c r="BK614" t="s">
        <v>100</v>
      </c>
      <c r="BL614" t="s">
        <v>12384</v>
      </c>
      <c r="BM614" t="s">
        <v>12385</v>
      </c>
      <c r="BN614" t="s">
        <v>74</v>
      </c>
      <c r="BO614" t="s">
        <v>74</v>
      </c>
      <c r="BP614" t="s">
        <v>74</v>
      </c>
      <c r="BQ614" t="s">
        <v>74</v>
      </c>
      <c r="BR614" t="s">
        <v>104</v>
      </c>
      <c r="BS614" t="s">
        <v>12386</v>
      </c>
      <c r="BT614" t="str">
        <f>HYPERLINK("https%3A%2F%2Fwww.webofscience.com%2Fwos%2Fwoscc%2Ffull-record%2FWOS:000569903500002","View Full Record in Web of Science")</f>
        <v>View Full Record in Web of Science</v>
      </c>
    </row>
    <row r="615" spans="1:72" x14ac:dyDescent="0.15">
      <c r="A615" t="s">
        <v>72</v>
      </c>
      <c r="B615" t="s">
        <v>12387</v>
      </c>
      <c r="C615" t="s">
        <v>74</v>
      </c>
      <c r="D615" t="s">
        <v>74</v>
      </c>
      <c r="E615" t="s">
        <v>74</v>
      </c>
      <c r="F615" t="s">
        <v>12388</v>
      </c>
      <c r="G615" t="s">
        <v>74</v>
      </c>
      <c r="H615" t="s">
        <v>74</v>
      </c>
      <c r="I615" t="s">
        <v>12389</v>
      </c>
      <c r="J615" t="s">
        <v>12390</v>
      </c>
      <c r="K615" t="s">
        <v>74</v>
      </c>
      <c r="L615" t="s">
        <v>74</v>
      </c>
      <c r="M615" t="s">
        <v>78</v>
      </c>
      <c r="N615" t="s">
        <v>79</v>
      </c>
      <c r="O615" t="s">
        <v>74</v>
      </c>
      <c r="P615" t="s">
        <v>74</v>
      </c>
      <c r="Q615" t="s">
        <v>74</v>
      </c>
      <c r="R615" t="s">
        <v>74</v>
      </c>
      <c r="S615" t="s">
        <v>74</v>
      </c>
      <c r="T615" t="s">
        <v>12391</v>
      </c>
      <c r="U615" t="s">
        <v>12392</v>
      </c>
      <c r="V615" t="s">
        <v>12393</v>
      </c>
      <c r="W615" t="s">
        <v>12394</v>
      </c>
      <c r="X615" t="s">
        <v>12395</v>
      </c>
      <c r="Y615" t="s">
        <v>12396</v>
      </c>
      <c r="Z615" t="s">
        <v>12397</v>
      </c>
      <c r="AA615" t="s">
        <v>74</v>
      </c>
      <c r="AB615" t="s">
        <v>74</v>
      </c>
      <c r="AC615" t="s">
        <v>74</v>
      </c>
      <c r="AD615" t="s">
        <v>74</v>
      </c>
      <c r="AE615" t="s">
        <v>74</v>
      </c>
      <c r="AF615" t="s">
        <v>74</v>
      </c>
      <c r="AG615">
        <v>47</v>
      </c>
      <c r="AH615">
        <v>0</v>
      </c>
      <c r="AI615">
        <v>0</v>
      </c>
      <c r="AJ615">
        <v>1</v>
      </c>
      <c r="AK615">
        <v>2</v>
      </c>
      <c r="AL615" t="s">
        <v>12398</v>
      </c>
      <c r="AM615" t="s">
        <v>12399</v>
      </c>
      <c r="AN615" t="s">
        <v>12400</v>
      </c>
      <c r="AO615" t="s">
        <v>12401</v>
      </c>
      <c r="AP615" t="s">
        <v>12402</v>
      </c>
      <c r="AQ615" t="s">
        <v>74</v>
      </c>
      <c r="AR615" t="s">
        <v>12403</v>
      </c>
      <c r="AS615" t="s">
        <v>12404</v>
      </c>
      <c r="AT615" t="s">
        <v>11892</v>
      </c>
      <c r="AU615">
        <v>2020</v>
      </c>
      <c r="AV615">
        <v>34</v>
      </c>
      <c r="AW615">
        <v>3</v>
      </c>
      <c r="AX615" t="s">
        <v>74</v>
      </c>
      <c r="AY615" t="s">
        <v>74</v>
      </c>
      <c r="AZ615" t="s">
        <v>74</v>
      </c>
      <c r="BA615" t="s">
        <v>74</v>
      </c>
      <c r="BB615">
        <v>295</v>
      </c>
      <c r="BC615">
        <v>301</v>
      </c>
      <c r="BD615" t="s">
        <v>74</v>
      </c>
      <c r="BE615" t="s">
        <v>12405</v>
      </c>
      <c r="BF615" t="str">
        <f>HYPERLINK("http://dx.doi.org/10.1647/1082-6742-34.3.295","http://dx.doi.org/10.1647/1082-6742-34.3.295")</f>
        <v>http://dx.doi.org/10.1647/1082-6742-34.3.295</v>
      </c>
      <c r="BG615" t="s">
        <v>74</v>
      </c>
      <c r="BH615" t="s">
        <v>74</v>
      </c>
      <c r="BI615">
        <v>7</v>
      </c>
      <c r="BJ615" t="s">
        <v>6225</v>
      </c>
      <c r="BK615" t="s">
        <v>100</v>
      </c>
      <c r="BL615" t="s">
        <v>6225</v>
      </c>
      <c r="BM615" t="s">
        <v>12406</v>
      </c>
      <c r="BN615">
        <v>33099984</v>
      </c>
      <c r="BO615" t="s">
        <v>74</v>
      </c>
      <c r="BP615" t="s">
        <v>74</v>
      </c>
      <c r="BQ615" t="s">
        <v>74</v>
      </c>
      <c r="BR615" t="s">
        <v>104</v>
      </c>
      <c r="BS615" t="s">
        <v>12407</v>
      </c>
      <c r="BT615" t="str">
        <f>HYPERLINK("https%3A%2F%2Fwww.webofscience.com%2Fwos%2Fwoscc%2Ffull-record%2FWOS:000584997900011","View Full Record in Web of Science")</f>
        <v>View Full Record in Web of Science</v>
      </c>
    </row>
    <row r="616" spans="1:72" x14ac:dyDescent="0.15">
      <c r="A616" t="s">
        <v>72</v>
      </c>
      <c r="B616" t="s">
        <v>12408</v>
      </c>
      <c r="C616" t="s">
        <v>74</v>
      </c>
      <c r="D616" t="s">
        <v>74</v>
      </c>
      <c r="E616" t="s">
        <v>74</v>
      </c>
      <c r="F616" t="s">
        <v>12409</v>
      </c>
      <c r="G616" t="s">
        <v>74</v>
      </c>
      <c r="H616" t="s">
        <v>74</v>
      </c>
      <c r="I616" t="s">
        <v>12410</v>
      </c>
      <c r="J616" t="s">
        <v>2026</v>
      </c>
      <c r="K616" t="s">
        <v>74</v>
      </c>
      <c r="L616" t="s">
        <v>74</v>
      </c>
      <c r="M616" t="s">
        <v>78</v>
      </c>
      <c r="N616" t="s">
        <v>79</v>
      </c>
      <c r="O616" t="s">
        <v>74</v>
      </c>
      <c r="P616" t="s">
        <v>74</v>
      </c>
      <c r="Q616" t="s">
        <v>74</v>
      </c>
      <c r="R616" t="s">
        <v>74</v>
      </c>
      <c r="S616" t="s">
        <v>74</v>
      </c>
      <c r="T616" t="s">
        <v>74</v>
      </c>
      <c r="U616" t="s">
        <v>12411</v>
      </c>
      <c r="V616" t="s">
        <v>12412</v>
      </c>
      <c r="W616" t="s">
        <v>12413</v>
      </c>
      <c r="X616" t="s">
        <v>12414</v>
      </c>
      <c r="Y616" t="s">
        <v>12415</v>
      </c>
      <c r="Z616" t="s">
        <v>12416</v>
      </c>
      <c r="AA616" t="s">
        <v>12417</v>
      </c>
      <c r="AB616" t="s">
        <v>12418</v>
      </c>
      <c r="AC616" t="s">
        <v>12419</v>
      </c>
      <c r="AD616" t="s">
        <v>12420</v>
      </c>
      <c r="AE616" t="s">
        <v>12421</v>
      </c>
      <c r="AF616" t="s">
        <v>74</v>
      </c>
      <c r="AG616">
        <v>77</v>
      </c>
      <c r="AH616">
        <v>13</v>
      </c>
      <c r="AI616">
        <v>13</v>
      </c>
      <c r="AJ616">
        <v>1</v>
      </c>
      <c r="AK616">
        <v>6</v>
      </c>
      <c r="AL616" t="s">
        <v>1710</v>
      </c>
      <c r="AM616" t="s">
        <v>609</v>
      </c>
      <c r="AN616" t="s">
        <v>1711</v>
      </c>
      <c r="AO616" t="s">
        <v>2038</v>
      </c>
      <c r="AP616" t="s">
        <v>2039</v>
      </c>
      <c r="AQ616" t="s">
        <v>74</v>
      </c>
      <c r="AR616" t="s">
        <v>2040</v>
      </c>
      <c r="AS616" t="s">
        <v>2041</v>
      </c>
      <c r="AT616" t="s">
        <v>11892</v>
      </c>
      <c r="AU616">
        <v>2020</v>
      </c>
      <c r="AV616">
        <v>125</v>
      </c>
      <c r="AW616">
        <v>9</v>
      </c>
      <c r="AX616" t="s">
        <v>74</v>
      </c>
      <c r="AY616" t="s">
        <v>74</v>
      </c>
      <c r="AZ616" t="s">
        <v>74</v>
      </c>
      <c r="BA616" t="s">
        <v>74</v>
      </c>
      <c r="BB616" t="s">
        <v>74</v>
      </c>
      <c r="BC616" t="s">
        <v>74</v>
      </c>
      <c r="BD616" t="s">
        <v>12422</v>
      </c>
      <c r="BE616" t="s">
        <v>12423</v>
      </c>
      <c r="BF616" t="str">
        <f>HYPERLINK("http://dx.doi.org/10.1029/2020JF005707","http://dx.doi.org/10.1029/2020JF005707")</f>
        <v>http://dx.doi.org/10.1029/2020JF005707</v>
      </c>
      <c r="BG616" t="s">
        <v>74</v>
      </c>
      <c r="BH616" t="s">
        <v>74</v>
      </c>
      <c r="BI616">
        <v>18</v>
      </c>
      <c r="BJ616" t="s">
        <v>534</v>
      </c>
      <c r="BK616" t="s">
        <v>100</v>
      </c>
      <c r="BL616" t="s">
        <v>535</v>
      </c>
      <c r="BM616" t="s">
        <v>12424</v>
      </c>
      <c r="BN616" t="s">
        <v>74</v>
      </c>
      <c r="BO616" t="s">
        <v>74</v>
      </c>
      <c r="BP616" t="s">
        <v>74</v>
      </c>
      <c r="BQ616" t="s">
        <v>74</v>
      </c>
      <c r="BR616" t="s">
        <v>104</v>
      </c>
      <c r="BS616" t="s">
        <v>12425</v>
      </c>
      <c r="BT616" t="str">
        <f>HYPERLINK("https%3A%2F%2Fwww.webofscience.com%2Fwos%2Fwoscc%2Ffull-record%2FWOS:000592163700016","View Full Record in Web of Science")</f>
        <v>View Full Record in Web of Science</v>
      </c>
    </row>
    <row r="617" spans="1:72" x14ac:dyDescent="0.15">
      <c r="A617" t="s">
        <v>72</v>
      </c>
      <c r="B617" t="s">
        <v>12426</v>
      </c>
      <c r="C617" t="s">
        <v>74</v>
      </c>
      <c r="D617" t="s">
        <v>74</v>
      </c>
      <c r="E617" t="s">
        <v>74</v>
      </c>
      <c r="F617" t="s">
        <v>12427</v>
      </c>
      <c r="G617" t="s">
        <v>74</v>
      </c>
      <c r="H617" t="s">
        <v>74</v>
      </c>
      <c r="I617" t="s">
        <v>12428</v>
      </c>
      <c r="J617" t="s">
        <v>7086</v>
      </c>
      <c r="K617" t="s">
        <v>74</v>
      </c>
      <c r="L617" t="s">
        <v>74</v>
      </c>
      <c r="M617" t="s">
        <v>78</v>
      </c>
      <c r="N617" t="s">
        <v>79</v>
      </c>
      <c r="O617" t="s">
        <v>74</v>
      </c>
      <c r="P617" t="s">
        <v>74</v>
      </c>
      <c r="Q617" t="s">
        <v>74</v>
      </c>
      <c r="R617" t="s">
        <v>74</v>
      </c>
      <c r="S617" t="s">
        <v>74</v>
      </c>
      <c r="T617" t="s">
        <v>74</v>
      </c>
      <c r="U617" t="s">
        <v>12429</v>
      </c>
      <c r="V617" t="s">
        <v>12430</v>
      </c>
      <c r="W617" t="s">
        <v>12431</v>
      </c>
      <c r="X617" t="s">
        <v>12432</v>
      </c>
      <c r="Y617" t="s">
        <v>12433</v>
      </c>
      <c r="Z617" t="s">
        <v>12434</v>
      </c>
      <c r="AA617" t="s">
        <v>74</v>
      </c>
      <c r="AB617" t="s">
        <v>12435</v>
      </c>
      <c r="AC617" t="s">
        <v>12436</v>
      </c>
      <c r="AD617" t="s">
        <v>12437</v>
      </c>
      <c r="AE617" t="s">
        <v>12438</v>
      </c>
      <c r="AF617" t="s">
        <v>74</v>
      </c>
      <c r="AG617">
        <v>50</v>
      </c>
      <c r="AH617">
        <v>5</v>
      </c>
      <c r="AI617">
        <v>6</v>
      </c>
      <c r="AJ617">
        <v>0</v>
      </c>
      <c r="AK617">
        <v>5</v>
      </c>
      <c r="AL617" t="s">
        <v>1495</v>
      </c>
      <c r="AM617" t="s">
        <v>1496</v>
      </c>
      <c r="AN617" t="s">
        <v>1497</v>
      </c>
      <c r="AO617" t="s">
        <v>7099</v>
      </c>
      <c r="AP617" t="s">
        <v>7100</v>
      </c>
      <c r="AQ617" t="s">
        <v>74</v>
      </c>
      <c r="AR617" t="s">
        <v>7101</v>
      </c>
      <c r="AS617" t="s">
        <v>7102</v>
      </c>
      <c r="AT617" t="s">
        <v>11892</v>
      </c>
      <c r="AU617">
        <v>2020</v>
      </c>
      <c r="AV617">
        <v>50</v>
      </c>
      <c r="AW617">
        <v>9</v>
      </c>
      <c r="AX617" t="s">
        <v>74</v>
      </c>
      <c r="AY617" t="s">
        <v>74</v>
      </c>
      <c r="AZ617" t="s">
        <v>74</v>
      </c>
      <c r="BA617" t="s">
        <v>74</v>
      </c>
      <c r="BB617">
        <v>2507</v>
      </c>
      <c r="BC617">
        <v>2527</v>
      </c>
      <c r="BD617" t="s">
        <v>74</v>
      </c>
      <c r="BE617" t="s">
        <v>12439</v>
      </c>
      <c r="BF617" t="str">
        <f>HYPERLINK("http://dx.doi.org/10.1175/JPO-D-19-0266.1","http://dx.doi.org/10.1175/JPO-D-19-0266.1")</f>
        <v>http://dx.doi.org/10.1175/JPO-D-19-0266.1</v>
      </c>
      <c r="BG617" t="s">
        <v>74</v>
      </c>
      <c r="BH617" t="s">
        <v>74</v>
      </c>
      <c r="BI617">
        <v>21</v>
      </c>
      <c r="BJ617" t="s">
        <v>1283</v>
      </c>
      <c r="BK617" t="s">
        <v>100</v>
      </c>
      <c r="BL617" t="s">
        <v>1283</v>
      </c>
      <c r="BM617" t="s">
        <v>12440</v>
      </c>
      <c r="BN617" t="s">
        <v>74</v>
      </c>
      <c r="BO617" t="s">
        <v>1432</v>
      </c>
      <c r="BP617" t="s">
        <v>74</v>
      </c>
      <c r="BQ617" t="s">
        <v>74</v>
      </c>
      <c r="BR617" t="s">
        <v>104</v>
      </c>
      <c r="BS617" t="s">
        <v>12441</v>
      </c>
      <c r="BT617" t="str">
        <f>HYPERLINK("https%3A%2F%2Fwww.webofscience.com%2Fwos%2Fwoscc%2Ffull-record%2FWOS:000589825700006","View Full Record in Web of Science")</f>
        <v>View Full Record in Web of Science</v>
      </c>
    </row>
    <row r="618" spans="1:72" x14ac:dyDescent="0.15">
      <c r="A618" t="s">
        <v>72</v>
      </c>
      <c r="B618" t="s">
        <v>12442</v>
      </c>
      <c r="C618" t="s">
        <v>74</v>
      </c>
      <c r="D618" t="s">
        <v>74</v>
      </c>
      <c r="E618" t="s">
        <v>74</v>
      </c>
      <c r="F618" t="s">
        <v>12443</v>
      </c>
      <c r="G618" t="s">
        <v>74</v>
      </c>
      <c r="H618" t="s">
        <v>74</v>
      </c>
      <c r="I618" t="s">
        <v>12444</v>
      </c>
      <c r="J618" t="s">
        <v>7086</v>
      </c>
      <c r="K618" t="s">
        <v>74</v>
      </c>
      <c r="L618" t="s">
        <v>74</v>
      </c>
      <c r="M618" t="s">
        <v>78</v>
      </c>
      <c r="N618" t="s">
        <v>79</v>
      </c>
      <c r="O618" t="s">
        <v>74</v>
      </c>
      <c r="P618" t="s">
        <v>74</v>
      </c>
      <c r="Q618" t="s">
        <v>74</v>
      </c>
      <c r="R618" t="s">
        <v>74</v>
      </c>
      <c r="S618" t="s">
        <v>74</v>
      </c>
      <c r="T618" t="s">
        <v>74</v>
      </c>
      <c r="U618" t="s">
        <v>12445</v>
      </c>
      <c r="V618" t="s">
        <v>12446</v>
      </c>
      <c r="W618" t="s">
        <v>12447</v>
      </c>
      <c r="X618" t="s">
        <v>12448</v>
      </c>
      <c r="Y618" t="s">
        <v>12449</v>
      </c>
      <c r="Z618" t="s">
        <v>12450</v>
      </c>
      <c r="AA618" t="s">
        <v>12451</v>
      </c>
      <c r="AB618" t="s">
        <v>12452</v>
      </c>
      <c r="AC618" t="s">
        <v>12453</v>
      </c>
      <c r="AD618" t="s">
        <v>12454</v>
      </c>
      <c r="AE618" t="s">
        <v>12455</v>
      </c>
      <c r="AF618" t="s">
        <v>74</v>
      </c>
      <c r="AG618">
        <v>101</v>
      </c>
      <c r="AH618">
        <v>4</v>
      </c>
      <c r="AI618">
        <v>4</v>
      </c>
      <c r="AJ618">
        <v>0</v>
      </c>
      <c r="AK618">
        <v>6</v>
      </c>
      <c r="AL618" t="s">
        <v>1495</v>
      </c>
      <c r="AM618" t="s">
        <v>1496</v>
      </c>
      <c r="AN618" t="s">
        <v>1497</v>
      </c>
      <c r="AO618" t="s">
        <v>7099</v>
      </c>
      <c r="AP618" t="s">
        <v>7100</v>
      </c>
      <c r="AQ618" t="s">
        <v>74</v>
      </c>
      <c r="AR618" t="s">
        <v>7101</v>
      </c>
      <c r="AS618" t="s">
        <v>7102</v>
      </c>
      <c r="AT618" t="s">
        <v>11892</v>
      </c>
      <c r="AU618">
        <v>2020</v>
      </c>
      <c r="AV618">
        <v>50</v>
      </c>
      <c r="AW618">
        <v>9</v>
      </c>
      <c r="AX618" t="s">
        <v>74</v>
      </c>
      <c r="AY618" t="s">
        <v>74</v>
      </c>
      <c r="AZ618" t="s">
        <v>74</v>
      </c>
      <c r="BA618" t="s">
        <v>74</v>
      </c>
      <c r="BB618">
        <v>2621</v>
      </c>
      <c r="BC618">
        <v>2648</v>
      </c>
      <c r="BD618" t="s">
        <v>74</v>
      </c>
      <c r="BE618" t="s">
        <v>12456</v>
      </c>
      <c r="BF618" t="str">
        <f>HYPERLINK("http://dx.doi.org/10.1175/JPO-D-19-0140.1","http://dx.doi.org/10.1175/JPO-D-19-0140.1")</f>
        <v>http://dx.doi.org/10.1175/JPO-D-19-0140.1</v>
      </c>
      <c r="BG618" t="s">
        <v>74</v>
      </c>
      <c r="BH618" t="s">
        <v>74</v>
      </c>
      <c r="BI618">
        <v>28</v>
      </c>
      <c r="BJ618" t="s">
        <v>1283</v>
      </c>
      <c r="BK618" t="s">
        <v>100</v>
      </c>
      <c r="BL618" t="s">
        <v>1283</v>
      </c>
      <c r="BM618" t="s">
        <v>12440</v>
      </c>
      <c r="BN618" t="s">
        <v>74</v>
      </c>
      <c r="BO618" t="s">
        <v>304</v>
      </c>
      <c r="BP618" t="s">
        <v>74</v>
      </c>
      <c r="BQ618" t="s">
        <v>74</v>
      </c>
      <c r="BR618" t="s">
        <v>104</v>
      </c>
      <c r="BS618" t="s">
        <v>12457</v>
      </c>
      <c r="BT618" t="str">
        <f>HYPERLINK("https%3A%2F%2Fwww.webofscience.com%2Fwos%2Fwoscc%2Ffull-record%2FWOS:000589825700012","View Full Record in Web of Science")</f>
        <v>View Full Record in Web of Science</v>
      </c>
    </row>
    <row r="619" spans="1:72" x14ac:dyDescent="0.15">
      <c r="A619" t="s">
        <v>72</v>
      </c>
      <c r="B619" t="s">
        <v>12458</v>
      </c>
      <c r="C619" t="s">
        <v>74</v>
      </c>
      <c r="D619" t="s">
        <v>74</v>
      </c>
      <c r="E619" t="s">
        <v>74</v>
      </c>
      <c r="F619" t="s">
        <v>12459</v>
      </c>
      <c r="G619" t="s">
        <v>74</v>
      </c>
      <c r="H619" t="s">
        <v>74</v>
      </c>
      <c r="I619" t="s">
        <v>12460</v>
      </c>
      <c r="J619" t="s">
        <v>12461</v>
      </c>
      <c r="K619" t="s">
        <v>74</v>
      </c>
      <c r="L619" t="s">
        <v>74</v>
      </c>
      <c r="M619" t="s">
        <v>78</v>
      </c>
      <c r="N619" t="s">
        <v>79</v>
      </c>
      <c r="O619" t="s">
        <v>74</v>
      </c>
      <c r="P619" t="s">
        <v>74</v>
      </c>
      <c r="Q619" t="s">
        <v>74</v>
      </c>
      <c r="R619" t="s">
        <v>74</v>
      </c>
      <c r="S619" t="s">
        <v>74</v>
      </c>
      <c r="T619" t="s">
        <v>74</v>
      </c>
      <c r="U619" t="s">
        <v>12462</v>
      </c>
      <c r="V619" t="s">
        <v>12463</v>
      </c>
      <c r="W619" t="s">
        <v>12464</v>
      </c>
      <c r="X619" t="s">
        <v>12465</v>
      </c>
      <c r="Y619" t="s">
        <v>12466</v>
      </c>
      <c r="Z619" t="s">
        <v>74</v>
      </c>
      <c r="AA619" t="s">
        <v>12467</v>
      </c>
      <c r="AB619" t="s">
        <v>74</v>
      </c>
      <c r="AC619" t="s">
        <v>74</v>
      </c>
      <c r="AD619" t="s">
        <v>74</v>
      </c>
      <c r="AE619" t="s">
        <v>74</v>
      </c>
      <c r="AF619" t="s">
        <v>74</v>
      </c>
      <c r="AG619">
        <v>38</v>
      </c>
      <c r="AH619">
        <v>1</v>
      </c>
      <c r="AI619">
        <v>1</v>
      </c>
      <c r="AJ619">
        <v>1</v>
      </c>
      <c r="AK619">
        <v>6</v>
      </c>
      <c r="AL619" t="s">
        <v>12468</v>
      </c>
      <c r="AM619" t="s">
        <v>12469</v>
      </c>
      <c r="AN619" t="s">
        <v>12470</v>
      </c>
      <c r="AO619" t="s">
        <v>12471</v>
      </c>
      <c r="AP619" t="s">
        <v>12472</v>
      </c>
      <c r="AQ619" t="s">
        <v>74</v>
      </c>
      <c r="AR619" t="s">
        <v>12473</v>
      </c>
      <c r="AS619" t="s">
        <v>12474</v>
      </c>
      <c r="AT619" t="s">
        <v>11892</v>
      </c>
      <c r="AU619">
        <v>2020</v>
      </c>
      <c r="AV619">
        <v>14</v>
      </c>
      <c r="AW619">
        <v>3</v>
      </c>
      <c r="AX619" t="s">
        <v>74</v>
      </c>
      <c r="AY619" t="s">
        <v>74</v>
      </c>
      <c r="AZ619" t="s">
        <v>74</v>
      </c>
      <c r="BA619" t="s">
        <v>74</v>
      </c>
      <c r="BB619">
        <v>655</v>
      </c>
      <c r="BC619">
        <v>661</v>
      </c>
      <c r="BD619" t="s">
        <v>74</v>
      </c>
      <c r="BE619" t="s">
        <v>12475</v>
      </c>
      <c r="BF619" t="str">
        <f>HYPERLINK("http://dx.doi.org/10.12716/1001.14.03.18","http://dx.doi.org/10.12716/1001.14.03.18")</f>
        <v>http://dx.doi.org/10.12716/1001.14.03.18</v>
      </c>
      <c r="BG619" t="s">
        <v>74</v>
      </c>
      <c r="BH619" t="s">
        <v>74</v>
      </c>
      <c r="BI619">
        <v>7</v>
      </c>
      <c r="BJ619" t="s">
        <v>12476</v>
      </c>
      <c r="BK619" t="s">
        <v>1214</v>
      </c>
      <c r="BL619" t="s">
        <v>12477</v>
      </c>
      <c r="BM619" t="s">
        <v>12478</v>
      </c>
      <c r="BN619" t="s">
        <v>74</v>
      </c>
      <c r="BO619" t="s">
        <v>202</v>
      </c>
      <c r="BP619" t="s">
        <v>74</v>
      </c>
      <c r="BQ619" t="s">
        <v>74</v>
      </c>
      <c r="BR619" t="s">
        <v>104</v>
      </c>
      <c r="BS619" t="s">
        <v>12479</v>
      </c>
      <c r="BT619" t="str">
        <f>HYPERLINK("https%3A%2F%2Fwww.webofscience.com%2Fwos%2Fwoscc%2Ffull-record%2FWOS:000581182100018","View Full Record in Web of Science")</f>
        <v>View Full Record in Web of Science</v>
      </c>
    </row>
    <row r="620" spans="1:72" x14ac:dyDescent="0.15">
      <c r="A620" t="s">
        <v>72</v>
      </c>
      <c r="B620" t="s">
        <v>12480</v>
      </c>
      <c r="C620" t="s">
        <v>74</v>
      </c>
      <c r="D620" t="s">
        <v>74</v>
      </c>
      <c r="E620" t="s">
        <v>74</v>
      </c>
      <c r="F620" t="s">
        <v>12481</v>
      </c>
      <c r="G620" t="s">
        <v>74</v>
      </c>
      <c r="H620" t="s">
        <v>74</v>
      </c>
      <c r="I620" t="s">
        <v>12482</v>
      </c>
      <c r="J620" t="s">
        <v>12483</v>
      </c>
      <c r="K620" t="s">
        <v>74</v>
      </c>
      <c r="L620" t="s">
        <v>74</v>
      </c>
      <c r="M620" t="s">
        <v>78</v>
      </c>
      <c r="N620" t="s">
        <v>79</v>
      </c>
      <c r="O620" t="s">
        <v>74</v>
      </c>
      <c r="P620" t="s">
        <v>74</v>
      </c>
      <c r="Q620" t="s">
        <v>74</v>
      </c>
      <c r="R620" t="s">
        <v>74</v>
      </c>
      <c r="S620" t="s">
        <v>74</v>
      </c>
      <c r="T620" t="s">
        <v>12484</v>
      </c>
      <c r="U620" t="s">
        <v>12485</v>
      </c>
      <c r="V620" t="s">
        <v>12486</v>
      </c>
      <c r="W620" t="s">
        <v>12487</v>
      </c>
      <c r="X620" t="s">
        <v>12488</v>
      </c>
      <c r="Y620" t="s">
        <v>12489</v>
      </c>
      <c r="Z620" t="s">
        <v>12490</v>
      </c>
      <c r="AA620" t="s">
        <v>74</v>
      </c>
      <c r="AB620" t="s">
        <v>12491</v>
      </c>
      <c r="AC620" t="s">
        <v>12492</v>
      </c>
      <c r="AD620" t="s">
        <v>12493</v>
      </c>
      <c r="AE620" t="s">
        <v>12494</v>
      </c>
      <c r="AF620" t="s">
        <v>74</v>
      </c>
      <c r="AG620">
        <v>172</v>
      </c>
      <c r="AH620">
        <v>45</v>
      </c>
      <c r="AI620">
        <v>47</v>
      </c>
      <c r="AJ620">
        <v>2</v>
      </c>
      <c r="AK620">
        <v>33</v>
      </c>
      <c r="AL620" t="s">
        <v>12495</v>
      </c>
      <c r="AM620" t="s">
        <v>12496</v>
      </c>
      <c r="AN620" t="s">
        <v>12497</v>
      </c>
      <c r="AO620" t="s">
        <v>12498</v>
      </c>
      <c r="AP620" t="s">
        <v>12499</v>
      </c>
      <c r="AQ620" t="s">
        <v>74</v>
      </c>
      <c r="AR620" t="s">
        <v>12500</v>
      </c>
      <c r="AS620" t="s">
        <v>12501</v>
      </c>
      <c r="AT620" t="s">
        <v>12502</v>
      </c>
      <c r="AU620">
        <v>2020</v>
      </c>
      <c r="AV620">
        <v>146</v>
      </c>
      <c r="AW620">
        <v>9</v>
      </c>
      <c r="AX620" t="s">
        <v>74</v>
      </c>
      <c r="AY620" t="s">
        <v>74</v>
      </c>
      <c r="AZ620" t="s">
        <v>74</v>
      </c>
      <c r="BA620" t="s">
        <v>74</v>
      </c>
      <c r="BB620" t="s">
        <v>74</v>
      </c>
      <c r="BC620" t="s">
        <v>74</v>
      </c>
      <c r="BD620">
        <v>4020081</v>
      </c>
      <c r="BE620" t="s">
        <v>12503</v>
      </c>
      <c r="BF620" t="str">
        <f>HYPERLINK("http://dx.doi.org/10.1061/(ASCE)GT.1943-5606.0002239","http://dx.doi.org/10.1061/(ASCE)GT.1943-5606.0002239")</f>
        <v>http://dx.doi.org/10.1061/(ASCE)GT.1943-5606.0002239</v>
      </c>
      <c r="BG620" t="s">
        <v>74</v>
      </c>
      <c r="BH620" t="s">
        <v>74</v>
      </c>
      <c r="BI620">
        <v>30</v>
      </c>
      <c r="BJ620" t="s">
        <v>12504</v>
      </c>
      <c r="BK620" t="s">
        <v>100</v>
      </c>
      <c r="BL620" t="s">
        <v>9161</v>
      </c>
      <c r="BM620" t="s">
        <v>12505</v>
      </c>
      <c r="BN620" t="s">
        <v>74</v>
      </c>
      <c r="BO620" t="s">
        <v>74</v>
      </c>
      <c r="BP620" t="s">
        <v>74</v>
      </c>
      <c r="BQ620" t="s">
        <v>74</v>
      </c>
      <c r="BR620" t="s">
        <v>104</v>
      </c>
      <c r="BS620" t="s">
        <v>12506</v>
      </c>
      <c r="BT620" t="str">
        <f>HYPERLINK("https%3A%2F%2Fwww.webofscience.com%2Fwos%2Fwoscc%2Ffull-record%2FWOS:000588627500003","View Full Record in Web of Science")</f>
        <v>View Full Record in Web of Science</v>
      </c>
    </row>
    <row r="621" spans="1:72" x14ac:dyDescent="0.15">
      <c r="A621" t="s">
        <v>72</v>
      </c>
      <c r="B621" t="s">
        <v>12507</v>
      </c>
      <c r="C621" t="s">
        <v>74</v>
      </c>
      <c r="D621" t="s">
        <v>74</v>
      </c>
      <c r="E621" t="s">
        <v>74</v>
      </c>
      <c r="F621" t="s">
        <v>12508</v>
      </c>
      <c r="G621" t="s">
        <v>74</v>
      </c>
      <c r="H621" t="s">
        <v>74</v>
      </c>
      <c r="I621" t="s">
        <v>12509</v>
      </c>
      <c r="J621" t="s">
        <v>12510</v>
      </c>
      <c r="K621" t="s">
        <v>74</v>
      </c>
      <c r="L621" t="s">
        <v>74</v>
      </c>
      <c r="M621" t="s">
        <v>78</v>
      </c>
      <c r="N621" t="s">
        <v>79</v>
      </c>
      <c r="O621" t="s">
        <v>74</v>
      </c>
      <c r="P621" t="s">
        <v>74</v>
      </c>
      <c r="Q621" t="s">
        <v>74</v>
      </c>
      <c r="R621" t="s">
        <v>74</v>
      </c>
      <c r="S621" t="s">
        <v>74</v>
      </c>
      <c r="T621" t="s">
        <v>12511</v>
      </c>
      <c r="U621" t="s">
        <v>12512</v>
      </c>
      <c r="V621" t="s">
        <v>12513</v>
      </c>
      <c r="W621" t="s">
        <v>12514</v>
      </c>
      <c r="X621" t="s">
        <v>12515</v>
      </c>
      <c r="Y621" t="s">
        <v>12516</v>
      </c>
      <c r="Z621" t="s">
        <v>12517</v>
      </c>
      <c r="AA621" t="s">
        <v>12518</v>
      </c>
      <c r="AB621" t="s">
        <v>12519</v>
      </c>
      <c r="AC621" t="s">
        <v>12520</v>
      </c>
      <c r="AD621" t="s">
        <v>12521</v>
      </c>
      <c r="AE621" t="s">
        <v>12522</v>
      </c>
      <c r="AF621" t="s">
        <v>74</v>
      </c>
      <c r="AG621">
        <v>55</v>
      </c>
      <c r="AH621">
        <v>6</v>
      </c>
      <c r="AI621">
        <v>7</v>
      </c>
      <c r="AJ621">
        <v>0</v>
      </c>
      <c r="AK621">
        <v>13</v>
      </c>
      <c r="AL621" t="s">
        <v>3145</v>
      </c>
      <c r="AM621" t="s">
        <v>4452</v>
      </c>
      <c r="AN621" t="s">
        <v>6582</v>
      </c>
      <c r="AO621" t="s">
        <v>12523</v>
      </c>
      <c r="AP621" t="s">
        <v>12524</v>
      </c>
      <c r="AQ621" t="s">
        <v>74</v>
      </c>
      <c r="AR621" t="s">
        <v>12525</v>
      </c>
      <c r="AS621" t="s">
        <v>12526</v>
      </c>
      <c r="AT621" t="s">
        <v>11892</v>
      </c>
      <c r="AU621">
        <v>2020</v>
      </c>
      <c r="AV621">
        <v>61</v>
      </c>
      <c r="AW621">
        <v>82</v>
      </c>
      <c r="AX621" t="s">
        <v>74</v>
      </c>
      <c r="AY621" t="s">
        <v>74</v>
      </c>
      <c r="AZ621" t="s">
        <v>74</v>
      </c>
      <c r="BA621" t="s">
        <v>74</v>
      </c>
      <c r="BB621">
        <v>12</v>
      </c>
      <c r="BC621">
        <v>23</v>
      </c>
      <c r="BD621" t="s">
        <v>12527</v>
      </c>
      <c r="BE621" t="s">
        <v>12528</v>
      </c>
      <c r="BF621" t="str">
        <f>HYPERLINK("http://dx.doi.org/10.1017/aog.2019.48","http://dx.doi.org/10.1017/aog.2019.48")</f>
        <v>http://dx.doi.org/10.1017/aog.2019.48</v>
      </c>
      <c r="BG621" t="s">
        <v>74</v>
      </c>
      <c r="BH621" t="s">
        <v>74</v>
      </c>
      <c r="BI621">
        <v>12</v>
      </c>
      <c r="BJ621" t="s">
        <v>99</v>
      </c>
      <c r="BK621" t="s">
        <v>100</v>
      </c>
      <c r="BL621" t="s">
        <v>101</v>
      </c>
      <c r="BM621" t="s">
        <v>12529</v>
      </c>
      <c r="BN621" t="s">
        <v>74</v>
      </c>
      <c r="BO621" t="s">
        <v>202</v>
      </c>
      <c r="BP621" t="s">
        <v>74</v>
      </c>
      <c r="BQ621" t="s">
        <v>74</v>
      </c>
      <c r="BR621" t="s">
        <v>104</v>
      </c>
      <c r="BS621" t="s">
        <v>12530</v>
      </c>
      <c r="BT621" t="str">
        <f>HYPERLINK("https%3A%2F%2Fwww.webofscience.com%2Fwos%2Fwoscc%2Ffull-record%2FWOS:000586257600002","View Full Record in Web of Science")</f>
        <v>View Full Record in Web of Science</v>
      </c>
    </row>
    <row r="622" spans="1:72" x14ac:dyDescent="0.15">
      <c r="A622" t="s">
        <v>72</v>
      </c>
      <c r="B622" t="s">
        <v>12531</v>
      </c>
      <c r="C622" t="s">
        <v>74</v>
      </c>
      <c r="D622" t="s">
        <v>74</v>
      </c>
      <c r="E622" t="s">
        <v>74</v>
      </c>
      <c r="F622" t="s">
        <v>12532</v>
      </c>
      <c r="G622" t="s">
        <v>74</v>
      </c>
      <c r="H622" t="s">
        <v>74</v>
      </c>
      <c r="I622" t="s">
        <v>12533</v>
      </c>
      <c r="J622" t="s">
        <v>12510</v>
      </c>
      <c r="K622" t="s">
        <v>74</v>
      </c>
      <c r="L622" t="s">
        <v>74</v>
      </c>
      <c r="M622" t="s">
        <v>78</v>
      </c>
      <c r="N622" t="s">
        <v>79</v>
      </c>
      <c r="O622" t="s">
        <v>74</v>
      </c>
      <c r="P622" t="s">
        <v>74</v>
      </c>
      <c r="Q622" t="s">
        <v>74</v>
      </c>
      <c r="R622" t="s">
        <v>74</v>
      </c>
      <c r="S622" t="s">
        <v>74</v>
      </c>
      <c r="T622" t="s">
        <v>12534</v>
      </c>
      <c r="U622" t="s">
        <v>12535</v>
      </c>
      <c r="V622" t="s">
        <v>12536</v>
      </c>
      <c r="W622" t="s">
        <v>12537</v>
      </c>
      <c r="X622" t="s">
        <v>12538</v>
      </c>
      <c r="Y622" t="s">
        <v>12539</v>
      </c>
      <c r="Z622" t="s">
        <v>12540</v>
      </c>
      <c r="AA622" t="s">
        <v>74</v>
      </c>
      <c r="AB622" t="s">
        <v>74</v>
      </c>
      <c r="AC622" t="s">
        <v>12541</v>
      </c>
      <c r="AD622" t="s">
        <v>12542</v>
      </c>
      <c r="AE622" t="s">
        <v>12543</v>
      </c>
      <c r="AF622" t="s">
        <v>74</v>
      </c>
      <c r="AG622">
        <v>35</v>
      </c>
      <c r="AH622">
        <v>4</v>
      </c>
      <c r="AI622">
        <v>6</v>
      </c>
      <c r="AJ622">
        <v>1</v>
      </c>
      <c r="AK622">
        <v>10</v>
      </c>
      <c r="AL622" t="s">
        <v>3145</v>
      </c>
      <c r="AM622" t="s">
        <v>4452</v>
      </c>
      <c r="AN622" t="s">
        <v>6582</v>
      </c>
      <c r="AO622" t="s">
        <v>12523</v>
      </c>
      <c r="AP622" t="s">
        <v>12524</v>
      </c>
      <c r="AQ622" t="s">
        <v>74</v>
      </c>
      <c r="AR622" t="s">
        <v>12525</v>
      </c>
      <c r="AS622" t="s">
        <v>12526</v>
      </c>
      <c r="AT622" t="s">
        <v>11892</v>
      </c>
      <c r="AU622">
        <v>2020</v>
      </c>
      <c r="AV622">
        <v>61</v>
      </c>
      <c r="AW622">
        <v>82</v>
      </c>
      <c r="AX622" t="s">
        <v>74</v>
      </c>
      <c r="AY622" t="s">
        <v>74</v>
      </c>
      <c r="AZ622" t="s">
        <v>74</v>
      </c>
      <c r="BA622" t="s">
        <v>74</v>
      </c>
      <c r="BB622">
        <v>117</v>
      </c>
      <c r="BC622">
        <v>126</v>
      </c>
      <c r="BD622" t="s">
        <v>12544</v>
      </c>
      <c r="BE622" t="s">
        <v>12545</v>
      </c>
      <c r="BF622" t="str">
        <f>HYPERLINK("http://dx.doi.org/10.1017/aog.2020.22","http://dx.doi.org/10.1017/aog.2020.22")</f>
        <v>http://dx.doi.org/10.1017/aog.2020.22</v>
      </c>
      <c r="BG622" t="s">
        <v>74</v>
      </c>
      <c r="BH622" t="s">
        <v>74</v>
      </c>
      <c r="BI622">
        <v>10</v>
      </c>
      <c r="BJ622" t="s">
        <v>99</v>
      </c>
      <c r="BK622" t="s">
        <v>100</v>
      </c>
      <c r="BL622" t="s">
        <v>101</v>
      </c>
      <c r="BM622" t="s">
        <v>12529</v>
      </c>
      <c r="BN622" t="s">
        <v>74</v>
      </c>
      <c r="BO622" t="s">
        <v>2113</v>
      </c>
      <c r="BP622" t="s">
        <v>74</v>
      </c>
      <c r="BQ622" t="s">
        <v>74</v>
      </c>
      <c r="BR622" t="s">
        <v>104</v>
      </c>
      <c r="BS622" t="s">
        <v>12546</v>
      </c>
      <c r="BT622" t="str">
        <f>HYPERLINK("https%3A%2F%2Fwww.webofscience.com%2Fwos%2Fwoscc%2Ffull-record%2FWOS:000586257600011","View Full Record in Web of Science")</f>
        <v>View Full Record in Web of Science</v>
      </c>
    </row>
    <row r="623" spans="1:72" x14ac:dyDescent="0.15">
      <c r="A623" t="s">
        <v>72</v>
      </c>
      <c r="B623" t="s">
        <v>12547</v>
      </c>
      <c r="C623" t="s">
        <v>74</v>
      </c>
      <c r="D623" t="s">
        <v>74</v>
      </c>
      <c r="E623" t="s">
        <v>74</v>
      </c>
      <c r="F623" t="s">
        <v>12548</v>
      </c>
      <c r="G623" t="s">
        <v>74</v>
      </c>
      <c r="H623" t="s">
        <v>74</v>
      </c>
      <c r="I623" t="s">
        <v>12549</v>
      </c>
      <c r="J623" t="s">
        <v>12510</v>
      </c>
      <c r="K623" t="s">
        <v>74</v>
      </c>
      <c r="L623" t="s">
        <v>74</v>
      </c>
      <c r="M623" t="s">
        <v>78</v>
      </c>
      <c r="N623" t="s">
        <v>79</v>
      </c>
      <c r="O623" t="s">
        <v>74</v>
      </c>
      <c r="P623" t="s">
        <v>74</v>
      </c>
      <c r="Q623" t="s">
        <v>74</v>
      </c>
      <c r="R623" t="s">
        <v>74</v>
      </c>
      <c r="S623" t="s">
        <v>74</v>
      </c>
      <c r="T623" t="s">
        <v>12550</v>
      </c>
      <c r="U623" t="s">
        <v>12551</v>
      </c>
      <c r="V623" t="s">
        <v>12552</v>
      </c>
      <c r="W623" t="s">
        <v>12553</v>
      </c>
      <c r="X623" t="s">
        <v>12554</v>
      </c>
      <c r="Y623" t="s">
        <v>12555</v>
      </c>
      <c r="Z623" t="s">
        <v>12556</v>
      </c>
      <c r="AA623" t="s">
        <v>1092</v>
      </c>
      <c r="AB623" t="s">
        <v>74</v>
      </c>
      <c r="AC623" t="s">
        <v>12557</v>
      </c>
      <c r="AD623" t="s">
        <v>12558</v>
      </c>
      <c r="AE623" t="s">
        <v>12559</v>
      </c>
      <c r="AF623" t="s">
        <v>74</v>
      </c>
      <c r="AG623">
        <v>42</v>
      </c>
      <c r="AH623">
        <v>8</v>
      </c>
      <c r="AI623">
        <v>9</v>
      </c>
      <c r="AJ623">
        <v>2</v>
      </c>
      <c r="AK623">
        <v>25</v>
      </c>
      <c r="AL623" t="s">
        <v>3145</v>
      </c>
      <c r="AM623" t="s">
        <v>4452</v>
      </c>
      <c r="AN623" t="s">
        <v>6582</v>
      </c>
      <c r="AO623" t="s">
        <v>12523</v>
      </c>
      <c r="AP623" t="s">
        <v>12524</v>
      </c>
      <c r="AQ623" t="s">
        <v>74</v>
      </c>
      <c r="AR623" t="s">
        <v>12525</v>
      </c>
      <c r="AS623" t="s">
        <v>12526</v>
      </c>
      <c r="AT623" t="s">
        <v>11892</v>
      </c>
      <c r="AU623">
        <v>2020</v>
      </c>
      <c r="AV623">
        <v>61</v>
      </c>
      <c r="AW623">
        <v>82</v>
      </c>
      <c r="AX623" t="s">
        <v>74</v>
      </c>
      <c r="AY623" t="s">
        <v>74</v>
      </c>
      <c r="AZ623" t="s">
        <v>74</v>
      </c>
      <c r="BA623" t="s">
        <v>74</v>
      </c>
      <c r="BB623">
        <v>154</v>
      </c>
      <c r="BC623">
        <v>163</v>
      </c>
      <c r="BD623" t="s">
        <v>12560</v>
      </c>
      <c r="BE623" t="s">
        <v>12561</v>
      </c>
      <c r="BF623" t="str">
        <f>HYPERLINK("http://dx.doi.org/10.1017/aog.2020.24","http://dx.doi.org/10.1017/aog.2020.24")</f>
        <v>http://dx.doi.org/10.1017/aog.2020.24</v>
      </c>
      <c r="BG623" t="s">
        <v>74</v>
      </c>
      <c r="BH623" t="s">
        <v>74</v>
      </c>
      <c r="BI623">
        <v>10</v>
      </c>
      <c r="BJ623" t="s">
        <v>99</v>
      </c>
      <c r="BK623" t="s">
        <v>100</v>
      </c>
      <c r="BL623" t="s">
        <v>101</v>
      </c>
      <c r="BM623" t="s">
        <v>12529</v>
      </c>
      <c r="BN623" t="s">
        <v>74</v>
      </c>
      <c r="BO623" t="s">
        <v>202</v>
      </c>
      <c r="BP623" t="s">
        <v>74</v>
      </c>
      <c r="BQ623" t="s">
        <v>74</v>
      </c>
      <c r="BR623" t="s">
        <v>104</v>
      </c>
      <c r="BS623" t="s">
        <v>12562</v>
      </c>
      <c r="BT623" t="str">
        <f>HYPERLINK("https%3A%2F%2Fwww.webofscience.com%2Fwos%2Fwoscc%2Ffull-record%2FWOS:000586257600014","View Full Record in Web of Science")</f>
        <v>View Full Record in Web of Science</v>
      </c>
    </row>
    <row r="624" spans="1:72" x14ac:dyDescent="0.15">
      <c r="A624" t="s">
        <v>72</v>
      </c>
      <c r="B624" t="s">
        <v>12563</v>
      </c>
      <c r="C624" t="s">
        <v>74</v>
      </c>
      <c r="D624" t="s">
        <v>74</v>
      </c>
      <c r="E624" t="s">
        <v>74</v>
      </c>
      <c r="F624" t="s">
        <v>12564</v>
      </c>
      <c r="G624" t="s">
        <v>74</v>
      </c>
      <c r="H624" t="s">
        <v>74</v>
      </c>
      <c r="I624" t="s">
        <v>12565</v>
      </c>
      <c r="J624" t="s">
        <v>12510</v>
      </c>
      <c r="K624" t="s">
        <v>74</v>
      </c>
      <c r="L624" t="s">
        <v>74</v>
      </c>
      <c r="M624" t="s">
        <v>78</v>
      </c>
      <c r="N624" t="s">
        <v>79</v>
      </c>
      <c r="O624" t="s">
        <v>74</v>
      </c>
      <c r="P624" t="s">
        <v>74</v>
      </c>
      <c r="Q624" t="s">
        <v>74</v>
      </c>
      <c r="R624" t="s">
        <v>74</v>
      </c>
      <c r="S624" t="s">
        <v>74</v>
      </c>
      <c r="T624" t="s">
        <v>12566</v>
      </c>
      <c r="U624" t="s">
        <v>12567</v>
      </c>
      <c r="V624" t="s">
        <v>12568</v>
      </c>
      <c r="W624" t="s">
        <v>12569</v>
      </c>
      <c r="X624" t="s">
        <v>12570</v>
      </c>
      <c r="Y624" t="s">
        <v>12571</v>
      </c>
      <c r="Z624" t="s">
        <v>12572</v>
      </c>
      <c r="AA624" t="s">
        <v>12573</v>
      </c>
      <c r="AB624" t="s">
        <v>12574</v>
      </c>
      <c r="AC624" t="s">
        <v>12575</v>
      </c>
      <c r="AD624" t="s">
        <v>12576</v>
      </c>
      <c r="AE624" t="s">
        <v>12577</v>
      </c>
      <c r="AF624" t="s">
        <v>74</v>
      </c>
      <c r="AG624">
        <v>39</v>
      </c>
      <c r="AH624">
        <v>4</v>
      </c>
      <c r="AI624">
        <v>5</v>
      </c>
      <c r="AJ624">
        <v>0</v>
      </c>
      <c r="AK624">
        <v>6</v>
      </c>
      <c r="AL624" t="s">
        <v>3145</v>
      </c>
      <c r="AM624" t="s">
        <v>4452</v>
      </c>
      <c r="AN624" t="s">
        <v>6582</v>
      </c>
      <c r="AO624" t="s">
        <v>12523</v>
      </c>
      <c r="AP624" t="s">
        <v>12524</v>
      </c>
      <c r="AQ624" t="s">
        <v>74</v>
      </c>
      <c r="AR624" t="s">
        <v>12525</v>
      </c>
      <c r="AS624" t="s">
        <v>12526</v>
      </c>
      <c r="AT624" t="s">
        <v>11892</v>
      </c>
      <c r="AU624">
        <v>2020</v>
      </c>
      <c r="AV624">
        <v>61</v>
      </c>
      <c r="AW624">
        <v>82</v>
      </c>
      <c r="AX624" t="s">
        <v>74</v>
      </c>
      <c r="AY624" t="s">
        <v>74</v>
      </c>
      <c r="AZ624" t="s">
        <v>74</v>
      </c>
      <c r="BA624" t="s">
        <v>74</v>
      </c>
      <c r="BB624">
        <v>171</v>
      </c>
      <c r="BC624">
        <v>180</v>
      </c>
      <c r="BD624" t="s">
        <v>12578</v>
      </c>
      <c r="BE624" t="s">
        <v>12579</v>
      </c>
      <c r="BF624" t="str">
        <f>HYPERLINK("http://dx.doi.org/10.1017/aog.2020.26","http://dx.doi.org/10.1017/aog.2020.26")</f>
        <v>http://dx.doi.org/10.1017/aog.2020.26</v>
      </c>
      <c r="BG624" t="s">
        <v>74</v>
      </c>
      <c r="BH624" t="s">
        <v>74</v>
      </c>
      <c r="BI624">
        <v>10</v>
      </c>
      <c r="BJ624" t="s">
        <v>99</v>
      </c>
      <c r="BK624" t="s">
        <v>100</v>
      </c>
      <c r="BL624" t="s">
        <v>101</v>
      </c>
      <c r="BM624" t="s">
        <v>12529</v>
      </c>
      <c r="BN624" t="s">
        <v>74</v>
      </c>
      <c r="BO624" t="s">
        <v>202</v>
      </c>
      <c r="BP624" t="s">
        <v>74</v>
      </c>
      <c r="BQ624" t="s">
        <v>74</v>
      </c>
      <c r="BR624" t="s">
        <v>104</v>
      </c>
      <c r="BS624" t="s">
        <v>12580</v>
      </c>
      <c r="BT624" t="str">
        <f>HYPERLINK("https%3A%2F%2Fwww.webofscience.com%2Fwos%2Fwoscc%2Ffull-record%2FWOS:000586257600016","View Full Record in Web of Science")</f>
        <v>View Full Record in Web of Science</v>
      </c>
    </row>
    <row r="625" spans="1:72" x14ac:dyDescent="0.15">
      <c r="A625" t="s">
        <v>72</v>
      </c>
      <c r="B625" t="s">
        <v>12581</v>
      </c>
      <c r="C625" t="s">
        <v>74</v>
      </c>
      <c r="D625" t="s">
        <v>74</v>
      </c>
      <c r="E625" t="s">
        <v>74</v>
      </c>
      <c r="F625" t="s">
        <v>12582</v>
      </c>
      <c r="G625" t="s">
        <v>74</v>
      </c>
      <c r="H625" t="s">
        <v>74</v>
      </c>
      <c r="I625" t="s">
        <v>12583</v>
      </c>
      <c r="J625" t="s">
        <v>12510</v>
      </c>
      <c r="K625" t="s">
        <v>74</v>
      </c>
      <c r="L625" t="s">
        <v>74</v>
      </c>
      <c r="M625" t="s">
        <v>78</v>
      </c>
      <c r="N625" t="s">
        <v>79</v>
      </c>
      <c r="O625" t="s">
        <v>74</v>
      </c>
      <c r="P625" t="s">
        <v>74</v>
      </c>
      <c r="Q625" t="s">
        <v>74</v>
      </c>
      <c r="R625" t="s">
        <v>74</v>
      </c>
      <c r="S625" t="s">
        <v>74</v>
      </c>
      <c r="T625" t="s">
        <v>12584</v>
      </c>
      <c r="U625" t="s">
        <v>12585</v>
      </c>
      <c r="V625" t="s">
        <v>12586</v>
      </c>
      <c r="W625" t="s">
        <v>12587</v>
      </c>
      <c r="X625" t="s">
        <v>12588</v>
      </c>
      <c r="Y625" t="s">
        <v>12589</v>
      </c>
      <c r="Z625" t="s">
        <v>12540</v>
      </c>
      <c r="AA625" t="s">
        <v>12590</v>
      </c>
      <c r="AB625" t="s">
        <v>12591</v>
      </c>
      <c r="AC625" t="s">
        <v>12592</v>
      </c>
      <c r="AD625" t="s">
        <v>12593</v>
      </c>
      <c r="AE625" t="s">
        <v>12594</v>
      </c>
      <c r="AF625" t="s">
        <v>74</v>
      </c>
      <c r="AG625">
        <v>61</v>
      </c>
      <c r="AH625">
        <v>29</v>
      </c>
      <c r="AI625">
        <v>32</v>
      </c>
      <c r="AJ625">
        <v>2</v>
      </c>
      <c r="AK625">
        <v>8</v>
      </c>
      <c r="AL625" t="s">
        <v>3145</v>
      </c>
      <c r="AM625" t="s">
        <v>4452</v>
      </c>
      <c r="AN625" t="s">
        <v>6582</v>
      </c>
      <c r="AO625" t="s">
        <v>12523</v>
      </c>
      <c r="AP625" t="s">
        <v>12524</v>
      </c>
      <c r="AQ625" t="s">
        <v>74</v>
      </c>
      <c r="AR625" t="s">
        <v>12525</v>
      </c>
      <c r="AS625" t="s">
        <v>12526</v>
      </c>
      <c r="AT625" t="s">
        <v>11892</v>
      </c>
      <c r="AU625">
        <v>2020</v>
      </c>
      <c r="AV625">
        <v>61</v>
      </c>
      <c r="AW625">
        <v>82</v>
      </c>
      <c r="AX625" t="s">
        <v>74</v>
      </c>
      <c r="AY625" t="s">
        <v>74</v>
      </c>
      <c r="AZ625" t="s">
        <v>74</v>
      </c>
      <c r="BA625" t="s">
        <v>74</v>
      </c>
      <c r="BB625">
        <v>181</v>
      </c>
      <c r="BC625">
        <v>195</v>
      </c>
      <c r="BD625" t="s">
        <v>12595</v>
      </c>
      <c r="BE625" t="s">
        <v>12596</v>
      </c>
      <c r="BF625" t="str">
        <f>HYPERLINK("http://dx.doi.org/10.1017/aog.2020.31","http://dx.doi.org/10.1017/aog.2020.31")</f>
        <v>http://dx.doi.org/10.1017/aog.2020.31</v>
      </c>
      <c r="BG625" t="s">
        <v>74</v>
      </c>
      <c r="BH625" t="s">
        <v>74</v>
      </c>
      <c r="BI625">
        <v>15</v>
      </c>
      <c r="BJ625" t="s">
        <v>99</v>
      </c>
      <c r="BK625" t="s">
        <v>100</v>
      </c>
      <c r="BL625" t="s">
        <v>101</v>
      </c>
      <c r="BM625" t="s">
        <v>12529</v>
      </c>
      <c r="BN625" t="s">
        <v>74</v>
      </c>
      <c r="BO625" t="s">
        <v>332</v>
      </c>
      <c r="BP625" t="s">
        <v>74</v>
      </c>
      <c r="BQ625" t="s">
        <v>74</v>
      </c>
      <c r="BR625" t="s">
        <v>104</v>
      </c>
      <c r="BS625" t="s">
        <v>12597</v>
      </c>
      <c r="BT625" t="str">
        <f>HYPERLINK("https%3A%2F%2Fwww.webofscience.com%2Fwos%2Fwoscc%2Ffull-record%2FWOS:000586257600017","View Full Record in Web of Science")</f>
        <v>View Full Record in Web of Science</v>
      </c>
    </row>
    <row r="626" spans="1:72" x14ac:dyDescent="0.15">
      <c r="A626" t="s">
        <v>72</v>
      </c>
      <c r="B626" t="s">
        <v>12598</v>
      </c>
      <c r="C626" t="s">
        <v>74</v>
      </c>
      <c r="D626" t="s">
        <v>74</v>
      </c>
      <c r="E626" t="s">
        <v>74</v>
      </c>
      <c r="F626" t="s">
        <v>12599</v>
      </c>
      <c r="G626" t="s">
        <v>74</v>
      </c>
      <c r="H626" t="s">
        <v>74</v>
      </c>
      <c r="I626" t="s">
        <v>12600</v>
      </c>
      <c r="J626" t="s">
        <v>12510</v>
      </c>
      <c r="K626" t="s">
        <v>74</v>
      </c>
      <c r="L626" t="s">
        <v>74</v>
      </c>
      <c r="M626" t="s">
        <v>78</v>
      </c>
      <c r="N626" t="s">
        <v>79</v>
      </c>
      <c r="O626" t="s">
        <v>74</v>
      </c>
      <c r="P626" t="s">
        <v>74</v>
      </c>
      <c r="Q626" t="s">
        <v>74</v>
      </c>
      <c r="R626" t="s">
        <v>74</v>
      </c>
      <c r="S626" t="s">
        <v>74</v>
      </c>
      <c r="T626" t="s">
        <v>12601</v>
      </c>
      <c r="U626" t="s">
        <v>12602</v>
      </c>
      <c r="V626" t="s">
        <v>12603</v>
      </c>
      <c r="W626" t="s">
        <v>12604</v>
      </c>
      <c r="X626" t="s">
        <v>12605</v>
      </c>
      <c r="Y626" t="s">
        <v>12606</v>
      </c>
      <c r="Z626" t="s">
        <v>12607</v>
      </c>
      <c r="AA626" t="s">
        <v>12608</v>
      </c>
      <c r="AB626" t="s">
        <v>12609</v>
      </c>
      <c r="AC626" t="s">
        <v>12610</v>
      </c>
      <c r="AD626" t="s">
        <v>12611</v>
      </c>
      <c r="AE626" t="s">
        <v>12612</v>
      </c>
      <c r="AF626" t="s">
        <v>74</v>
      </c>
      <c r="AG626">
        <v>20</v>
      </c>
      <c r="AH626">
        <v>32</v>
      </c>
      <c r="AI626">
        <v>34</v>
      </c>
      <c r="AJ626">
        <v>1</v>
      </c>
      <c r="AK626">
        <v>6</v>
      </c>
      <c r="AL626" t="s">
        <v>3145</v>
      </c>
      <c r="AM626" t="s">
        <v>4452</v>
      </c>
      <c r="AN626" t="s">
        <v>6582</v>
      </c>
      <c r="AO626" t="s">
        <v>12523</v>
      </c>
      <c r="AP626" t="s">
        <v>12524</v>
      </c>
      <c r="AQ626" t="s">
        <v>74</v>
      </c>
      <c r="AR626" t="s">
        <v>12525</v>
      </c>
      <c r="AS626" t="s">
        <v>12526</v>
      </c>
      <c r="AT626" t="s">
        <v>11892</v>
      </c>
      <c r="AU626">
        <v>2020</v>
      </c>
      <c r="AV626">
        <v>61</v>
      </c>
      <c r="AW626">
        <v>82</v>
      </c>
      <c r="AX626" t="s">
        <v>74</v>
      </c>
      <c r="AY626" t="s">
        <v>74</v>
      </c>
      <c r="AZ626" t="s">
        <v>74</v>
      </c>
      <c r="BA626" t="s">
        <v>74</v>
      </c>
      <c r="BB626">
        <v>196</v>
      </c>
      <c r="BC626">
        <v>209</v>
      </c>
      <c r="BD626" t="s">
        <v>12613</v>
      </c>
      <c r="BE626" t="s">
        <v>12614</v>
      </c>
      <c r="BF626" t="str">
        <f>HYPERLINK("http://dx.doi.org/10.1017/aog.2020.36","http://dx.doi.org/10.1017/aog.2020.36")</f>
        <v>http://dx.doi.org/10.1017/aog.2020.36</v>
      </c>
      <c r="BG626" t="s">
        <v>74</v>
      </c>
      <c r="BH626" t="s">
        <v>74</v>
      </c>
      <c r="BI626">
        <v>14</v>
      </c>
      <c r="BJ626" t="s">
        <v>99</v>
      </c>
      <c r="BK626" t="s">
        <v>100</v>
      </c>
      <c r="BL626" t="s">
        <v>101</v>
      </c>
      <c r="BM626" t="s">
        <v>12529</v>
      </c>
      <c r="BN626" t="s">
        <v>74</v>
      </c>
      <c r="BO626" t="s">
        <v>2113</v>
      </c>
      <c r="BP626" t="s">
        <v>74</v>
      </c>
      <c r="BQ626" t="s">
        <v>74</v>
      </c>
      <c r="BR626" t="s">
        <v>104</v>
      </c>
      <c r="BS626" t="s">
        <v>12615</v>
      </c>
      <c r="BT626" t="str">
        <f>HYPERLINK("https%3A%2F%2Fwww.webofscience.com%2Fwos%2Fwoscc%2Ffull-record%2FWOS:000586257600018","View Full Record in Web of Science")</f>
        <v>View Full Record in Web of Science</v>
      </c>
    </row>
    <row r="627" spans="1:72" x14ac:dyDescent="0.15">
      <c r="A627" t="s">
        <v>72</v>
      </c>
      <c r="B627" t="s">
        <v>12616</v>
      </c>
      <c r="C627" t="s">
        <v>74</v>
      </c>
      <c r="D627" t="s">
        <v>74</v>
      </c>
      <c r="E627" t="s">
        <v>74</v>
      </c>
      <c r="F627" t="s">
        <v>12617</v>
      </c>
      <c r="G627" t="s">
        <v>74</v>
      </c>
      <c r="H627" t="s">
        <v>74</v>
      </c>
      <c r="I627" t="s">
        <v>12618</v>
      </c>
      <c r="J627" t="s">
        <v>12510</v>
      </c>
      <c r="K627" t="s">
        <v>74</v>
      </c>
      <c r="L627" t="s">
        <v>74</v>
      </c>
      <c r="M627" t="s">
        <v>78</v>
      </c>
      <c r="N627" t="s">
        <v>79</v>
      </c>
      <c r="O627" t="s">
        <v>74</v>
      </c>
      <c r="P627" t="s">
        <v>74</v>
      </c>
      <c r="Q627" t="s">
        <v>74</v>
      </c>
      <c r="R627" t="s">
        <v>74</v>
      </c>
      <c r="S627" t="s">
        <v>74</v>
      </c>
      <c r="T627" t="s">
        <v>12619</v>
      </c>
      <c r="U627" t="s">
        <v>12620</v>
      </c>
      <c r="V627" t="s">
        <v>12621</v>
      </c>
      <c r="W627" t="s">
        <v>12622</v>
      </c>
      <c r="X627" t="s">
        <v>12623</v>
      </c>
      <c r="Y627" t="s">
        <v>12624</v>
      </c>
      <c r="Z627" t="s">
        <v>12625</v>
      </c>
      <c r="AA627" t="s">
        <v>12626</v>
      </c>
      <c r="AB627" t="s">
        <v>12627</v>
      </c>
      <c r="AC627" t="s">
        <v>12628</v>
      </c>
      <c r="AD627" t="s">
        <v>12629</v>
      </c>
      <c r="AE627" t="s">
        <v>12630</v>
      </c>
      <c r="AF627" t="s">
        <v>74</v>
      </c>
      <c r="AG627">
        <v>61</v>
      </c>
      <c r="AH627">
        <v>3</v>
      </c>
      <c r="AI627">
        <v>4</v>
      </c>
      <c r="AJ627">
        <v>0</v>
      </c>
      <c r="AK627">
        <v>11</v>
      </c>
      <c r="AL627" t="s">
        <v>3145</v>
      </c>
      <c r="AM627" t="s">
        <v>4452</v>
      </c>
      <c r="AN627" t="s">
        <v>6582</v>
      </c>
      <c r="AO627" t="s">
        <v>12523</v>
      </c>
      <c r="AP627" t="s">
        <v>12524</v>
      </c>
      <c r="AQ627" t="s">
        <v>74</v>
      </c>
      <c r="AR627" t="s">
        <v>12525</v>
      </c>
      <c r="AS627" t="s">
        <v>12526</v>
      </c>
      <c r="AT627" t="s">
        <v>11892</v>
      </c>
      <c r="AU627">
        <v>2020</v>
      </c>
      <c r="AV627">
        <v>61</v>
      </c>
      <c r="AW627">
        <v>82</v>
      </c>
      <c r="AX627" t="s">
        <v>74</v>
      </c>
      <c r="AY627" t="s">
        <v>74</v>
      </c>
      <c r="AZ627" t="s">
        <v>74</v>
      </c>
      <c r="BA627" t="s">
        <v>74</v>
      </c>
      <c r="BB627">
        <v>227</v>
      </c>
      <c r="BC627">
        <v>239</v>
      </c>
      <c r="BD627" t="s">
        <v>12631</v>
      </c>
      <c r="BE627" t="s">
        <v>12632</v>
      </c>
      <c r="BF627" t="str">
        <f>HYPERLINK("http://dx.doi.org/10.1017/aog.2020.41","http://dx.doi.org/10.1017/aog.2020.41")</f>
        <v>http://dx.doi.org/10.1017/aog.2020.41</v>
      </c>
      <c r="BG627" t="s">
        <v>74</v>
      </c>
      <c r="BH627" t="s">
        <v>74</v>
      </c>
      <c r="BI627">
        <v>13</v>
      </c>
      <c r="BJ627" t="s">
        <v>99</v>
      </c>
      <c r="BK627" t="s">
        <v>100</v>
      </c>
      <c r="BL627" t="s">
        <v>101</v>
      </c>
      <c r="BM627" t="s">
        <v>12529</v>
      </c>
      <c r="BN627" t="s">
        <v>74</v>
      </c>
      <c r="BO627" t="s">
        <v>202</v>
      </c>
      <c r="BP627" t="s">
        <v>74</v>
      </c>
      <c r="BQ627" t="s">
        <v>74</v>
      </c>
      <c r="BR627" t="s">
        <v>104</v>
      </c>
      <c r="BS627" t="s">
        <v>12633</v>
      </c>
      <c r="BT627" t="str">
        <f>HYPERLINK("https%3A%2F%2Fwww.webofscience.com%2Fwos%2Fwoscc%2Ffull-record%2FWOS:000586257600020","View Full Record in Web of Science")</f>
        <v>View Full Record in Web of Science</v>
      </c>
    </row>
    <row r="628" spans="1:72" x14ac:dyDescent="0.15">
      <c r="A628" t="s">
        <v>72</v>
      </c>
      <c r="B628" t="s">
        <v>12634</v>
      </c>
      <c r="C628" t="s">
        <v>74</v>
      </c>
      <c r="D628" t="s">
        <v>74</v>
      </c>
      <c r="E628" t="s">
        <v>74</v>
      </c>
      <c r="F628" t="s">
        <v>12635</v>
      </c>
      <c r="G628" t="s">
        <v>74</v>
      </c>
      <c r="H628" t="s">
        <v>74</v>
      </c>
      <c r="I628" t="s">
        <v>12636</v>
      </c>
      <c r="J628" t="s">
        <v>12637</v>
      </c>
      <c r="K628" t="s">
        <v>74</v>
      </c>
      <c r="L628" t="s">
        <v>74</v>
      </c>
      <c r="M628" t="s">
        <v>78</v>
      </c>
      <c r="N628" t="s">
        <v>79</v>
      </c>
      <c r="O628" t="s">
        <v>74</v>
      </c>
      <c r="P628" t="s">
        <v>74</v>
      </c>
      <c r="Q628" t="s">
        <v>74</v>
      </c>
      <c r="R628" t="s">
        <v>74</v>
      </c>
      <c r="S628" t="s">
        <v>74</v>
      </c>
      <c r="T628" t="s">
        <v>12638</v>
      </c>
      <c r="U628" t="s">
        <v>12639</v>
      </c>
      <c r="V628" t="s">
        <v>12640</v>
      </c>
      <c r="W628" t="s">
        <v>12641</v>
      </c>
      <c r="X628" t="s">
        <v>12642</v>
      </c>
      <c r="Y628" t="s">
        <v>12643</v>
      </c>
      <c r="Z628" t="s">
        <v>12644</v>
      </c>
      <c r="AA628" t="s">
        <v>12645</v>
      </c>
      <c r="AB628" t="s">
        <v>74</v>
      </c>
      <c r="AC628" t="s">
        <v>74</v>
      </c>
      <c r="AD628" t="s">
        <v>74</v>
      </c>
      <c r="AE628" t="s">
        <v>74</v>
      </c>
      <c r="AF628" t="s">
        <v>74</v>
      </c>
      <c r="AG628">
        <v>28</v>
      </c>
      <c r="AH628">
        <v>3</v>
      </c>
      <c r="AI628">
        <v>4</v>
      </c>
      <c r="AJ628">
        <v>0</v>
      </c>
      <c r="AK628">
        <v>3</v>
      </c>
      <c r="AL628" t="s">
        <v>12646</v>
      </c>
      <c r="AM628" t="s">
        <v>12647</v>
      </c>
      <c r="AN628" t="s">
        <v>12648</v>
      </c>
      <c r="AO628" t="s">
        <v>12649</v>
      </c>
      <c r="AP628" t="s">
        <v>12650</v>
      </c>
      <c r="AQ628" t="s">
        <v>74</v>
      </c>
      <c r="AR628" t="s">
        <v>12651</v>
      </c>
      <c r="AS628" t="s">
        <v>12652</v>
      </c>
      <c r="AT628" t="s">
        <v>11892</v>
      </c>
      <c r="AU628">
        <v>2020</v>
      </c>
      <c r="AV628">
        <v>25</v>
      </c>
      <c r="AW628">
        <v>5</v>
      </c>
      <c r="AX628" t="s">
        <v>74</v>
      </c>
      <c r="AY628" t="s">
        <v>74</v>
      </c>
      <c r="AZ628" t="s">
        <v>74</v>
      </c>
      <c r="BA628" t="s">
        <v>74</v>
      </c>
      <c r="BB628">
        <v>787</v>
      </c>
      <c r="BC628">
        <v>794</v>
      </c>
      <c r="BD628" t="s">
        <v>74</v>
      </c>
      <c r="BE628" t="s">
        <v>12653</v>
      </c>
      <c r="BF628" t="str">
        <f>HYPERLINK("http://dx.doi.org/10.1007/s12257-020-0110-x","http://dx.doi.org/10.1007/s12257-020-0110-x")</f>
        <v>http://dx.doi.org/10.1007/s12257-020-0110-x</v>
      </c>
      <c r="BG628" t="s">
        <v>74</v>
      </c>
      <c r="BH628" t="s">
        <v>74</v>
      </c>
      <c r="BI628">
        <v>8</v>
      </c>
      <c r="BJ628" t="s">
        <v>2484</v>
      </c>
      <c r="BK628" t="s">
        <v>100</v>
      </c>
      <c r="BL628" t="s">
        <v>2484</v>
      </c>
      <c r="BM628" t="s">
        <v>12654</v>
      </c>
      <c r="BN628" t="s">
        <v>74</v>
      </c>
      <c r="BO628" t="s">
        <v>74</v>
      </c>
      <c r="BP628" t="s">
        <v>74</v>
      </c>
      <c r="BQ628" t="s">
        <v>74</v>
      </c>
      <c r="BR628" t="s">
        <v>104</v>
      </c>
      <c r="BS628" t="s">
        <v>12655</v>
      </c>
      <c r="BT628" t="str">
        <f>HYPERLINK("https%3A%2F%2Fwww.webofscience.com%2Fwos%2Fwoscc%2Ffull-record%2FWOS:000586875300016","View Full Record in Web of Science")</f>
        <v>View Full Record in Web of Science</v>
      </c>
    </row>
    <row r="629" spans="1:72" x14ac:dyDescent="0.15">
      <c r="A629" t="s">
        <v>72</v>
      </c>
      <c r="B629" t="s">
        <v>12656</v>
      </c>
      <c r="C629" t="s">
        <v>74</v>
      </c>
      <c r="D629" t="s">
        <v>74</v>
      </c>
      <c r="E629" t="s">
        <v>74</v>
      </c>
      <c r="F629" t="s">
        <v>12657</v>
      </c>
      <c r="G629" t="s">
        <v>74</v>
      </c>
      <c r="H629" t="s">
        <v>74</v>
      </c>
      <c r="I629" t="s">
        <v>12658</v>
      </c>
      <c r="J629" t="s">
        <v>1855</v>
      </c>
      <c r="K629" t="s">
        <v>74</v>
      </c>
      <c r="L629" t="s">
        <v>74</v>
      </c>
      <c r="M629" t="s">
        <v>78</v>
      </c>
      <c r="N629" t="s">
        <v>79</v>
      </c>
      <c r="O629" t="s">
        <v>74</v>
      </c>
      <c r="P629" t="s">
        <v>74</v>
      </c>
      <c r="Q629" t="s">
        <v>74</v>
      </c>
      <c r="R629" t="s">
        <v>74</v>
      </c>
      <c r="S629" t="s">
        <v>74</v>
      </c>
      <c r="T629" t="s">
        <v>74</v>
      </c>
      <c r="U629" t="s">
        <v>12659</v>
      </c>
      <c r="V629" t="s">
        <v>12660</v>
      </c>
      <c r="W629" t="s">
        <v>12661</v>
      </c>
      <c r="X629" t="s">
        <v>12662</v>
      </c>
      <c r="Y629" t="s">
        <v>12663</v>
      </c>
      <c r="Z629" t="s">
        <v>12664</v>
      </c>
      <c r="AA629" t="s">
        <v>12665</v>
      </c>
      <c r="AB629" t="s">
        <v>12666</v>
      </c>
      <c r="AC629" t="s">
        <v>12667</v>
      </c>
      <c r="AD629" t="s">
        <v>10628</v>
      </c>
      <c r="AE629" t="s">
        <v>12668</v>
      </c>
      <c r="AF629" t="s">
        <v>74</v>
      </c>
      <c r="AG629">
        <v>154</v>
      </c>
      <c r="AH629">
        <v>15</v>
      </c>
      <c r="AI629">
        <v>15</v>
      </c>
      <c r="AJ629">
        <v>0</v>
      </c>
      <c r="AK629">
        <v>9</v>
      </c>
      <c r="AL629" t="s">
        <v>1710</v>
      </c>
      <c r="AM629" t="s">
        <v>609</v>
      </c>
      <c r="AN629" t="s">
        <v>1711</v>
      </c>
      <c r="AO629" t="s">
        <v>1867</v>
      </c>
      <c r="AP629" t="s">
        <v>1868</v>
      </c>
      <c r="AQ629" t="s">
        <v>74</v>
      </c>
      <c r="AR629" t="s">
        <v>1869</v>
      </c>
      <c r="AS629" t="s">
        <v>1870</v>
      </c>
      <c r="AT629" t="s">
        <v>11892</v>
      </c>
      <c r="AU629">
        <v>2020</v>
      </c>
      <c r="AV629">
        <v>35</v>
      </c>
      <c r="AW629">
        <v>9</v>
      </c>
      <c r="AX629" t="s">
        <v>74</v>
      </c>
      <c r="AY629" t="s">
        <v>74</v>
      </c>
      <c r="AZ629" t="s">
        <v>74</v>
      </c>
      <c r="BA629" t="s">
        <v>74</v>
      </c>
      <c r="BB629" t="s">
        <v>74</v>
      </c>
      <c r="BC629" t="s">
        <v>74</v>
      </c>
      <c r="BD629" t="s">
        <v>12669</v>
      </c>
      <c r="BE629" t="s">
        <v>12670</v>
      </c>
      <c r="BF629" t="str">
        <f>HYPERLINK("http://dx.doi.org/10.1029/2020PA003956","http://dx.doi.org/10.1029/2020PA003956")</f>
        <v>http://dx.doi.org/10.1029/2020PA003956</v>
      </c>
      <c r="BG629" t="s">
        <v>74</v>
      </c>
      <c r="BH629" t="s">
        <v>74</v>
      </c>
      <c r="BI629">
        <v>20</v>
      </c>
      <c r="BJ629" t="s">
        <v>1873</v>
      </c>
      <c r="BK629" t="s">
        <v>255</v>
      </c>
      <c r="BL629" t="s">
        <v>1874</v>
      </c>
      <c r="BM629" t="s">
        <v>12671</v>
      </c>
      <c r="BN629" t="s">
        <v>74</v>
      </c>
      <c r="BO629" t="s">
        <v>775</v>
      </c>
      <c r="BP629" t="s">
        <v>74</v>
      </c>
      <c r="BQ629" t="s">
        <v>74</v>
      </c>
      <c r="BR629" t="s">
        <v>104</v>
      </c>
      <c r="BS629" t="s">
        <v>12672</v>
      </c>
      <c r="BT629" t="str">
        <f>HYPERLINK("https%3A%2F%2Fwww.webofscience.com%2Fwos%2Fwoscc%2Ffull-record%2FWOS:000576397200003","View Full Record in Web of Science")</f>
        <v>View Full Record in Web of Science</v>
      </c>
    </row>
    <row r="630" spans="1:72" x14ac:dyDescent="0.15">
      <c r="A630" t="s">
        <v>72</v>
      </c>
      <c r="B630" t="s">
        <v>12673</v>
      </c>
      <c r="C630" t="s">
        <v>74</v>
      </c>
      <c r="D630" t="s">
        <v>74</v>
      </c>
      <c r="E630" t="s">
        <v>74</v>
      </c>
      <c r="F630" t="s">
        <v>12674</v>
      </c>
      <c r="G630" t="s">
        <v>74</v>
      </c>
      <c r="H630" t="s">
        <v>74</v>
      </c>
      <c r="I630" t="s">
        <v>12675</v>
      </c>
      <c r="J630" t="s">
        <v>7210</v>
      </c>
      <c r="K630" t="s">
        <v>74</v>
      </c>
      <c r="L630" t="s">
        <v>74</v>
      </c>
      <c r="M630" t="s">
        <v>78</v>
      </c>
      <c r="N630" t="s">
        <v>79</v>
      </c>
      <c r="O630" t="s">
        <v>74</v>
      </c>
      <c r="P630" t="s">
        <v>74</v>
      </c>
      <c r="Q630" t="s">
        <v>74</v>
      </c>
      <c r="R630" t="s">
        <v>74</v>
      </c>
      <c r="S630" t="s">
        <v>74</v>
      </c>
      <c r="T630" t="s">
        <v>74</v>
      </c>
      <c r="U630" t="s">
        <v>12676</v>
      </c>
      <c r="V630" t="s">
        <v>12677</v>
      </c>
      <c r="W630" t="s">
        <v>12678</v>
      </c>
      <c r="X630" t="s">
        <v>12679</v>
      </c>
      <c r="Y630" t="s">
        <v>12680</v>
      </c>
      <c r="Z630" t="s">
        <v>12681</v>
      </c>
      <c r="AA630" t="s">
        <v>12682</v>
      </c>
      <c r="AB630" t="s">
        <v>12683</v>
      </c>
      <c r="AC630" t="s">
        <v>74</v>
      </c>
      <c r="AD630" t="s">
        <v>74</v>
      </c>
      <c r="AE630" t="s">
        <v>74</v>
      </c>
      <c r="AF630" t="s">
        <v>74</v>
      </c>
      <c r="AG630">
        <v>28</v>
      </c>
      <c r="AH630">
        <v>9</v>
      </c>
      <c r="AI630">
        <v>9</v>
      </c>
      <c r="AJ630">
        <v>3</v>
      </c>
      <c r="AK630">
        <v>14</v>
      </c>
      <c r="AL630" t="s">
        <v>1522</v>
      </c>
      <c r="AM630" t="s">
        <v>1407</v>
      </c>
      <c r="AN630" t="s">
        <v>1523</v>
      </c>
      <c r="AO630" t="s">
        <v>7223</v>
      </c>
      <c r="AP630" t="s">
        <v>7224</v>
      </c>
      <c r="AQ630" t="s">
        <v>74</v>
      </c>
      <c r="AR630" t="s">
        <v>7225</v>
      </c>
      <c r="AS630" t="s">
        <v>7226</v>
      </c>
      <c r="AT630" t="s">
        <v>11892</v>
      </c>
      <c r="AU630">
        <v>2020</v>
      </c>
      <c r="AV630">
        <v>179</v>
      </c>
      <c r="AW630" t="s">
        <v>74</v>
      </c>
      <c r="AX630" t="s">
        <v>74</v>
      </c>
      <c r="AY630" t="s">
        <v>74</v>
      </c>
      <c r="AZ630" t="s">
        <v>74</v>
      </c>
      <c r="BA630" t="s">
        <v>74</v>
      </c>
      <c r="BB630" t="s">
        <v>74</v>
      </c>
      <c r="BC630" t="s">
        <v>74</v>
      </c>
      <c r="BD630">
        <v>104650</v>
      </c>
      <c r="BE630" t="s">
        <v>12684</v>
      </c>
      <c r="BF630" t="str">
        <f>HYPERLINK("http://dx.doi.org/10.1016/j.dsr2.2019.104650","http://dx.doi.org/10.1016/j.dsr2.2019.104650")</f>
        <v>http://dx.doi.org/10.1016/j.dsr2.2019.104650</v>
      </c>
      <c r="BG630" t="s">
        <v>74</v>
      </c>
      <c r="BH630" t="s">
        <v>74</v>
      </c>
      <c r="BI630">
        <v>5</v>
      </c>
      <c r="BJ630" t="s">
        <v>1283</v>
      </c>
      <c r="BK630" t="s">
        <v>100</v>
      </c>
      <c r="BL630" t="s">
        <v>1283</v>
      </c>
      <c r="BM630" t="s">
        <v>12685</v>
      </c>
      <c r="BN630" t="s">
        <v>74</v>
      </c>
      <c r="BO630" t="s">
        <v>1188</v>
      </c>
      <c r="BP630" t="s">
        <v>74</v>
      </c>
      <c r="BQ630" t="s">
        <v>74</v>
      </c>
      <c r="BR630" t="s">
        <v>104</v>
      </c>
      <c r="BS630" t="s">
        <v>12686</v>
      </c>
      <c r="BT630" t="str">
        <f>HYPERLINK("https%3A%2F%2Fwww.webofscience.com%2Fwos%2Fwoscc%2Ffull-record%2FWOS:000582980000002","View Full Record in Web of Science")</f>
        <v>View Full Record in Web of Science</v>
      </c>
    </row>
    <row r="631" spans="1:72" x14ac:dyDescent="0.15">
      <c r="A631" t="s">
        <v>72</v>
      </c>
      <c r="B631" t="s">
        <v>12687</v>
      </c>
      <c r="C631" t="s">
        <v>74</v>
      </c>
      <c r="D631" t="s">
        <v>74</v>
      </c>
      <c r="E631" t="s">
        <v>74</v>
      </c>
      <c r="F631" t="s">
        <v>12688</v>
      </c>
      <c r="G631" t="s">
        <v>74</v>
      </c>
      <c r="H631" t="s">
        <v>74</v>
      </c>
      <c r="I631" t="s">
        <v>12689</v>
      </c>
      <c r="J631" t="s">
        <v>7210</v>
      </c>
      <c r="K631" t="s">
        <v>74</v>
      </c>
      <c r="L631" t="s">
        <v>74</v>
      </c>
      <c r="M631" t="s">
        <v>78</v>
      </c>
      <c r="N631" t="s">
        <v>79</v>
      </c>
      <c r="O631" t="s">
        <v>74</v>
      </c>
      <c r="P631" t="s">
        <v>74</v>
      </c>
      <c r="Q631" t="s">
        <v>74</v>
      </c>
      <c r="R631" t="s">
        <v>74</v>
      </c>
      <c r="S631" t="s">
        <v>74</v>
      </c>
      <c r="T631" t="s">
        <v>12690</v>
      </c>
      <c r="U631" t="s">
        <v>12691</v>
      </c>
      <c r="V631" t="s">
        <v>12692</v>
      </c>
      <c r="W631" t="s">
        <v>12693</v>
      </c>
      <c r="X631" t="s">
        <v>12694</v>
      </c>
      <c r="Y631" t="s">
        <v>12695</v>
      </c>
      <c r="Z631" t="s">
        <v>12696</v>
      </c>
      <c r="AA631" t="s">
        <v>12697</v>
      </c>
      <c r="AB631" t="s">
        <v>12698</v>
      </c>
      <c r="AC631" t="s">
        <v>12699</v>
      </c>
      <c r="AD631" t="s">
        <v>12700</v>
      </c>
      <c r="AE631" t="s">
        <v>12701</v>
      </c>
      <c r="AF631" t="s">
        <v>74</v>
      </c>
      <c r="AG631">
        <v>63</v>
      </c>
      <c r="AH631">
        <v>13</v>
      </c>
      <c r="AI631">
        <v>15</v>
      </c>
      <c r="AJ631">
        <v>4</v>
      </c>
      <c r="AK631">
        <v>21</v>
      </c>
      <c r="AL631" t="s">
        <v>1522</v>
      </c>
      <c r="AM631" t="s">
        <v>1407</v>
      </c>
      <c r="AN631" t="s">
        <v>1523</v>
      </c>
      <c r="AO631" t="s">
        <v>7223</v>
      </c>
      <c r="AP631" t="s">
        <v>7224</v>
      </c>
      <c r="AQ631" t="s">
        <v>74</v>
      </c>
      <c r="AR631" t="s">
        <v>7225</v>
      </c>
      <c r="AS631" t="s">
        <v>7226</v>
      </c>
      <c r="AT631" t="s">
        <v>11892</v>
      </c>
      <c r="AU631">
        <v>2020</v>
      </c>
      <c r="AV631">
        <v>179</v>
      </c>
      <c r="AW631" t="s">
        <v>74</v>
      </c>
      <c r="AX631" t="s">
        <v>74</v>
      </c>
      <c r="AY631" t="s">
        <v>74</v>
      </c>
      <c r="AZ631" t="s">
        <v>74</v>
      </c>
      <c r="BA631" t="s">
        <v>74</v>
      </c>
      <c r="BB631" t="s">
        <v>74</v>
      </c>
      <c r="BC631" t="s">
        <v>74</v>
      </c>
      <c r="BD631">
        <v>104874</v>
      </c>
      <c r="BE631" t="s">
        <v>12702</v>
      </c>
      <c r="BF631" t="str">
        <f>HYPERLINK("http://dx.doi.org/10.1016/j.dsr2.2020.104874","http://dx.doi.org/10.1016/j.dsr2.2020.104874")</f>
        <v>http://dx.doi.org/10.1016/j.dsr2.2020.104874</v>
      </c>
      <c r="BG631" t="s">
        <v>74</v>
      </c>
      <c r="BH631" t="s">
        <v>74</v>
      </c>
      <c r="BI631">
        <v>16</v>
      </c>
      <c r="BJ631" t="s">
        <v>1283</v>
      </c>
      <c r="BK631" t="s">
        <v>100</v>
      </c>
      <c r="BL631" t="s">
        <v>1283</v>
      </c>
      <c r="BM631" t="s">
        <v>12685</v>
      </c>
      <c r="BN631" t="s">
        <v>74</v>
      </c>
      <c r="BO631" t="s">
        <v>1825</v>
      </c>
      <c r="BP631" t="s">
        <v>74</v>
      </c>
      <c r="BQ631" t="s">
        <v>74</v>
      </c>
      <c r="BR631" t="s">
        <v>104</v>
      </c>
      <c r="BS631" t="s">
        <v>12703</v>
      </c>
      <c r="BT631" t="str">
        <f>HYPERLINK("https%3A%2F%2Fwww.webofscience.com%2Fwos%2Fwoscc%2Ffull-record%2FWOS:000582980000012","View Full Record in Web of Science")</f>
        <v>View Full Record in Web of Science</v>
      </c>
    </row>
    <row r="632" spans="1:72" x14ac:dyDescent="0.15">
      <c r="A632" t="s">
        <v>72</v>
      </c>
      <c r="B632" t="s">
        <v>12704</v>
      </c>
      <c r="C632" t="s">
        <v>74</v>
      </c>
      <c r="D632" t="s">
        <v>74</v>
      </c>
      <c r="E632" t="s">
        <v>74</v>
      </c>
      <c r="F632" t="s">
        <v>12705</v>
      </c>
      <c r="G632" t="s">
        <v>74</v>
      </c>
      <c r="H632" t="s">
        <v>74</v>
      </c>
      <c r="I632" t="s">
        <v>12706</v>
      </c>
      <c r="J632" t="s">
        <v>12349</v>
      </c>
      <c r="K632" t="s">
        <v>74</v>
      </c>
      <c r="L632" t="s">
        <v>74</v>
      </c>
      <c r="M632" t="s">
        <v>78</v>
      </c>
      <c r="N632" t="s">
        <v>79</v>
      </c>
      <c r="O632" t="s">
        <v>74</v>
      </c>
      <c r="P632" t="s">
        <v>74</v>
      </c>
      <c r="Q632" t="s">
        <v>74</v>
      </c>
      <c r="R632" t="s">
        <v>74</v>
      </c>
      <c r="S632" t="s">
        <v>74</v>
      </c>
      <c r="T632" t="s">
        <v>12707</v>
      </c>
      <c r="U632" t="s">
        <v>12708</v>
      </c>
      <c r="V632" t="s">
        <v>12709</v>
      </c>
      <c r="W632" t="s">
        <v>12710</v>
      </c>
      <c r="X632" t="s">
        <v>6874</v>
      </c>
      <c r="Y632" t="s">
        <v>12711</v>
      </c>
      <c r="Z632" t="s">
        <v>12712</v>
      </c>
      <c r="AA632" t="s">
        <v>12713</v>
      </c>
      <c r="AB632" t="s">
        <v>12714</v>
      </c>
      <c r="AC632" t="s">
        <v>12715</v>
      </c>
      <c r="AD632" t="s">
        <v>12716</v>
      </c>
      <c r="AE632" t="s">
        <v>12717</v>
      </c>
      <c r="AF632" t="s">
        <v>74</v>
      </c>
      <c r="AG632">
        <v>37</v>
      </c>
      <c r="AH632">
        <v>3</v>
      </c>
      <c r="AI632">
        <v>3</v>
      </c>
      <c r="AJ632">
        <v>1</v>
      </c>
      <c r="AK632">
        <v>8</v>
      </c>
      <c r="AL632" t="s">
        <v>1546</v>
      </c>
      <c r="AM632" t="s">
        <v>1547</v>
      </c>
      <c r="AN632" t="s">
        <v>1548</v>
      </c>
      <c r="AO632" t="s">
        <v>12357</v>
      </c>
      <c r="AP632" t="s">
        <v>12358</v>
      </c>
      <c r="AQ632" t="s">
        <v>74</v>
      </c>
      <c r="AR632" t="s">
        <v>12359</v>
      </c>
      <c r="AS632" t="s">
        <v>12360</v>
      </c>
      <c r="AT632" t="s">
        <v>11892</v>
      </c>
      <c r="AU632">
        <v>2020</v>
      </c>
      <c r="AV632">
        <v>80</v>
      </c>
      <c r="AW632">
        <v>3</v>
      </c>
      <c r="AX632" t="s">
        <v>74</v>
      </c>
      <c r="AY632" t="s">
        <v>74</v>
      </c>
      <c r="AZ632" t="s">
        <v>489</v>
      </c>
      <c r="BA632" t="s">
        <v>74</v>
      </c>
      <c r="BB632" t="s">
        <v>74</v>
      </c>
      <c r="BC632" t="s">
        <v>74</v>
      </c>
      <c r="BD632">
        <v>125595</v>
      </c>
      <c r="BE632" t="s">
        <v>12718</v>
      </c>
      <c r="BF632" t="str">
        <f>HYPERLINK("http://dx.doi.org/10.1016/j.chemer.2019.125595","http://dx.doi.org/10.1016/j.chemer.2019.125595")</f>
        <v>http://dx.doi.org/10.1016/j.chemer.2019.125595</v>
      </c>
      <c r="BG632" t="s">
        <v>74</v>
      </c>
      <c r="BH632" t="s">
        <v>74</v>
      </c>
      <c r="BI632">
        <v>10</v>
      </c>
      <c r="BJ632" t="s">
        <v>1361</v>
      </c>
      <c r="BK632" t="s">
        <v>100</v>
      </c>
      <c r="BL632" t="s">
        <v>1361</v>
      </c>
      <c r="BM632" t="s">
        <v>12362</v>
      </c>
      <c r="BN632" t="s">
        <v>74</v>
      </c>
      <c r="BO632" t="s">
        <v>74</v>
      </c>
      <c r="BP632" t="s">
        <v>74</v>
      </c>
      <c r="BQ632" t="s">
        <v>74</v>
      </c>
      <c r="BR632" t="s">
        <v>104</v>
      </c>
      <c r="BS632" t="s">
        <v>12719</v>
      </c>
      <c r="BT632" t="str">
        <f>HYPERLINK("https%3A%2F%2Fwww.webofscience.com%2Fwos%2Fwoscc%2Ffull-record%2FWOS:000583156800003","View Full Record in Web of Science")</f>
        <v>View Full Record in Web of Science</v>
      </c>
    </row>
    <row r="633" spans="1:72" x14ac:dyDescent="0.15">
      <c r="A633" t="s">
        <v>72</v>
      </c>
      <c r="B633" t="s">
        <v>12720</v>
      </c>
      <c r="C633" t="s">
        <v>74</v>
      </c>
      <c r="D633" t="s">
        <v>74</v>
      </c>
      <c r="E633" t="s">
        <v>74</v>
      </c>
      <c r="F633" t="s">
        <v>12721</v>
      </c>
      <c r="G633" t="s">
        <v>74</v>
      </c>
      <c r="H633" t="s">
        <v>74</v>
      </c>
      <c r="I633" t="s">
        <v>12722</v>
      </c>
      <c r="J633" t="s">
        <v>12349</v>
      </c>
      <c r="K633" t="s">
        <v>74</v>
      </c>
      <c r="L633" t="s">
        <v>74</v>
      </c>
      <c r="M633" t="s">
        <v>78</v>
      </c>
      <c r="N633" t="s">
        <v>79</v>
      </c>
      <c r="O633" t="s">
        <v>74</v>
      </c>
      <c r="P633" t="s">
        <v>74</v>
      </c>
      <c r="Q633" t="s">
        <v>74</v>
      </c>
      <c r="R633" t="s">
        <v>74</v>
      </c>
      <c r="S633" t="s">
        <v>74</v>
      </c>
      <c r="T633" t="s">
        <v>12723</v>
      </c>
      <c r="U633" t="s">
        <v>12724</v>
      </c>
      <c r="V633" t="s">
        <v>12725</v>
      </c>
      <c r="W633" t="s">
        <v>12726</v>
      </c>
      <c r="X633" t="s">
        <v>12727</v>
      </c>
      <c r="Y633" t="s">
        <v>12728</v>
      </c>
      <c r="Z633" t="s">
        <v>12729</v>
      </c>
      <c r="AA633" t="s">
        <v>12355</v>
      </c>
      <c r="AB633" t="s">
        <v>12356</v>
      </c>
      <c r="AC633" t="s">
        <v>12730</v>
      </c>
      <c r="AD633" t="s">
        <v>12731</v>
      </c>
      <c r="AE633" t="s">
        <v>12732</v>
      </c>
      <c r="AF633" t="s">
        <v>74</v>
      </c>
      <c r="AG633">
        <v>25</v>
      </c>
      <c r="AH633">
        <v>9</v>
      </c>
      <c r="AI633">
        <v>9</v>
      </c>
      <c r="AJ633">
        <v>1</v>
      </c>
      <c r="AK633">
        <v>6</v>
      </c>
      <c r="AL633" t="s">
        <v>1546</v>
      </c>
      <c r="AM633" t="s">
        <v>1547</v>
      </c>
      <c r="AN633" t="s">
        <v>1548</v>
      </c>
      <c r="AO633" t="s">
        <v>12357</v>
      </c>
      <c r="AP633" t="s">
        <v>12358</v>
      </c>
      <c r="AQ633" t="s">
        <v>74</v>
      </c>
      <c r="AR633" t="s">
        <v>12359</v>
      </c>
      <c r="AS633" t="s">
        <v>12360</v>
      </c>
      <c r="AT633" t="s">
        <v>11892</v>
      </c>
      <c r="AU633">
        <v>2020</v>
      </c>
      <c r="AV633">
        <v>80</v>
      </c>
      <c r="AW633">
        <v>3</v>
      </c>
      <c r="AX633" t="s">
        <v>74</v>
      </c>
      <c r="AY633" t="s">
        <v>74</v>
      </c>
      <c r="AZ633" t="s">
        <v>489</v>
      </c>
      <c r="BA633" t="s">
        <v>74</v>
      </c>
      <c r="BB633" t="s">
        <v>74</v>
      </c>
      <c r="BC633" t="s">
        <v>74</v>
      </c>
      <c r="BD633">
        <v>125556</v>
      </c>
      <c r="BE633" t="s">
        <v>12733</v>
      </c>
      <c r="BF633" t="str">
        <f>HYPERLINK("http://dx.doi.org/10.1016/j.chemer.2019.125556","http://dx.doi.org/10.1016/j.chemer.2019.125556")</f>
        <v>http://dx.doi.org/10.1016/j.chemer.2019.125556</v>
      </c>
      <c r="BG633" t="s">
        <v>74</v>
      </c>
      <c r="BH633" t="s">
        <v>74</v>
      </c>
      <c r="BI633">
        <v>6</v>
      </c>
      <c r="BJ633" t="s">
        <v>1361</v>
      </c>
      <c r="BK633" t="s">
        <v>100</v>
      </c>
      <c r="BL633" t="s">
        <v>1361</v>
      </c>
      <c r="BM633" t="s">
        <v>12362</v>
      </c>
      <c r="BN633" t="s">
        <v>74</v>
      </c>
      <c r="BO633" t="s">
        <v>1188</v>
      </c>
      <c r="BP633" t="s">
        <v>74</v>
      </c>
      <c r="BQ633" t="s">
        <v>74</v>
      </c>
      <c r="BR633" t="s">
        <v>104</v>
      </c>
      <c r="BS633" t="s">
        <v>12734</v>
      </c>
      <c r="BT633" t="str">
        <f>HYPERLINK("https%3A%2F%2Fwww.webofscience.com%2Fwos%2Fwoscc%2Ffull-record%2FWOS:000583156800011","View Full Record in Web of Science")</f>
        <v>View Full Record in Web of Science</v>
      </c>
    </row>
    <row r="634" spans="1:72" x14ac:dyDescent="0.15">
      <c r="A634" t="s">
        <v>72</v>
      </c>
      <c r="B634" t="s">
        <v>12735</v>
      </c>
      <c r="C634" t="s">
        <v>74</v>
      </c>
      <c r="D634" t="s">
        <v>74</v>
      </c>
      <c r="E634" t="s">
        <v>74</v>
      </c>
      <c r="F634" t="s">
        <v>12736</v>
      </c>
      <c r="G634" t="s">
        <v>74</v>
      </c>
      <c r="H634" t="s">
        <v>74</v>
      </c>
      <c r="I634" t="s">
        <v>12737</v>
      </c>
      <c r="J634" t="s">
        <v>12349</v>
      </c>
      <c r="K634" t="s">
        <v>74</v>
      </c>
      <c r="L634" t="s">
        <v>74</v>
      </c>
      <c r="M634" t="s">
        <v>78</v>
      </c>
      <c r="N634" t="s">
        <v>79</v>
      </c>
      <c r="O634" t="s">
        <v>74</v>
      </c>
      <c r="P634" t="s">
        <v>74</v>
      </c>
      <c r="Q634" t="s">
        <v>74</v>
      </c>
      <c r="R634" t="s">
        <v>74</v>
      </c>
      <c r="S634" t="s">
        <v>74</v>
      </c>
      <c r="T634" t="s">
        <v>12738</v>
      </c>
      <c r="U634" t="s">
        <v>12739</v>
      </c>
      <c r="V634" t="s">
        <v>12740</v>
      </c>
      <c r="W634" t="s">
        <v>12741</v>
      </c>
      <c r="X634" t="s">
        <v>12742</v>
      </c>
      <c r="Y634" t="s">
        <v>12743</v>
      </c>
      <c r="Z634" t="s">
        <v>12744</v>
      </c>
      <c r="AA634" t="s">
        <v>74</v>
      </c>
      <c r="AB634" t="s">
        <v>12745</v>
      </c>
      <c r="AC634" t="s">
        <v>12746</v>
      </c>
      <c r="AD634" t="s">
        <v>12747</v>
      </c>
      <c r="AE634" t="s">
        <v>12748</v>
      </c>
      <c r="AF634" t="s">
        <v>74</v>
      </c>
      <c r="AG634">
        <v>49</v>
      </c>
      <c r="AH634">
        <v>0</v>
      </c>
      <c r="AI634">
        <v>0</v>
      </c>
      <c r="AJ634">
        <v>1</v>
      </c>
      <c r="AK634">
        <v>8</v>
      </c>
      <c r="AL634" t="s">
        <v>1546</v>
      </c>
      <c r="AM634" t="s">
        <v>1547</v>
      </c>
      <c r="AN634" t="s">
        <v>1548</v>
      </c>
      <c r="AO634" t="s">
        <v>12357</v>
      </c>
      <c r="AP634" t="s">
        <v>12358</v>
      </c>
      <c r="AQ634" t="s">
        <v>74</v>
      </c>
      <c r="AR634" t="s">
        <v>12359</v>
      </c>
      <c r="AS634" t="s">
        <v>12360</v>
      </c>
      <c r="AT634" t="s">
        <v>11892</v>
      </c>
      <c r="AU634">
        <v>2020</v>
      </c>
      <c r="AV634">
        <v>80</v>
      </c>
      <c r="AW634">
        <v>3</v>
      </c>
      <c r="AX634" t="s">
        <v>74</v>
      </c>
      <c r="AY634" t="s">
        <v>74</v>
      </c>
      <c r="AZ634" t="s">
        <v>489</v>
      </c>
      <c r="BA634" t="s">
        <v>74</v>
      </c>
      <c r="BB634" t="s">
        <v>74</v>
      </c>
      <c r="BC634" t="s">
        <v>74</v>
      </c>
      <c r="BD634">
        <v>125591</v>
      </c>
      <c r="BE634" t="s">
        <v>12749</v>
      </c>
      <c r="BF634" t="str">
        <f>HYPERLINK("http://dx.doi.org/10.1016/j.chemer.2019.125591","http://dx.doi.org/10.1016/j.chemer.2019.125591")</f>
        <v>http://dx.doi.org/10.1016/j.chemer.2019.125591</v>
      </c>
      <c r="BG634" t="s">
        <v>74</v>
      </c>
      <c r="BH634" t="s">
        <v>74</v>
      </c>
      <c r="BI634">
        <v>8</v>
      </c>
      <c r="BJ634" t="s">
        <v>1361</v>
      </c>
      <c r="BK634" t="s">
        <v>100</v>
      </c>
      <c r="BL634" t="s">
        <v>1361</v>
      </c>
      <c r="BM634" t="s">
        <v>12362</v>
      </c>
      <c r="BN634" t="s">
        <v>74</v>
      </c>
      <c r="BO634" t="s">
        <v>74</v>
      </c>
      <c r="BP634" t="s">
        <v>74</v>
      </c>
      <c r="BQ634" t="s">
        <v>74</v>
      </c>
      <c r="BR634" t="s">
        <v>104</v>
      </c>
      <c r="BS634" t="s">
        <v>12750</v>
      </c>
      <c r="BT634" t="str">
        <f>HYPERLINK("https%3A%2F%2Fwww.webofscience.com%2Fwos%2Fwoscc%2Ffull-record%2FWOS:000583156800002","View Full Record in Web of Science")</f>
        <v>View Full Record in Web of Science</v>
      </c>
    </row>
    <row r="635" spans="1:72" x14ac:dyDescent="0.15">
      <c r="A635" t="s">
        <v>72</v>
      </c>
      <c r="B635" t="s">
        <v>12751</v>
      </c>
      <c r="C635" t="s">
        <v>74</v>
      </c>
      <c r="D635" t="s">
        <v>74</v>
      </c>
      <c r="E635" t="s">
        <v>74</v>
      </c>
      <c r="F635" t="s">
        <v>12752</v>
      </c>
      <c r="G635" t="s">
        <v>74</v>
      </c>
      <c r="H635" t="s">
        <v>74</v>
      </c>
      <c r="I635" t="s">
        <v>12753</v>
      </c>
      <c r="J635" t="s">
        <v>12349</v>
      </c>
      <c r="K635" t="s">
        <v>74</v>
      </c>
      <c r="L635" t="s">
        <v>74</v>
      </c>
      <c r="M635" t="s">
        <v>78</v>
      </c>
      <c r="N635" t="s">
        <v>79</v>
      </c>
      <c r="O635" t="s">
        <v>74</v>
      </c>
      <c r="P635" t="s">
        <v>74</v>
      </c>
      <c r="Q635" t="s">
        <v>74</v>
      </c>
      <c r="R635" t="s">
        <v>74</v>
      </c>
      <c r="S635" t="s">
        <v>74</v>
      </c>
      <c r="T635" t="s">
        <v>12754</v>
      </c>
      <c r="U635" t="s">
        <v>12755</v>
      </c>
      <c r="V635" t="s">
        <v>12756</v>
      </c>
      <c r="W635" t="s">
        <v>12757</v>
      </c>
      <c r="X635" t="s">
        <v>12758</v>
      </c>
      <c r="Y635" t="s">
        <v>12759</v>
      </c>
      <c r="Z635" t="s">
        <v>12760</v>
      </c>
      <c r="AA635" t="s">
        <v>12761</v>
      </c>
      <c r="AB635" t="s">
        <v>12714</v>
      </c>
      <c r="AC635" t="s">
        <v>12746</v>
      </c>
      <c r="AD635" t="s">
        <v>12747</v>
      </c>
      <c r="AE635" t="s">
        <v>12748</v>
      </c>
      <c r="AF635" t="s">
        <v>74</v>
      </c>
      <c r="AG635">
        <v>31</v>
      </c>
      <c r="AH635">
        <v>3</v>
      </c>
      <c r="AI635">
        <v>3</v>
      </c>
      <c r="AJ635">
        <v>0</v>
      </c>
      <c r="AK635">
        <v>6</v>
      </c>
      <c r="AL635" t="s">
        <v>1546</v>
      </c>
      <c r="AM635" t="s">
        <v>1547</v>
      </c>
      <c r="AN635" t="s">
        <v>1548</v>
      </c>
      <c r="AO635" t="s">
        <v>12357</v>
      </c>
      <c r="AP635" t="s">
        <v>12358</v>
      </c>
      <c r="AQ635" t="s">
        <v>74</v>
      </c>
      <c r="AR635" t="s">
        <v>12359</v>
      </c>
      <c r="AS635" t="s">
        <v>12360</v>
      </c>
      <c r="AT635" t="s">
        <v>11892</v>
      </c>
      <c r="AU635">
        <v>2020</v>
      </c>
      <c r="AV635">
        <v>80</v>
      </c>
      <c r="AW635">
        <v>3</v>
      </c>
      <c r="AX635" t="s">
        <v>74</v>
      </c>
      <c r="AY635" t="s">
        <v>74</v>
      </c>
      <c r="AZ635" t="s">
        <v>489</v>
      </c>
      <c r="BA635" t="s">
        <v>74</v>
      </c>
      <c r="BB635" t="s">
        <v>74</v>
      </c>
      <c r="BC635" t="s">
        <v>74</v>
      </c>
      <c r="BD635">
        <v>125554</v>
      </c>
      <c r="BE635" t="s">
        <v>12762</v>
      </c>
      <c r="BF635" t="str">
        <f>HYPERLINK("http://dx.doi.org/10.1016/j.chemer.2019.125554","http://dx.doi.org/10.1016/j.chemer.2019.125554")</f>
        <v>http://dx.doi.org/10.1016/j.chemer.2019.125554</v>
      </c>
      <c r="BG635" t="s">
        <v>74</v>
      </c>
      <c r="BH635" t="s">
        <v>74</v>
      </c>
      <c r="BI635">
        <v>9</v>
      </c>
      <c r="BJ635" t="s">
        <v>1361</v>
      </c>
      <c r="BK635" t="s">
        <v>100</v>
      </c>
      <c r="BL635" t="s">
        <v>1361</v>
      </c>
      <c r="BM635" t="s">
        <v>12362</v>
      </c>
      <c r="BN635" t="s">
        <v>74</v>
      </c>
      <c r="BO635" t="s">
        <v>1188</v>
      </c>
      <c r="BP635" t="s">
        <v>74</v>
      </c>
      <c r="BQ635" t="s">
        <v>74</v>
      </c>
      <c r="BR635" t="s">
        <v>104</v>
      </c>
      <c r="BS635" t="s">
        <v>12763</v>
      </c>
      <c r="BT635" t="str">
        <f>HYPERLINK("https%3A%2F%2Fwww.webofscience.com%2Fwos%2Fwoscc%2Ffull-record%2FWOS:000583156800004","View Full Record in Web of Science")</f>
        <v>View Full Record in Web of Science</v>
      </c>
    </row>
    <row r="636" spans="1:72" x14ac:dyDescent="0.15">
      <c r="A636" t="s">
        <v>72</v>
      </c>
      <c r="B636" t="s">
        <v>12764</v>
      </c>
      <c r="C636" t="s">
        <v>74</v>
      </c>
      <c r="D636" t="s">
        <v>74</v>
      </c>
      <c r="E636" t="s">
        <v>74</v>
      </c>
      <c r="F636" t="s">
        <v>12765</v>
      </c>
      <c r="G636" t="s">
        <v>74</v>
      </c>
      <c r="H636" t="s">
        <v>74</v>
      </c>
      <c r="I636" t="s">
        <v>12766</v>
      </c>
      <c r="J636" t="s">
        <v>12767</v>
      </c>
      <c r="K636" t="s">
        <v>74</v>
      </c>
      <c r="L636" t="s">
        <v>74</v>
      </c>
      <c r="M636" t="s">
        <v>78</v>
      </c>
      <c r="N636" t="s">
        <v>79</v>
      </c>
      <c r="O636" t="s">
        <v>74</v>
      </c>
      <c r="P636" t="s">
        <v>74</v>
      </c>
      <c r="Q636" t="s">
        <v>74</v>
      </c>
      <c r="R636" t="s">
        <v>74</v>
      </c>
      <c r="S636" t="s">
        <v>74</v>
      </c>
      <c r="T636" t="s">
        <v>12768</v>
      </c>
      <c r="U636" t="s">
        <v>12769</v>
      </c>
      <c r="V636" t="s">
        <v>12770</v>
      </c>
      <c r="W636" t="s">
        <v>12771</v>
      </c>
      <c r="X636" t="s">
        <v>12772</v>
      </c>
      <c r="Y636" t="s">
        <v>12773</v>
      </c>
      <c r="Z636" t="s">
        <v>12774</v>
      </c>
      <c r="AA636" t="s">
        <v>12775</v>
      </c>
      <c r="AB636" t="s">
        <v>12776</v>
      </c>
      <c r="AC636" t="s">
        <v>12777</v>
      </c>
      <c r="AD636" t="s">
        <v>12778</v>
      </c>
      <c r="AE636" t="s">
        <v>12779</v>
      </c>
      <c r="AF636" t="s">
        <v>74</v>
      </c>
      <c r="AG636">
        <v>87</v>
      </c>
      <c r="AH636">
        <v>17</v>
      </c>
      <c r="AI636">
        <v>17</v>
      </c>
      <c r="AJ636">
        <v>2</v>
      </c>
      <c r="AK636">
        <v>30</v>
      </c>
      <c r="AL636" t="s">
        <v>275</v>
      </c>
      <c r="AM636" t="s">
        <v>276</v>
      </c>
      <c r="AN636" t="s">
        <v>277</v>
      </c>
      <c r="AO636" t="s">
        <v>12780</v>
      </c>
      <c r="AP636" t="s">
        <v>12781</v>
      </c>
      <c r="AQ636" t="s">
        <v>74</v>
      </c>
      <c r="AR636" t="s">
        <v>12767</v>
      </c>
      <c r="AS636" t="s">
        <v>12782</v>
      </c>
      <c r="AT636" t="s">
        <v>11892</v>
      </c>
      <c r="AU636">
        <v>2020</v>
      </c>
      <c r="AV636">
        <v>98</v>
      </c>
      <c r="AW636" t="s">
        <v>74</v>
      </c>
      <c r="AX636" t="s">
        <v>74</v>
      </c>
      <c r="AY636" t="s">
        <v>74</v>
      </c>
      <c r="AZ636" t="s">
        <v>74</v>
      </c>
      <c r="BA636" t="s">
        <v>74</v>
      </c>
      <c r="BB636" t="s">
        <v>74</v>
      </c>
      <c r="BC636" t="s">
        <v>74</v>
      </c>
      <c r="BD636">
        <v>101902</v>
      </c>
      <c r="BE636" t="s">
        <v>12783</v>
      </c>
      <c r="BF636" t="str">
        <f>HYPERLINK("http://dx.doi.org/10.1016/j.hal.2020.101902","http://dx.doi.org/10.1016/j.hal.2020.101902")</f>
        <v>http://dx.doi.org/10.1016/j.hal.2020.101902</v>
      </c>
      <c r="BG636" t="s">
        <v>74</v>
      </c>
      <c r="BH636" t="s">
        <v>74</v>
      </c>
      <c r="BI636">
        <v>8</v>
      </c>
      <c r="BJ636" t="s">
        <v>9597</v>
      </c>
      <c r="BK636" t="s">
        <v>100</v>
      </c>
      <c r="BL636" t="s">
        <v>9597</v>
      </c>
      <c r="BM636" t="s">
        <v>12784</v>
      </c>
      <c r="BN636">
        <v>33129459</v>
      </c>
      <c r="BO636" t="s">
        <v>258</v>
      </c>
      <c r="BP636" t="s">
        <v>74</v>
      </c>
      <c r="BQ636" t="s">
        <v>74</v>
      </c>
      <c r="BR636" t="s">
        <v>104</v>
      </c>
      <c r="BS636" t="s">
        <v>12785</v>
      </c>
      <c r="BT636" t="str">
        <f>HYPERLINK("https%3A%2F%2Fwww.webofscience.com%2Fwos%2Fwoscc%2Ffull-record%2FWOS:000583196800018","View Full Record in Web of Science")</f>
        <v>View Full Record in Web of Science</v>
      </c>
    </row>
    <row r="637" spans="1:72" x14ac:dyDescent="0.15">
      <c r="A637" t="s">
        <v>72</v>
      </c>
      <c r="B637" t="s">
        <v>12786</v>
      </c>
      <c r="C637" t="s">
        <v>74</v>
      </c>
      <c r="D637" t="s">
        <v>74</v>
      </c>
      <c r="E637" t="s">
        <v>74</v>
      </c>
      <c r="F637" t="s">
        <v>12787</v>
      </c>
      <c r="G637" t="s">
        <v>74</v>
      </c>
      <c r="H637" t="s">
        <v>74</v>
      </c>
      <c r="I637" t="s">
        <v>12788</v>
      </c>
      <c r="J637" t="s">
        <v>1193</v>
      </c>
      <c r="K637" t="s">
        <v>74</v>
      </c>
      <c r="L637" t="s">
        <v>74</v>
      </c>
      <c r="M637" t="s">
        <v>78</v>
      </c>
      <c r="N637" t="s">
        <v>79</v>
      </c>
      <c r="O637" t="s">
        <v>74</v>
      </c>
      <c r="P637" t="s">
        <v>74</v>
      </c>
      <c r="Q637" t="s">
        <v>74</v>
      </c>
      <c r="R637" t="s">
        <v>74</v>
      </c>
      <c r="S637" t="s">
        <v>74</v>
      </c>
      <c r="T637" t="s">
        <v>12789</v>
      </c>
      <c r="U637" t="s">
        <v>12790</v>
      </c>
      <c r="V637" t="s">
        <v>12791</v>
      </c>
      <c r="W637" t="s">
        <v>12792</v>
      </c>
      <c r="X637" t="s">
        <v>12793</v>
      </c>
      <c r="Y637" t="s">
        <v>12794</v>
      </c>
      <c r="Z637" t="s">
        <v>1200</v>
      </c>
      <c r="AA637" t="s">
        <v>12795</v>
      </c>
      <c r="AB637" t="s">
        <v>12796</v>
      </c>
      <c r="AC637" t="s">
        <v>12797</v>
      </c>
      <c r="AD637" t="s">
        <v>12798</v>
      </c>
      <c r="AE637" t="s">
        <v>12799</v>
      </c>
      <c r="AF637" t="s">
        <v>74</v>
      </c>
      <c r="AG637">
        <v>55</v>
      </c>
      <c r="AH637">
        <v>5</v>
      </c>
      <c r="AI637">
        <v>5</v>
      </c>
      <c r="AJ637">
        <v>1</v>
      </c>
      <c r="AK637">
        <v>7</v>
      </c>
      <c r="AL637" t="s">
        <v>1206</v>
      </c>
      <c r="AM637" t="s">
        <v>1207</v>
      </c>
      <c r="AN637" t="s">
        <v>1208</v>
      </c>
      <c r="AO637" t="s">
        <v>1209</v>
      </c>
      <c r="AP637" t="s">
        <v>74</v>
      </c>
      <c r="AQ637" t="s">
        <v>74</v>
      </c>
      <c r="AR637" t="s">
        <v>1210</v>
      </c>
      <c r="AS637" t="s">
        <v>1211</v>
      </c>
      <c r="AT637" t="s">
        <v>11892</v>
      </c>
      <c r="AU637">
        <v>2020</v>
      </c>
      <c r="AV637">
        <v>41</v>
      </c>
      <c r="AW637">
        <v>5</v>
      </c>
      <c r="AX637" t="s">
        <v>74</v>
      </c>
      <c r="AY637" t="s">
        <v>74</v>
      </c>
      <c r="AZ637" t="s">
        <v>74</v>
      </c>
      <c r="BA637" t="s">
        <v>74</v>
      </c>
      <c r="BB637">
        <v>966</v>
      </c>
      <c r="BC637">
        <v>972</v>
      </c>
      <c r="BD637" t="s">
        <v>74</v>
      </c>
      <c r="BE637" t="s">
        <v>12800</v>
      </c>
      <c r="BF637" t="str">
        <f>HYPERLINK("http://dx.doi.org/10.22438/jeb/41/5/MRN-1319","http://dx.doi.org/10.22438/jeb/41/5/MRN-1319")</f>
        <v>http://dx.doi.org/10.22438/jeb/41/5/MRN-1319</v>
      </c>
      <c r="BG637" t="s">
        <v>74</v>
      </c>
      <c r="BH637" t="s">
        <v>74</v>
      </c>
      <c r="BI637">
        <v>7</v>
      </c>
      <c r="BJ637" t="s">
        <v>283</v>
      </c>
      <c r="BK637" t="s">
        <v>100</v>
      </c>
      <c r="BL637" t="s">
        <v>284</v>
      </c>
      <c r="BM637" t="s">
        <v>12801</v>
      </c>
      <c r="BN637" t="s">
        <v>74</v>
      </c>
      <c r="BO637" t="s">
        <v>1233</v>
      </c>
      <c r="BP637" t="s">
        <v>74</v>
      </c>
      <c r="BQ637" t="s">
        <v>74</v>
      </c>
      <c r="BR637" t="s">
        <v>104</v>
      </c>
      <c r="BS637" t="s">
        <v>12802</v>
      </c>
      <c r="BT637" t="str">
        <f>HYPERLINK("https%3A%2F%2Fwww.webofscience.com%2Fwos%2Fwoscc%2Ffull-record%2FWOS:000582908500003","View Full Record in Web of Science")</f>
        <v>View Full Record in Web of Science</v>
      </c>
    </row>
    <row r="638" spans="1:72" x14ac:dyDescent="0.15">
      <c r="A638" t="s">
        <v>72</v>
      </c>
      <c r="B638" t="s">
        <v>12803</v>
      </c>
      <c r="C638" t="s">
        <v>74</v>
      </c>
      <c r="D638" t="s">
        <v>74</v>
      </c>
      <c r="E638" t="s">
        <v>74</v>
      </c>
      <c r="F638" t="s">
        <v>12804</v>
      </c>
      <c r="G638" t="s">
        <v>74</v>
      </c>
      <c r="H638" t="s">
        <v>74</v>
      </c>
      <c r="I638" t="s">
        <v>12805</v>
      </c>
      <c r="J638" t="s">
        <v>2343</v>
      </c>
      <c r="K638" t="s">
        <v>74</v>
      </c>
      <c r="L638" t="s">
        <v>74</v>
      </c>
      <c r="M638" t="s">
        <v>78</v>
      </c>
      <c r="N638" t="s">
        <v>79</v>
      </c>
      <c r="O638" t="s">
        <v>74</v>
      </c>
      <c r="P638" t="s">
        <v>74</v>
      </c>
      <c r="Q638" t="s">
        <v>74</v>
      </c>
      <c r="R638" t="s">
        <v>74</v>
      </c>
      <c r="S638" t="s">
        <v>74</v>
      </c>
      <c r="T638" t="s">
        <v>12806</v>
      </c>
      <c r="U638" t="s">
        <v>12807</v>
      </c>
      <c r="V638" t="s">
        <v>12808</v>
      </c>
      <c r="W638" t="s">
        <v>12809</v>
      </c>
      <c r="X638" t="s">
        <v>1268</v>
      </c>
      <c r="Y638" t="s">
        <v>12810</v>
      </c>
      <c r="Z638" t="s">
        <v>12811</v>
      </c>
      <c r="AA638" t="s">
        <v>12812</v>
      </c>
      <c r="AB638" t="s">
        <v>12813</v>
      </c>
      <c r="AC638" t="s">
        <v>12814</v>
      </c>
      <c r="AD638" t="s">
        <v>12815</v>
      </c>
      <c r="AE638" t="s">
        <v>12816</v>
      </c>
      <c r="AF638" t="s">
        <v>74</v>
      </c>
      <c r="AG638">
        <v>60</v>
      </c>
      <c r="AH638">
        <v>8</v>
      </c>
      <c r="AI638">
        <v>9</v>
      </c>
      <c r="AJ638">
        <v>0</v>
      </c>
      <c r="AK638">
        <v>14</v>
      </c>
      <c r="AL638" t="s">
        <v>2085</v>
      </c>
      <c r="AM638" t="s">
        <v>2086</v>
      </c>
      <c r="AN638" t="s">
        <v>2087</v>
      </c>
      <c r="AO638" t="s">
        <v>74</v>
      </c>
      <c r="AP638" t="s">
        <v>2356</v>
      </c>
      <c r="AQ638" t="s">
        <v>74</v>
      </c>
      <c r="AR638" t="s">
        <v>2357</v>
      </c>
      <c r="AS638" t="s">
        <v>2358</v>
      </c>
      <c r="AT638" t="s">
        <v>11892</v>
      </c>
      <c r="AU638">
        <v>2020</v>
      </c>
      <c r="AV638">
        <v>11</v>
      </c>
      <c r="AW638">
        <v>9</v>
      </c>
      <c r="AX638" t="s">
        <v>74</v>
      </c>
      <c r="AY638" t="s">
        <v>74</v>
      </c>
      <c r="AZ638" t="s">
        <v>74</v>
      </c>
      <c r="BA638" t="s">
        <v>74</v>
      </c>
      <c r="BB638" t="s">
        <v>74</v>
      </c>
      <c r="BC638" t="s">
        <v>74</v>
      </c>
      <c r="BD638">
        <v>928</v>
      </c>
      <c r="BE638" t="s">
        <v>12817</v>
      </c>
      <c r="BF638" t="str">
        <f>HYPERLINK("http://dx.doi.org/10.3390/atmos11090928","http://dx.doi.org/10.3390/atmos11090928")</f>
        <v>http://dx.doi.org/10.3390/atmos11090928</v>
      </c>
      <c r="BG638" t="s">
        <v>74</v>
      </c>
      <c r="BH638" t="s">
        <v>74</v>
      </c>
      <c r="BI638">
        <v>23</v>
      </c>
      <c r="BJ638" t="s">
        <v>1027</v>
      </c>
      <c r="BK638" t="s">
        <v>100</v>
      </c>
      <c r="BL638" t="s">
        <v>1028</v>
      </c>
      <c r="BM638" t="s">
        <v>12818</v>
      </c>
      <c r="BN638" t="s">
        <v>74</v>
      </c>
      <c r="BO638" t="s">
        <v>202</v>
      </c>
      <c r="BP638" t="s">
        <v>74</v>
      </c>
      <c r="BQ638" t="s">
        <v>74</v>
      </c>
      <c r="BR638" t="s">
        <v>104</v>
      </c>
      <c r="BS638" t="s">
        <v>12819</v>
      </c>
      <c r="BT638" t="str">
        <f>HYPERLINK("https%3A%2F%2Fwww.webofscience.com%2Fwos%2Fwoscc%2Ffull-record%2FWOS:000582454700001","View Full Record in Web of Science")</f>
        <v>View Full Record in Web of Science</v>
      </c>
    </row>
    <row r="639" spans="1:72" x14ac:dyDescent="0.15">
      <c r="A639" t="s">
        <v>72</v>
      </c>
      <c r="B639" t="s">
        <v>12820</v>
      </c>
      <c r="C639" t="s">
        <v>74</v>
      </c>
      <c r="D639" t="s">
        <v>74</v>
      </c>
      <c r="E639" t="s">
        <v>74</v>
      </c>
      <c r="F639" t="s">
        <v>12821</v>
      </c>
      <c r="G639" t="s">
        <v>74</v>
      </c>
      <c r="H639" t="s">
        <v>74</v>
      </c>
      <c r="I639" t="s">
        <v>12822</v>
      </c>
      <c r="J639" t="s">
        <v>1393</v>
      </c>
      <c r="K639" t="s">
        <v>74</v>
      </c>
      <c r="L639" t="s">
        <v>74</v>
      </c>
      <c r="M639" t="s">
        <v>78</v>
      </c>
      <c r="N639" t="s">
        <v>138</v>
      </c>
      <c r="O639" t="s">
        <v>74</v>
      </c>
      <c r="P639" t="s">
        <v>74</v>
      </c>
      <c r="Q639" t="s">
        <v>74</v>
      </c>
      <c r="R639" t="s">
        <v>74</v>
      </c>
      <c r="S639" t="s">
        <v>74</v>
      </c>
      <c r="T639" t="s">
        <v>12823</v>
      </c>
      <c r="U639" t="s">
        <v>12824</v>
      </c>
      <c r="V639" t="s">
        <v>12825</v>
      </c>
      <c r="W639" t="s">
        <v>12826</v>
      </c>
      <c r="X639" t="s">
        <v>12827</v>
      </c>
      <c r="Y639" t="s">
        <v>12828</v>
      </c>
      <c r="Z639" t="s">
        <v>12829</v>
      </c>
      <c r="AA639" t="s">
        <v>74</v>
      </c>
      <c r="AB639" t="s">
        <v>12830</v>
      </c>
      <c r="AC639" t="s">
        <v>12831</v>
      </c>
      <c r="AD639" t="s">
        <v>12832</v>
      </c>
      <c r="AE639" t="s">
        <v>12833</v>
      </c>
      <c r="AF639" t="s">
        <v>74</v>
      </c>
      <c r="AG639">
        <v>99</v>
      </c>
      <c r="AH639">
        <v>9</v>
      </c>
      <c r="AI639">
        <v>10</v>
      </c>
      <c r="AJ639">
        <v>1</v>
      </c>
      <c r="AK639">
        <v>19</v>
      </c>
      <c r="AL639" t="s">
        <v>1406</v>
      </c>
      <c r="AM639" t="s">
        <v>1407</v>
      </c>
      <c r="AN639" t="s">
        <v>1408</v>
      </c>
      <c r="AO639" t="s">
        <v>1409</v>
      </c>
      <c r="AP639" t="s">
        <v>1410</v>
      </c>
      <c r="AQ639" t="s">
        <v>74</v>
      </c>
      <c r="AR639" t="s">
        <v>1411</v>
      </c>
      <c r="AS639" t="s">
        <v>1412</v>
      </c>
      <c r="AT639" t="s">
        <v>11892</v>
      </c>
      <c r="AU639">
        <v>2020</v>
      </c>
      <c r="AV639">
        <v>77</v>
      </c>
      <c r="AW639">
        <v>5</v>
      </c>
      <c r="AX639" t="s">
        <v>74</v>
      </c>
      <c r="AY639" t="s">
        <v>74</v>
      </c>
      <c r="AZ639" t="s">
        <v>74</v>
      </c>
      <c r="BA639" t="s">
        <v>74</v>
      </c>
      <c r="BB639">
        <v>1589</v>
      </c>
      <c r="BC639">
        <v>1601</v>
      </c>
      <c r="BD639" t="s">
        <v>74</v>
      </c>
      <c r="BE639" t="s">
        <v>12834</v>
      </c>
      <c r="BF639" t="str">
        <f>HYPERLINK("http://dx.doi.org/10.1093/icesjms/fsaa070","http://dx.doi.org/10.1093/icesjms/fsaa070")</f>
        <v>http://dx.doi.org/10.1093/icesjms/fsaa070</v>
      </c>
      <c r="BG639" t="s">
        <v>74</v>
      </c>
      <c r="BH639" t="s">
        <v>74</v>
      </c>
      <c r="BI639">
        <v>13</v>
      </c>
      <c r="BJ639" t="s">
        <v>1414</v>
      </c>
      <c r="BK639" t="s">
        <v>100</v>
      </c>
      <c r="BL639" t="s">
        <v>1414</v>
      </c>
      <c r="BM639" t="s">
        <v>12835</v>
      </c>
      <c r="BN639" t="s">
        <v>74</v>
      </c>
      <c r="BO639" t="s">
        <v>1233</v>
      </c>
      <c r="BP639" t="s">
        <v>74</v>
      </c>
      <c r="BQ639" t="s">
        <v>74</v>
      </c>
      <c r="BR639" t="s">
        <v>104</v>
      </c>
      <c r="BS639" t="s">
        <v>12836</v>
      </c>
      <c r="BT639" t="str">
        <f>HYPERLINK("https%3A%2F%2Fwww.webofscience.com%2Fwos%2Fwoscc%2Ffull-record%2FWOS:000582719500001","View Full Record in Web of Science")</f>
        <v>View Full Record in Web of Science</v>
      </c>
    </row>
    <row r="640" spans="1:72" x14ac:dyDescent="0.15">
      <c r="A640" t="s">
        <v>72</v>
      </c>
      <c r="B640" t="s">
        <v>12837</v>
      </c>
      <c r="C640" t="s">
        <v>74</v>
      </c>
      <c r="D640" t="s">
        <v>74</v>
      </c>
      <c r="E640" t="s">
        <v>74</v>
      </c>
      <c r="F640" t="s">
        <v>12838</v>
      </c>
      <c r="G640" t="s">
        <v>74</v>
      </c>
      <c r="H640" t="s">
        <v>74</v>
      </c>
      <c r="I640" t="s">
        <v>12839</v>
      </c>
      <c r="J640" t="s">
        <v>1393</v>
      </c>
      <c r="K640" t="s">
        <v>74</v>
      </c>
      <c r="L640" t="s">
        <v>74</v>
      </c>
      <c r="M640" t="s">
        <v>78</v>
      </c>
      <c r="N640" t="s">
        <v>79</v>
      </c>
      <c r="O640" t="s">
        <v>74</v>
      </c>
      <c r="P640" t="s">
        <v>74</v>
      </c>
      <c r="Q640" t="s">
        <v>74</v>
      </c>
      <c r="R640" t="s">
        <v>74</v>
      </c>
      <c r="S640" t="s">
        <v>74</v>
      </c>
      <c r="T640" t="s">
        <v>12840</v>
      </c>
      <c r="U640" t="s">
        <v>12841</v>
      </c>
      <c r="V640" t="s">
        <v>12842</v>
      </c>
      <c r="W640" t="s">
        <v>12843</v>
      </c>
      <c r="X640" t="s">
        <v>12844</v>
      </c>
      <c r="Y640" t="s">
        <v>12845</v>
      </c>
      <c r="Z640" t="s">
        <v>1400</v>
      </c>
      <c r="AA640" t="s">
        <v>74</v>
      </c>
      <c r="AB640" t="s">
        <v>12846</v>
      </c>
      <c r="AC640" t="s">
        <v>12847</v>
      </c>
      <c r="AD640" t="s">
        <v>12848</v>
      </c>
      <c r="AE640" t="s">
        <v>12849</v>
      </c>
      <c r="AF640" t="s">
        <v>74</v>
      </c>
      <c r="AG640">
        <v>45</v>
      </c>
      <c r="AH640">
        <v>10</v>
      </c>
      <c r="AI640">
        <v>10</v>
      </c>
      <c r="AJ640">
        <v>2</v>
      </c>
      <c r="AK640">
        <v>10</v>
      </c>
      <c r="AL640" t="s">
        <v>1406</v>
      </c>
      <c r="AM640" t="s">
        <v>1407</v>
      </c>
      <c r="AN640" t="s">
        <v>1408</v>
      </c>
      <c r="AO640" t="s">
        <v>1409</v>
      </c>
      <c r="AP640" t="s">
        <v>1410</v>
      </c>
      <c r="AQ640" t="s">
        <v>74</v>
      </c>
      <c r="AR640" t="s">
        <v>1411</v>
      </c>
      <c r="AS640" t="s">
        <v>1412</v>
      </c>
      <c r="AT640" t="s">
        <v>11892</v>
      </c>
      <c r="AU640">
        <v>2020</v>
      </c>
      <c r="AV640">
        <v>77</v>
      </c>
      <c r="AW640">
        <v>5</v>
      </c>
      <c r="AX640" t="s">
        <v>74</v>
      </c>
      <c r="AY640" t="s">
        <v>74</v>
      </c>
      <c r="AZ640" t="s">
        <v>74</v>
      </c>
      <c r="BA640" t="s">
        <v>74</v>
      </c>
      <c r="BB640">
        <v>1666</v>
      </c>
      <c r="BC640">
        <v>1671</v>
      </c>
      <c r="BD640" t="s">
        <v>74</v>
      </c>
      <c r="BE640" t="s">
        <v>12850</v>
      </c>
      <c r="BF640" t="str">
        <f>HYPERLINK("http://dx.doi.org/10.1093/icesjms/fsaa077","http://dx.doi.org/10.1093/icesjms/fsaa077")</f>
        <v>http://dx.doi.org/10.1093/icesjms/fsaa077</v>
      </c>
      <c r="BG640" t="s">
        <v>74</v>
      </c>
      <c r="BH640" t="s">
        <v>74</v>
      </c>
      <c r="BI640">
        <v>6</v>
      </c>
      <c r="BJ640" t="s">
        <v>1414</v>
      </c>
      <c r="BK640" t="s">
        <v>255</v>
      </c>
      <c r="BL640" t="s">
        <v>1414</v>
      </c>
      <c r="BM640" t="s">
        <v>12835</v>
      </c>
      <c r="BN640" t="s">
        <v>74</v>
      </c>
      <c r="BO640" t="s">
        <v>1432</v>
      </c>
      <c r="BP640" t="s">
        <v>74</v>
      </c>
      <c r="BQ640" t="s">
        <v>74</v>
      </c>
      <c r="BR640" t="s">
        <v>104</v>
      </c>
      <c r="BS640" t="s">
        <v>12851</v>
      </c>
      <c r="BT640" t="str">
        <f>HYPERLINK("https%3A%2F%2Fwww.webofscience.com%2Fwos%2Fwoscc%2Ffull-record%2FWOS:000582719500008","View Full Record in Web of Science")</f>
        <v>View Full Record in Web of Science</v>
      </c>
    </row>
    <row r="641" spans="1:72" x14ac:dyDescent="0.15">
      <c r="A641" t="s">
        <v>72</v>
      </c>
      <c r="B641" t="s">
        <v>12852</v>
      </c>
      <c r="C641" t="s">
        <v>74</v>
      </c>
      <c r="D641" t="s">
        <v>74</v>
      </c>
      <c r="E641" t="s">
        <v>74</v>
      </c>
      <c r="F641" t="s">
        <v>12853</v>
      </c>
      <c r="G641" t="s">
        <v>74</v>
      </c>
      <c r="H641" t="s">
        <v>74</v>
      </c>
      <c r="I641" t="s">
        <v>12854</v>
      </c>
      <c r="J641" t="s">
        <v>1393</v>
      </c>
      <c r="K641" t="s">
        <v>74</v>
      </c>
      <c r="L641" t="s">
        <v>74</v>
      </c>
      <c r="M641" t="s">
        <v>78</v>
      </c>
      <c r="N641" t="s">
        <v>79</v>
      </c>
      <c r="O641" t="s">
        <v>74</v>
      </c>
      <c r="P641" t="s">
        <v>74</v>
      </c>
      <c r="Q641" t="s">
        <v>74</v>
      </c>
      <c r="R641" t="s">
        <v>74</v>
      </c>
      <c r="S641" t="s">
        <v>74</v>
      </c>
      <c r="T641" t="s">
        <v>12855</v>
      </c>
      <c r="U641" t="s">
        <v>12856</v>
      </c>
      <c r="V641" t="s">
        <v>12857</v>
      </c>
      <c r="W641" t="s">
        <v>12858</v>
      </c>
      <c r="X641" t="s">
        <v>12859</v>
      </c>
      <c r="Y641" t="s">
        <v>12860</v>
      </c>
      <c r="Z641" t="s">
        <v>12861</v>
      </c>
      <c r="AA641" t="s">
        <v>12862</v>
      </c>
      <c r="AB641" t="s">
        <v>12863</v>
      </c>
      <c r="AC641" t="s">
        <v>12864</v>
      </c>
      <c r="AD641" t="s">
        <v>12865</v>
      </c>
      <c r="AE641" t="s">
        <v>12866</v>
      </c>
      <c r="AF641" t="s">
        <v>74</v>
      </c>
      <c r="AG641">
        <v>61</v>
      </c>
      <c r="AH641">
        <v>15</v>
      </c>
      <c r="AI641">
        <v>15</v>
      </c>
      <c r="AJ641">
        <v>2</v>
      </c>
      <c r="AK641">
        <v>26</v>
      </c>
      <c r="AL641" t="s">
        <v>1406</v>
      </c>
      <c r="AM641" t="s">
        <v>1407</v>
      </c>
      <c r="AN641" t="s">
        <v>1408</v>
      </c>
      <c r="AO641" t="s">
        <v>1409</v>
      </c>
      <c r="AP641" t="s">
        <v>1410</v>
      </c>
      <c r="AQ641" t="s">
        <v>74</v>
      </c>
      <c r="AR641" t="s">
        <v>1411</v>
      </c>
      <c r="AS641" t="s">
        <v>1412</v>
      </c>
      <c r="AT641" t="s">
        <v>11892</v>
      </c>
      <c r="AU641">
        <v>2020</v>
      </c>
      <c r="AV641">
        <v>77</v>
      </c>
      <c r="AW641">
        <v>5</v>
      </c>
      <c r="AX641" t="s">
        <v>74</v>
      </c>
      <c r="AY641" t="s">
        <v>74</v>
      </c>
      <c r="AZ641" t="s">
        <v>74</v>
      </c>
      <c r="BA641" t="s">
        <v>74</v>
      </c>
      <c r="BB641">
        <v>1672</v>
      </c>
      <c r="BC641">
        <v>1684</v>
      </c>
      <c r="BD641" t="s">
        <v>74</v>
      </c>
      <c r="BE641" t="s">
        <v>12867</v>
      </c>
      <c r="BF641" t="str">
        <f>HYPERLINK("http://dx.doi.org/10.1093/icesjms/fsaa031","http://dx.doi.org/10.1093/icesjms/fsaa031")</f>
        <v>http://dx.doi.org/10.1093/icesjms/fsaa031</v>
      </c>
      <c r="BG641" t="s">
        <v>74</v>
      </c>
      <c r="BH641" t="s">
        <v>74</v>
      </c>
      <c r="BI641">
        <v>13</v>
      </c>
      <c r="BJ641" t="s">
        <v>1414</v>
      </c>
      <c r="BK641" t="s">
        <v>100</v>
      </c>
      <c r="BL641" t="s">
        <v>1414</v>
      </c>
      <c r="BM641" t="s">
        <v>12835</v>
      </c>
      <c r="BN641" t="s">
        <v>74</v>
      </c>
      <c r="BO641" t="s">
        <v>1876</v>
      </c>
      <c r="BP641" t="s">
        <v>74</v>
      </c>
      <c r="BQ641" t="s">
        <v>74</v>
      </c>
      <c r="BR641" t="s">
        <v>104</v>
      </c>
      <c r="BS641" t="s">
        <v>12868</v>
      </c>
      <c r="BT641" t="str">
        <f>HYPERLINK("https%3A%2F%2Fwww.webofscience.com%2Fwos%2Fwoscc%2Ffull-record%2FWOS:000582719500009","View Full Record in Web of Science")</f>
        <v>View Full Record in Web of Science</v>
      </c>
    </row>
    <row r="642" spans="1:72" x14ac:dyDescent="0.15">
      <c r="A642" t="s">
        <v>72</v>
      </c>
      <c r="B642" t="s">
        <v>12869</v>
      </c>
      <c r="C642" t="s">
        <v>74</v>
      </c>
      <c r="D642" t="s">
        <v>74</v>
      </c>
      <c r="E642" t="s">
        <v>74</v>
      </c>
      <c r="F642" t="s">
        <v>12870</v>
      </c>
      <c r="G642" t="s">
        <v>74</v>
      </c>
      <c r="H642" t="s">
        <v>74</v>
      </c>
      <c r="I642" t="s">
        <v>12871</v>
      </c>
      <c r="J642" t="s">
        <v>1393</v>
      </c>
      <c r="K642" t="s">
        <v>74</v>
      </c>
      <c r="L642" t="s">
        <v>74</v>
      </c>
      <c r="M642" t="s">
        <v>78</v>
      </c>
      <c r="N642" t="s">
        <v>79</v>
      </c>
      <c r="O642" t="s">
        <v>74</v>
      </c>
      <c r="P642" t="s">
        <v>74</v>
      </c>
      <c r="Q642" t="s">
        <v>74</v>
      </c>
      <c r="R642" t="s">
        <v>74</v>
      </c>
      <c r="S642" t="s">
        <v>74</v>
      </c>
      <c r="T642" t="s">
        <v>12872</v>
      </c>
      <c r="U642" t="s">
        <v>12873</v>
      </c>
      <c r="V642" t="s">
        <v>12874</v>
      </c>
      <c r="W642" t="s">
        <v>12875</v>
      </c>
      <c r="X642" t="s">
        <v>12876</v>
      </c>
      <c r="Y642" t="s">
        <v>12877</v>
      </c>
      <c r="Z642" t="s">
        <v>12878</v>
      </c>
      <c r="AA642" t="s">
        <v>74</v>
      </c>
      <c r="AB642" t="s">
        <v>74</v>
      </c>
      <c r="AC642" t="s">
        <v>12879</v>
      </c>
      <c r="AD642" t="s">
        <v>12880</v>
      </c>
      <c r="AE642" t="s">
        <v>12881</v>
      </c>
      <c r="AF642" t="s">
        <v>74</v>
      </c>
      <c r="AG642">
        <v>81</v>
      </c>
      <c r="AH642">
        <v>2</v>
      </c>
      <c r="AI642">
        <v>2</v>
      </c>
      <c r="AJ642">
        <v>4</v>
      </c>
      <c r="AK642">
        <v>12</v>
      </c>
      <c r="AL642" t="s">
        <v>1406</v>
      </c>
      <c r="AM642" t="s">
        <v>1407</v>
      </c>
      <c r="AN642" t="s">
        <v>1408</v>
      </c>
      <c r="AO642" t="s">
        <v>1409</v>
      </c>
      <c r="AP642" t="s">
        <v>1410</v>
      </c>
      <c r="AQ642" t="s">
        <v>74</v>
      </c>
      <c r="AR642" t="s">
        <v>1411</v>
      </c>
      <c r="AS642" t="s">
        <v>1412</v>
      </c>
      <c r="AT642" t="s">
        <v>11892</v>
      </c>
      <c r="AU642">
        <v>2020</v>
      </c>
      <c r="AV642">
        <v>77</v>
      </c>
      <c r="AW642">
        <v>5</v>
      </c>
      <c r="AX642" t="s">
        <v>74</v>
      </c>
      <c r="AY642" t="s">
        <v>74</v>
      </c>
      <c r="AZ642" t="s">
        <v>74</v>
      </c>
      <c r="BA642" t="s">
        <v>74</v>
      </c>
      <c r="BB642">
        <v>1738</v>
      </c>
      <c r="BC642">
        <v>1751</v>
      </c>
      <c r="BD642" t="s">
        <v>74</v>
      </c>
      <c r="BE642" t="s">
        <v>12882</v>
      </c>
      <c r="BF642" t="str">
        <f>HYPERLINK("http://dx.doi.org/10.1093/icesjms/fsaa042","http://dx.doi.org/10.1093/icesjms/fsaa042")</f>
        <v>http://dx.doi.org/10.1093/icesjms/fsaa042</v>
      </c>
      <c r="BG642" t="s">
        <v>74</v>
      </c>
      <c r="BH642" t="s">
        <v>74</v>
      </c>
      <c r="BI642">
        <v>14</v>
      </c>
      <c r="BJ642" t="s">
        <v>1414</v>
      </c>
      <c r="BK642" t="s">
        <v>100</v>
      </c>
      <c r="BL642" t="s">
        <v>1414</v>
      </c>
      <c r="BM642" t="s">
        <v>12835</v>
      </c>
      <c r="BN642" t="s">
        <v>74</v>
      </c>
      <c r="BO642" t="s">
        <v>2628</v>
      </c>
      <c r="BP642" t="s">
        <v>74</v>
      </c>
      <c r="BQ642" t="s">
        <v>74</v>
      </c>
      <c r="BR642" t="s">
        <v>104</v>
      </c>
      <c r="BS642" t="s">
        <v>12883</v>
      </c>
      <c r="BT642" t="str">
        <f>HYPERLINK("https%3A%2F%2Fwww.webofscience.com%2Fwos%2Fwoscc%2Ffull-record%2FWOS:000582719500014","View Full Record in Web of Science")</f>
        <v>View Full Record in Web of Science</v>
      </c>
    </row>
    <row r="643" spans="1:72" x14ac:dyDescent="0.15">
      <c r="A643" t="s">
        <v>72</v>
      </c>
      <c r="B643" t="s">
        <v>12884</v>
      </c>
      <c r="C643" t="s">
        <v>74</v>
      </c>
      <c r="D643" t="s">
        <v>74</v>
      </c>
      <c r="E643" t="s">
        <v>74</v>
      </c>
      <c r="F643" t="s">
        <v>12885</v>
      </c>
      <c r="G643" t="s">
        <v>74</v>
      </c>
      <c r="H643" t="s">
        <v>74</v>
      </c>
      <c r="I643" t="s">
        <v>12886</v>
      </c>
      <c r="J643" t="s">
        <v>12887</v>
      </c>
      <c r="K643" t="s">
        <v>74</v>
      </c>
      <c r="L643" t="s">
        <v>74</v>
      </c>
      <c r="M643" t="s">
        <v>78</v>
      </c>
      <c r="N643" t="s">
        <v>79</v>
      </c>
      <c r="O643" t="s">
        <v>74</v>
      </c>
      <c r="P643" t="s">
        <v>74</v>
      </c>
      <c r="Q643" t="s">
        <v>74</v>
      </c>
      <c r="R643" t="s">
        <v>74</v>
      </c>
      <c r="S643" t="s">
        <v>74</v>
      </c>
      <c r="T643" t="s">
        <v>12888</v>
      </c>
      <c r="U643" t="s">
        <v>12889</v>
      </c>
      <c r="V643" t="s">
        <v>12890</v>
      </c>
      <c r="W643" t="s">
        <v>12891</v>
      </c>
      <c r="X643" t="s">
        <v>12892</v>
      </c>
      <c r="Y643" t="s">
        <v>12893</v>
      </c>
      <c r="Z643" t="s">
        <v>12894</v>
      </c>
      <c r="AA643" t="s">
        <v>74</v>
      </c>
      <c r="AB643" t="s">
        <v>12895</v>
      </c>
      <c r="AC643" t="s">
        <v>12896</v>
      </c>
      <c r="AD643" t="s">
        <v>12897</v>
      </c>
      <c r="AE643" t="s">
        <v>12898</v>
      </c>
      <c r="AF643" t="s">
        <v>74</v>
      </c>
      <c r="AG643">
        <v>107</v>
      </c>
      <c r="AH643">
        <v>15</v>
      </c>
      <c r="AI643">
        <v>16</v>
      </c>
      <c r="AJ643">
        <v>1</v>
      </c>
      <c r="AK643">
        <v>11</v>
      </c>
      <c r="AL643" t="s">
        <v>275</v>
      </c>
      <c r="AM643" t="s">
        <v>276</v>
      </c>
      <c r="AN643" t="s">
        <v>277</v>
      </c>
      <c r="AO643" t="s">
        <v>12899</v>
      </c>
      <c r="AP643" t="s">
        <v>12900</v>
      </c>
      <c r="AQ643" t="s">
        <v>74</v>
      </c>
      <c r="AR643" t="s">
        <v>12901</v>
      </c>
      <c r="AS643" t="s">
        <v>12902</v>
      </c>
      <c r="AT643" t="s">
        <v>11892</v>
      </c>
      <c r="AU643">
        <v>2020</v>
      </c>
      <c r="AV643">
        <v>160</v>
      </c>
      <c r="AW643" t="s">
        <v>74</v>
      </c>
      <c r="AX643" t="s">
        <v>74</v>
      </c>
      <c r="AY643" t="s">
        <v>74</v>
      </c>
      <c r="AZ643" t="s">
        <v>74</v>
      </c>
      <c r="BA643" t="s">
        <v>74</v>
      </c>
      <c r="BB643" t="s">
        <v>74</v>
      </c>
      <c r="BC643" t="s">
        <v>74</v>
      </c>
      <c r="BD643">
        <v>101894</v>
      </c>
      <c r="BE643" t="s">
        <v>12903</v>
      </c>
      <c r="BF643" t="str">
        <f>HYPERLINK("http://dx.doi.org/10.1016/j.marmicro.2020.101894","http://dx.doi.org/10.1016/j.marmicro.2020.101894")</f>
        <v>http://dx.doi.org/10.1016/j.marmicro.2020.101894</v>
      </c>
      <c r="BG643" t="s">
        <v>74</v>
      </c>
      <c r="BH643" t="s">
        <v>74</v>
      </c>
      <c r="BI643">
        <v>14</v>
      </c>
      <c r="BJ643" t="s">
        <v>1057</v>
      </c>
      <c r="BK643" t="s">
        <v>100</v>
      </c>
      <c r="BL643" t="s">
        <v>1057</v>
      </c>
      <c r="BM643" t="s">
        <v>12904</v>
      </c>
      <c r="BN643" t="s">
        <v>74</v>
      </c>
      <c r="BO643" t="s">
        <v>74</v>
      </c>
      <c r="BP643" t="s">
        <v>74</v>
      </c>
      <c r="BQ643" t="s">
        <v>74</v>
      </c>
      <c r="BR643" t="s">
        <v>104</v>
      </c>
      <c r="BS643" t="s">
        <v>12905</v>
      </c>
      <c r="BT643" t="str">
        <f>HYPERLINK("https%3A%2F%2Fwww.webofscience.com%2Fwos%2Fwoscc%2Ffull-record%2FWOS:000582087300005","View Full Record in Web of Science")</f>
        <v>View Full Record in Web of Science</v>
      </c>
    </row>
    <row r="644" spans="1:72" x14ac:dyDescent="0.15">
      <c r="A644" t="s">
        <v>72</v>
      </c>
      <c r="B644" t="s">
        <v>12906</v>
      </c>
      <c r="C644" t="s">
        <v>74</v>
      </c>
      <c r="D644" t="s">
        <v>74</v>
      </c>
      <c r="E644" t="s">
        <v>74</v>
      </c>
      <c r="F644" t="s">
        <v>12907</v>
      </c>
      <c r="G644" t="s">
        <v>74</v>
      </c>
      <c r="H644" t="s">
        <v>74</v>
      </c>
      <c r="I644" t="s">
        <v>12908</v>
      </c>
      <c r="J644" t="s">
        <v>12887</v>
      </c>
      <c r="K644" t="s">
        <v>74</v>
      </c>
      <c r="L644" t="s">
        <v>74</v>
      </c>
      <c r="M644" t="s">
        <v>78</v>
      </c>
      <c r="N644" t="s">
        <v>79</v>
      </c>
      <c r="O644" t="s">
        <v>74</v>
      </c>
      <c r="P644" t="s">
        <v>74</v>
      </c>
      <c r="Q644" t="s">
        <v>74</v>
      </c>
      <c r="R644" t="s">
        <v>74</v>
      </c>
      <c r="S644" t="s">
        <v>74</v>
      </c>
      <c r="T644" t="s">
        <v>12909</v>
      </c>
      <c r="U644" t="s">
        <v>12910</v>
      </c>
      <c r="V644" t="s">
        <v>12911</v>
      </c>
      <c r="W644" t="s">
        <v>12912</v>
      </c>
      <c r="X644" t="s">
        <v>12913</v>
      </c>
      <c r="Y644" t="s">
        <v>12914</v>
      </c>
      <c r="Z644" t="s">
        <v>12915</v>
      </c>
      <c r="AA644" t="s">
        <v>12916</v>
      </c>
      <c r="AB644" t="s">
        <v>12917</v>
      </c>
      <c r="AC644" t="s">
        <v>12918</v>
      </c>
      <c r="AD644" t="s">
        <v>7775</v>
      </c>
      <c r="AE644" t="s">
        <v>12919</v>
      </c>
      <c r="AF644" t="s">
        <v>74</v>
      </c>
      <c r="AG644">
        <v>86</v>
      </c>
      <c r="AH644">
        <v>2</v>
      </c>
      <c r="AI644">
        <v>2</v>
      </c>
      <c r="AJ644">
        <v>1</v>
      </c>
      <c r="AK644">
        <v>8</v>
      </c>
      <c r="AL644" t="s">
        <v>275</v>
      </c>
      <c r="AM644" t="s">
        <v>276</v>
      </c>
      <c r="AN644" t="s">
        <v>277</v>
      </c>
      <c r="AO644" t="s">
        <v>12899</v>
      </c>
      <c r="AP644" t="s">
        <v>12900</v>
      </c>
      <c r="AQ644" t="s">
        <v>74</v>
      </c>
      <c r="AR644" t="s">
        <v>12901</v>
      </c>
      <c r="AS644" t="s">
        <v>12902</v>
      </c>
      <c r="AT644" t="s">
        <v>11892</v>
      </c>
      <c r="AU644">
        <v>2020</v>
      </c>
      <c r="AV644">
        <v>160</v>
      </c>
      <c r="AW644" t="s">
        <v>74</v>
      </c>
      <c r="AX644" t="s">
        <v>74</v>
      </c>
      <c r="AY644" t="s">
        <v>74</v>
      </c>
      <c r="AZ644" t="s">
        <v>74</v>
      </c>
      <c r="BA644" t="s">
        <v>74</v>
      </c>
      <c r="BB644" t="s">
        <v>74</v>
      </c>
      <c r="BC644" t="s">
        <v>74</v>
      </c>
      <c r="BD644">
        <v>101908</v>
      </c>
      <c r="BE644" t="s">
        <v>12920</v>
      </c>
      <c r="BF644" t="str">
        <f>HYPERLINK("http://dx.doi.org/10.1016/j.marmicro.2020.101908","http://dx.doi.org/10.1016/j.marmicro.2020.101908")</f>
        <v>http://dx.doi.org/10.1016/j.marmicro.2020.101908</v>
      </c>
      <c r="BG644" t="s">
        <v>74</v>
      </c>
      <c r="BH644" t="s">
        <v>74</v>
      </c>
      <c r="BI644">
        <v>14</v>
      </c>
      <c r="BJ644" t="s">
        <v>1057</v>
      </c>
      <c r="BK644" t="s">
        <v>100</v>
      </c>
      <c r="BL644" t="s">
        <v>1057</v>
      </c>
      <c r="BM644" t="s">
        <v>12904</v>
      </c>
      <c r="BN644" t="s">
        <v>74</v>
      </c>
      <c r="BO644" t="s">
        <v>74</v>
      </c>
      <c r="BP644" t="s">
        <v>74</v>
      </c>
      <c r="BQ644" t="s">
        <v>74</v>
      </c>
      <c r="BR644" t="s">
        <v>104</v>
      </c>
      <c r="BS644" t="s">
        <v>12921</v>
      </c>
      <c r="BT644" t="str">
        <f>HYPERLINK("https%3A%2F%2Fwww.webofscience.com%2Fwos%2Fwoscc%2Ffull-record%2FWOS:000582087300003","View Full Record in Web of Science")</f>
        <v>View Full Record in Web of Science</v>
      </c>
    </row>
    <row r="645" spans="1:72" x14ac:dyDescent="0.15">
      <c r="A645" t="s">
        <v>72</v>
      </c>
      <c r="B645" t="s">
        <v>12922</v>
      </c>
      <c r="C645" t="s">
        <v>74</v>
      </c>
      <c r="D645" t="s">
        <v>74</v>
      </c>
      <c r="E645" t="s">
        <v>74</v>
      </c>
      <c r="F645" t="s">
        <v>12923</v>
      </c>
      <c r="G645" t="s">
        <v>74</v>
      </c>
      <c r="H645" t="s">
        <v>74</v>
      </c>
      <c r="I645" t="s">
        <v>12924</v>
      </c>
      <c r="J645" t="s">
        <v>12887</v>
      </c>
      <c r="K645" t="s">
        <v>74</v>
      </c>
      <c r="L645" t="s">
        <v>74</v>
      </c>
      <c r="M645" t="s">
        <v>78</v>
      </c>
      <c r="N645" t="s">
        <v>79</v>
      </c>
      <c r="O645" t="s">
        <v>74</v>
      </c>
      <c r="P645" t="s">
        <v>74</v>
      </c>
      <c r="Q645" t="s">
        <v>74</v>
      </c>
      <c r="R645" t="s">
        <v>74</v>
      </c>
      <c r="S645" t="s">
        <v>74</v>
      </c>
      <c r="T645" t="s">
        <v>12925</v>
      </c>
      <c r="U645" t="s">
        <v>12926</v>
      </c>
      <c r="V645" t="s">
        <v>12927</v>
      </c>
      <c r="W645" t="s">
        <v>12928</v>
      </c>
      <c r="X645" t="s">
        <v>12929</v>
      </c>
      <c r="Y645" t="s">
        <v>12930</v>
      </c>
      <c r="Z645" t="s">
        <v>12931</v>
      </c>
      <c r="AA645" t="s">
        <v>74</v>
      </c>
      <c r="AB645" t="s">
        <v>12932</v>
      </c>
      <c r="AC645" t="s">
        <v>12933</v>
      </c>
      <c r="AD645" t="s">
        <v>12934</v>
      </c>
      <c r="AE645" t="s">
        <v>12935</v>
      </c>
      <c r="AF645" t="s">
        <v>74</v>
      </c>
      <c r="AG645">
        <v>126</v>
      </c>
      <c r="AH645">
        <v>2</v>
      </c>
      <c r="AI645">
        <v>3</v>
      </c>
      <c r="AJ645">
        <v>3</v>
      </c>
      <c r="AK645">
        <v>28</v>
      </c>
      <c r="AL645" t="s">
        <v>275</v>
      </c>
      <c r="AM645" t="s">
        <v>276</v>
      </c>
      <c r="AN645" t="s">
        <v>277</v>
      </c>
      <c r="AO645" t="s">
        <v>12899</v>
      </c>
      <c r="AP645" t="s">
        <v>12900</v>
      </c>
      <c r="AQ645" t="s">
        <v>74</v>
      </c>
      <c r="AR645" t="s">
        <v>12901</v>
      </c>
      <c r="AS645" t="s">
        <v>12902</v>
      </c>
      <c r="AT645" t="s">
        <v>11892</v>
      </c>
      <c r="AU645">
        <v>2020</v>
      </c>
      <c r="AV645">
        <v>160</v>
      </c>
      <c r="AW645" t="s">
        <v>74</v>
      </c>
      <c r="AX645" t="s">
        <v>74</v>
      </c>
      <c r="AY645" t="s">
        <v>74</v>
      </c>
      <c r="AZ645" t="s">
        <v>74</v>
      </c>
      <c r="BA645" t="s">
        <v>74</v>
      </c>
      <c r="BB645" t="s">
        <v>74</v>
      </c>
      <c r="BC645" t="s">
        <v>74</v>
      </c>
      <c r="BD645">
        <v>101896</v>
      </c>
      <c r="BE645" t="s">
        <v>12936</v>
      </c>
      <c r="BF645" t="str">
        <f>HYPERLINK("http://dx.doi.org/10.1016/j.marmicro.2020.101896","http://dx.doi.org/10.1016/j.marmicro.2020.101896")</f>
        <v>http://dx.doi.org/10.1016/j.marmicro.2020.101896</v>
      </c>
      <c r="BG645" t="s">
        <v>74</v>
      </c>
      <c r="BH645" t="s">
        <v>74</v>
      </c>
      <c r="BI645">
        <v>15</v>
      </c>
      <c r="BJ645" t="s">
        <v>1057</v>
      </c>
      <c r="BK645" t="s">
        <v>100</v>
      </c>
      <c r="BL645" t="s">
        <v>1057</v>
      </c>
      <c r="BM645" t="s">
        <v>12904</v>
      </c>
      <c r="BN645" t="s">
        <v>74</v>
      </c>
      <c r="BO645" t="s">
        <v>74</v>
      </c>
      <c r="BP645" t="s">
        <v>74</v>
      </c>
      <c r="BQ645" t="s">
        <v>74</v>
      </c>
      <c r="BR645" t="s">
        <v>104</v>
      </c>
      <c r="BS645" t="s">
        <v>12937</v>
      </c>
      <c r="BT645" t="str">
        <f>HYPERLINK("https%3A%2F%2Fwww.webofscience.com%2Fwos%2Fwoscc%2Ffull-record%2FWOS:000582087300009","View Full Record in Web of Science")</f>
        <v>View Full Record in Web of Science</v>
      </c>
    </row>
    <row r="646" spans="1:72" x14ac:dyDescent="0.15">
      <c r="A646" t="s">
        <v>72</v>
      </c>
      <c r="B646" t="s">
        <v>12938</v>
      </c>
      <c r="C646" t="s">
        <v>74</v>
      </c>
      <c r="D646" t="s">
        <v>74</v>
      </c>
      <c r="E646" t="s">
        <v>74</v>
      </c>
      <c r="F646" t="s">
        <v>12939</v>
      </c>
      <c r="G646" t="s">
        <v>74</v>
      </c>
      <c r="H646" t="s">
        <v>74</v>
      </c>
      <c r="I646" t="s">
        <v>12940</v>
      </c>
      <c r="J646" t="s">
        <v>12887</v>
      </c>
      <c r="K646" t="s">
        <v>74</v>
      </c>
      <c r="L646" t="s">
        <v>74</v>
      </c>
      <c r="M646" t="s">
        <v>78</v>
      </c>
      <c r="N646" t="s">
        <v>79</v>
      </c>
      <c r="O646" t="s">
        <v>74</v>
      </c>
      <c r="P646" t="s">
        <v>74</v>
      </c>
      <c r="Q646" t="s">
        <v>74</v>
      </c>
      <c r="R646" t="s">
        <v>74</v>
      </c>
      <c r="S646" t="s">
        <v>74</v>
      </c>
      <c r="T646" t="s">
        <v>12941</v>
      </c>
      <c r="U646" t="s">
        <v>12942</v>
      </c>
      <c r="V646" t="s">
        <v>12943</v>
      </c>
      <c r="W646" t="s">
        <v>12944</v>
      </c>
      <c r="X646" t="s">
        <v>12945</v>
      </c>
      <c r="Y646" t="s">
        <v>12946</v>
      </c>
      <c r="Z646" t="s">
        <v>12947</v>
      </c>
      <c r="AA646" t="s">
        <v>74</v>
      </c>
      <c r="AB646" t="s">
        <v>12948</v>
      </c>
      <c r="AC646" t="s">
        <v>12949</v>
      </c>
      <c r="AD646" t="s">
        <v>12950</v>
      </c>
      <c r="AE646" t="s">
        <v>12951</v>
      </c>
      <c r="AF646" t="s">
        <v>74</v>
      </c>
      <c r="AG646">
        <v>83</v>
      </c>
      <c r="AH646">
        <v>3</v>
      </c>
      <c r="AI646">
        <v>3</v>
      </c>
      <c r="AJ646">
        <v>2</v>
      </c>
      <c r="AK646">
        <v>9</v>
      </c>
      <c r="AL646" t="s">
        <v>275</v>
      </c>
      <c r="AM646" t="s">
        <v>276</v>
      </c>
      <c r="AN646" t="s">
        <v>277</v>
      </c>
      <c r="AO646" t="s">
        <v>12899</v>
      </c>
      <c r="AP646" t="s">
        <v>12900</v>
      </c>
      <c r="AQ646" t="s">
        <v>74</v>
      </c>
      <c r="AR646" t="s">
        <v>12901</v>
      </c>
      <c r="AS646" t="s">
        <v>12902</v>
      </c>
      <c r="AT646" t="s">
        <v>11892</v>
      </c>
      <c r="AU646">
        <v>2020</v>
      </c>
      <c r="AV646">
        <v>160</v>
      </c>
      <c r="AW646" t="s">
        <v>74</v>
      </c>
      <c r="AX646" t="s">
        <v>74</v>
      </c>
      <c r="AY646" t="s">
        <v>74</v>
      </c>
      <c r="AZ646" t="s">
        <v>74</v>
      </c>
      <c r="BA646" t="s">
        <v>74</v>
      </c>
      <c r="BB646" t="s">
        <v>74</v>
      </c>
      <c r="BC646" t="s">
        <v>74</v>
      </c>
      <c r="BD646">
        <v>101909</v>
      </c>
      <c r="BE646" t="s">
        <v>12952</v>
      </c>
      <c r="BF646" t="str">
        <f>HYPERLINK("http://dx.doi.org/10.1016/j.marmicro.2020.101909","http://dx.doi.org/10.1016/j.marmicro.2020.101909")</f>
        <v>http://dx.doi.org/10.1016/j.marmicro.2020.101909</v>
      </c>
      <c r="BG646" t="s">
        <v>74</v>
      </c>
      <c r="BH646" t="s">
        <v>74</v>
      </c>
      <c r="BI646">
        <v>13</v>
      </c>
      <c r="BJ646" t="s">
        <v>1057</v>
      </c>
      <c r="BK646" t="s">
        <v>100</v>
      </c>
      <c r="BL646" t="s">
        <v>1057</v>
      </c>
      <c r="BM646" t="s">
        <v>12904</v>
      </c>
      <c r="BN646" t="s">
        <v>74</v>
      </c>
      <c r="BO646" t="s">
        <v>74</v>
      </c>
      <c r="BP646" t="s">
        <v>74</v>
      </c>
      <c r="BQ646" t="s">
        <v>74</v>
      </c>
      <c r="BR646" t="s">
        <v>104</v>
      </c>
      <c r="BS646" t="s">
        <v>12953</v>
      </c>
      <c r="BT646" t="str">
        <f>HYPERLINK("https%3A%2F%2Fwww.webofscience.com%2Fwos%2Fwoscc%2Ffull-record%2FWOS:000582087300001","View Full Record in Web of Science")</f>
        <v>View Full Record in Web of Science</v>
      </c>
    </row>
    <row r="647" spans="1:72" x14ac:dyDescent="0.15">
      <c r="A647" t="s">
        <v>72</v>
      </c>
      <c r="B647" t="s">
        <v>12954</v>
      </c>
      <c r="C647" t="s">
        <v>74</v>
      </c>
      <c r="D647" t="s">
        <v>74</v>
      </c>
      <c r="E647" t="s">
        <v>74</v>
      </c>
      <c r="F647" t="s">
        <v>12955</v>
      </c>
      <c r="G647" t="s">
        <v>74</v>
      </c>
      <c r="H647" t="s">
        <v>74</v>
      </c>
      <c r="I647" t="s">
        <v>12956</v>
      </c>
      <c r="J647" t="s">
        <v>12957</v>
      </c>
      <c r="K647" t="s">
        <v>74</v>
      </c>
      <c r="L647" t="s">
        <v>74</v>
      </c>
      <c r="M647" t="s">
        <v>78</v>
      </c>
      <c r="N647" t="s">
        <v>79</v>
      </c>
      <c r="O647" t="s">
        <v>74</v>
      </c>
      <c r="P647" t="s">
        <v>74</v>
      </c>
      <c r="Q647" t="s">
        <v>74</v>
      </c>
      <c r="R647" t="s">
        <v>74</v>
      </c>
      <c r="S647" t="s">
        <v>74</v>
      </c>
      <c r="T647" t="s">
        <v>12958</v>
      </c>
      <c r="U647" t="s">
        <v>12959</v>
      </c>
      <c r="V647" t="s">
        <v>12960</v>
      </c>
      <c r="W647" t="s">
        <v>12961</v>
      </c>
      <c r="X647" t="s">
        <v>12962</v>
      </c>
      <c r="Y647" t="s">
        <v>12963</v>
      </c>
      <c r="Z647" t="s">
        <v>12964</v>
      </c>
      <c r="AA647" t="s">
        <v>74</v>
      </c>
      <c r="AB647" t="s">
        <v>74</v>
      </c>
      <c r="AC647" t="s">
        <v>12965</v>
      </c>
      <c r="AD647" t="s">
        <v>12966</v>
      </c>
      <c r="AE647" t="s">
        <v>12967</v>
      </c>
      <c r="AF647" t="s">
        <v>74</v>
      </c>
      <c r="AG647">
        <v>39</v>
      </c>
      <c r="AH647">
        <v>1</v>
      </c>
      <c r="AI647">
        <v>1</v>
      </c>
      <c r="AJ647">
        <v>0</v>
      </c>
      <c r="AK647">
        <v>5</v>
      </c>
      <c r="AL647" t="s">
        <v>275</v>
      </c>
      <c r="AM647" t="s">
        <v>276</v>
      </c>
      <c r="AN647" t="s">
        <v>277</v>
      </c>
      <c r="AO647" t="s">
        <v>12968</v>
      </c>
      <c r="AP647" t="s">
        <v>12969</v>
      </c>
      <c r="AQ647" t="s">
        <v>74</v>
      </c>
      <c r="AR647" t="s">
        <v>12970</v>
      </c>
      <c r="AS647" t="s">
        <v>12971</v>
      </c>
      <c r="AT647" t="s">
        <v>11892</v>
      </c>
      <c r="AU647">
        <v>2020</v>
      </c>
      <c r="AV647">
        <v>25</v>
      </c>
      <c r="AW647" t="s">
        <v>74</v>
      </c>
      <c r="AX647" t="s">
        <v>74</v>
      </c>
      <c r="AY647" t="s">
        <v>74</v>
      </c>
      <c r="AZ647" t="s">
        <v>74</v>
      </c>
      <c r="BA647" t="s">
        <v>74</v>
      </c>
      <c r="BB647" t="s">
        <v>74</v>
      </c>
      <c r="BC647" t="s">
        <v>74</v>
      </c>
      <c r="BD647">
        <v>100561</v>
      </c>
      <c r="BE647" t="s">
        <v>12972</v>
      </c>
      <c r="BF647" t="str">
        <f>HYPERLINK("http://dx.doi.org/10.1016/j.polar.2020.100561","http://dx.doi.org/10.1016/j.polar.2020.100561")</f>
        <v>http://dx.doi.org/10.1016/j.polar.2020.100561</v>
      </c>
      <c r="BG647" t="s">
        <v>74</v>
      </c>
      <c r="BH647" t="s">
        <v>74</v>
      </c>
      <c r="BI647">
        <v>11</v>
      </c>
      <c r="BJ647" t="s">
        <v>5619</v>
      </c>
      <c r="BK647" t="s">
        <v>100</v>
      </c>
      <c r="BL647" t="s">
        <v>5620</v>
      </c>
      <c r="BM647" t="s">
        <v>12973</v>
      </c>
      <c r="BN647" t="s">
        <v>74</v>
      </c>
      <c r="BO647" t="s">
        <v>1188</v>
      </c>
      <c r="BP647" t="s">
        <v>74</v>
      </c>
      <c r="BQ647" t="s">
        <v>74</v>
      </c>
      <c r="BR647" t="s">
        <v>104</v>
      </c>
      <c r="BS647" t="s">
        <v>12974</v>
      </c>
      <c r="BT647" t="str">
        <f>HYPERLINK("https%3A%2F%2Fwww.webofscience.com%2Fwos%2Fwoscc%2Ffull-record%2FWOS:000580079200013","View Full Record in Web of Science")</f>
        <v>View Full Record in Web of Science</v>
      </c>
    </row>
    <row r="648" spans="1:72" x14ac:dyDescent="0.15">
      <c r="A648" t="s">
        <v>72</v>
      </c>
      <c r="B648" t="s">
        <v>12975</v>
      </c>
      <c r="C648" t="s">
        <v>74</v>
      </c>
      <c r="D648" t="s">
        <v>74</v>
      </c>
      <c r="E648" t="s">
        <v>74</v>
      </c>
      <c r="F648" t="s">
        <v>12976</v>
      </c>
      <c r="G648" t="s">
        <v>74</v>
      </c>
      <c r="H648" t="s">
        <v>74</v>
      </c>
      <c r="I648" t="s">
        <v>12977</v>
      </c>
      <c r="J648" t="s">
        <v>12957</v>
      </c>
      <c r="K648" t="s">
        <v>74</v>
      </c>
      <c r="L648" t="s">
        <v>74</v>
      </c>
      <c r="M648" t="s">
        <v>78</v>
      </c>
      <c r="N648" t="s">
        <v>79</v>
      </c>
      <c r="O648" t="s">
        <v>74</v>
      </c>
      <c r="P648" t="s">
        <v>74</v>
      </c>
      <c r="Q648" t="s">
        <v>74</v>
      </c>
      <c r="R648" t="s">
        <v>74</v>
      </c>
      <c r="S648" t="s">
        <v>74</v>
      </c>
      <c r="T648" t="s">
        <v>12978</v>
      </c>
      <c r="U648" t="s">
        <v>12979</v>
      </c>
      <c r="V648" t="s">
        <v>12980</v>
      </c>
      <c r="W648" t="s">
        <v>12981</v>
      </c>
      <c r="X648" t="s">
        <v>12982</v>
      </c>
      <c r="Y648" t="s">
        <v>12983</v>
      </c>
      <c r="Z648" t="s">
        <v>12984</v>
      </c>
      <c r="AA648" t="s">
        <v>12985</v>
      </c>
      <c r="AB648" t="s">
        <v>74</v>
      </c>
      <c r="AC648" t="s">
        <v>12986</v>
      </c>
      <c r="AD648" t="s">
        <v>12987</v>
      </c>
      <c r="AE648" t="s">
        <v>12988</v>
      </c>
      <c r="AF648" t="s">
        <v>74</v>
      </c>
      <c r="AG648">
        <v>59</v>
      </c>
      <c r="AH648">
        <v>5</v>
      </c>
      <c r="AI648">
        <v>6</v>
      </c>
      <c r="AJ648">
        <v>0</v>
      </c>
      <c r="AK648">
        <v>11</v>
      </c>
      <c r="AL648" t="s">
        <v>275</v>
      </c>
      <c r="AM648" t="s">
        <v>276</v>
      </c>
      <c r="AN648" t="s">
        <v>277</v>
      </c>
      <c r="AO648" t="s">
        <v>12968</v>
      </c>
      <c r="AP648" t="s">
        <v>12969</v>
      </c>
      <c r="AQ648" t="s">
        <v>74</v>
      </c>
      <c r="AR648" t="s">
        <v>12970</v>
      </c>
      <c r="AS648" t="s">
        <v>12971</v>
      </c>
      <c r="AT648" t="s">
        <v>11892</v>
      </c>
      <c r="AU648">
        <v>2020</v>
      </c>
      <c r="AV648">
        <v>25</v>
      </c>
      <c r="AW648" t="s">
        <v>74</v>
      </c>
      <c r="AX648" t="s">
        <v>74</v>
      </c>
      <c r="AY648" t="s">
        <v>74</v>
      </c>
      <c r="AZ648" t="s">
        <v>74</v>
      </c>
      <c r="BA648" t="s">
        <v>74</v>
      </c>
      <c r="BB648" t="s">
        <v>74</v>
      </c>
      <c r="BC648" t="s">
        <v>74</v>
      </c>
      <c r="BD648">
        <v>100537</v>
      </c>
      <c r="BE648" t="s">
        <v>12989</v>
      </c>
      <c r="BF648" t="str">
        <f>HYPERLINK("http://dx.doi.org/10.1016/j.polar.2020.100537","http://dx.doi.org/10.1016/j.polar.2020.100537")</f>
        <v>http://dx.doi.org/10.1016/j.polar.2020.100537</v>
      </c>
      <c r="BG648" t="s">
        <v>74</v>
      </c>
      <c r="BH648" t="s">
        <v>74</v>
      </c>
      <c r="BI648">
        <v>10</v>
      </c>
      <c r="BJ648" t="s">
        <v>5619</v>
      </c>
      <c r="BK648" t="s">
        <v>100</v>
      </c>
      <c r="BL648" t="s">
        <v>5620</v>
      </c>
      <c r="BM648" t="s">
        <v>12973</v>
      </c>
      <c r="BN648" t="s">
        <v>74</v>
      </c>
      <c r="BO648" t="s">
        <v>1188</v>
      </c>
      <c r="BP648" t="s">
        <v>74</v>
      </c>
      <c r="BQ648" t="s">
        <v>74</v>
      </c>
      <c r="BR648" t="s">
        <v>104</v>
      </c>
      <c r="BS648" t="s">
        <v>12990</v>
      </c>
      <c r="BT648" t="str">
        <f>HYPERLINK("https%3A%2F%2Fwww.webofscience.com%2Fwos%2Fwoscc%2Ffull-record%2FWOS:000580079200006","View Full Record in Web of Science")</f>
        <v>View Full Record in Web of Science</v>
      </c>
    </row>
    <row r="649" spans="1:72" x14ac:dyDescent="0.15">
      <c r="A649" t="s">
        <v>72</v>
      </c>
      <c r="B649" t="s">
        <v>12991</v>
      </c>
      <c r="C649" t="s">
        <v>74</v>
      </c>
      <c r="D649" t="s">
        <v>74</v>
      </c>
      <c r="E649" t="s">
        <v>74</v>
      </c>
      <c r="F649" t="s">
        <v>12992</v>
      </c>
      <c r="G649" t="s">
        <v>74</v>
      </c>
      <c r="H649" t="s">
        <v>74</v>
      </c>
      <c r="I649" t="s">
        <v>12993</v>
      </c>
      <c r="J649" t="s">
        <v>12957</v>
      </c>
      <c r="K649" t="s">
        <v>74</v>
      </c>
      <c r="L649" t="s">
        <v>74</v>
      </c>
      <c r="M649" t="s">
        <v>78</v>
      </c>
      <c r="N649" t="s">
        <v>79</v>
      </c>
      <c r="O649" t="s">
        <v>74</v>
      </c>
      <c r="P649" t="s">
        <v>74</v>
      </c>
      <c r="Q649" t="s">
        <v>74</v>
      </c>
      <c r="R649" t="s">
        <v>74</v>
      </c>
      <c r="S649" t="s">
        <v>74</v>
      </c>
      <c r="T649" t="s">
        <v>12994</v>
      </c>
      <c r="U649" t="s">
        <v>12995</v>
      </c>
      <c r="V649" t="s">
        <v>12996</v>
      </c>
      <c r="W649" t="s">
        <v>12997</v>
      </c>
      <c r="X649" t="s">
        <v>12998</v>
      </c>
      <c r="Y649" t="s">
        <v>12999</v>
      </c>
      <c r="Z649" t="s">
        <v>13000</v>
      </c>
      <c r="AA649" t="s">
        <v>13001</v>
      </c>
      <c r="AB649" t="s">
        <v>13002</v>
      </c>
      <c r="AC649" t="s">
        <v>13003</v>
      </c>
      <c r="AD649" t="s">
        <v>13004</v>
      </c>
      <c r="AE649" t="s">
        <v>13005</v>
      </c>
      <c r="AF649" t="s">
        <v>74</v>
      </c>
      <c r="AG649">
        <v>29</v>
      </c>
      <c r="AH649">
        <v>3</v>
      </c>
      <c r="AI649">
        <v>4</v>
      </c>
      <c r="AJ649">
        <v>0</v>
      </c>
      <c r="AK649">
        <v>1</v>
      </c>
      <c r="AL649" t="s">
        <v>275</v>
      </c>
      <c r="AM649" t="s">
        <v>276</v>
      </c>
      <c r="AN649" t="s">
        <v>277</v>
      </c>
      <c r="AO649" t="s">
        <v>12968</v>
      </c>
      <c r="AP649" t="s">
        <v>12969</v>
      </c>
      <c r="AQ649" t="s">
        <v>74</v>
      </c>
      <c r="AR649" t="s">
        <v>12970</v>
      </c>
      <c r="AS649" t="s">
        <v>12971</v>
      </c>
      <c r="AT649" t="s">
        <v>11892</v>
      </c>
      <c r="AU649">
        <v>2020</v>
      </c>
      <c r="AV649">
        <v>25</v>
      </c>
      <c r="AW649" t="s">
        <v>74</v>
      </c>
      <c r="AX649" t="s">
        <v>74</v>
      </c>
      <c r="AY649" t="s">
        <v>74</v>
      </c>
      <c r="AZ649" t="s">
        <v>74</v>
      </c>
      <c r="BA649" t="s">
        <v>74</v>
      </c>
      <c r="BB649" t="s">
        <v>74</v>
      </c>
      <c r="BC649" t="s">
        <v>74</v>
      </c>
      <c r="BD649">
        <v>100535</v>
      </c>
      <c r="BE649" t="s">
        <v>13006</v>
      </c>
      <c r="BF649" t="str">
        <f>HYPERLINK("http://dx.doi.org/10.1016/j.polar.2020.100535","http://dx.doi.org/10.1016/j.polar.2020.100535")</f>
        <v>http://dx.doi.org/10.1016/j.polar.2020.100535</v>
      </c>
      <c r="BG649" t="s">
        <v>74</v>
      </c>
      <c r="BH649" t="s">
        <v>74</v>
      </c>
      <c r="BI649">
        <v>4</v>
      </c>
      <c r="BJ649" t="s">
        <v>5619</v>
      </c>
      <c r="BK649" t="s">
        <v>100</v>
      </c>
      <c r="BL649" t="s">
        <v>5620</v>
      </c>
      <c r="BM649" t="s">
        <v>12973</v>
      </c>
      <c r="BN649" t="s">
        <v>74</v>
      </c>
      <c r="BO649" t="s">
        <v>1188</v>
      </c>
      <c r="BP649" t="s">
        <v>74</v>
      </c>
      <c r="BQ649" t="s">
        <v>74</v>
      </c>
      <c r="BR649" t="s">
        <v>104</v>
      </c>
      <c r="BS649" t="s">
        <v>13007</v>
      </c>
      <c r="BT649" t="str">
        <f>HYPERLINK("https%3A%2F%2Fwww.webofscience.com%2Fwos%2Fwoscc%2Ffull-record%2FWOS:000580079200004","View Full Record in Web of Science")</f>
        <v>View Full Record in Web of Science</v>
      </c>
    </row>
    <row r="650" spans="1:72" x14ac:dyDescent="0.15">
      <c r="A650" t="s">
        <v>72</v>
      </c>
      <c r="B650" t="s">
        <v>13008</v>
      </c>
      <c r="C650" t="s">
        <v>74</v>
      </c>
      <c r="D650" t="s">
        <v>74</v>
      </c>
      <c r="E650" t="s">
        <v>74</v>
      </c>
      <c r="F650" t="s">
        <v>13009</v>
      </c>
      <c r="G650" t="s">
        <v>74</v>
      </c>
      <c r="H650" t="s">
        <v>74</v>
      </c>
      <c r="I650" t="s">
        <v>13010</v>
      </c>
      <c r="J650" t="s">
        <v>12957</v>
      </c>
      <c r="K650" t="s">
        <v>74</v>
      </c>
      <c r="L650" t="s">
        <v>74</v>
      </c>
      <c r="M650" t="s">
        <v>78</v>
      </c>
      <c r="N650" t="s">
        <v>79</v>
      </c>
      <c r="O650" t="s">
        <v>74</v>
      </c>
      <c r="P650" t="s">
        <v>74</v>
      </c>
      <c r="Q650" t="s">
        <v>74</v>
      </c>
      <c r="R650" t="s">
        <v>74</v>
      </c>
      <c r="S650" t="s">
        <v>74</v>
      </c>
      <c r="T650" t="s">
        <v>13011</v>
      </c>
      <c r="U650" t="s">
        <v>13012</v>
      </c>
      <c r="V650" t="s">
        <v>13013</v>
      </c>
      <c r="W650" t="s">
        <v>13014</v>
      </c>
      <c r="X650" t="s">
        <v>13015</v>
      </c>
      <c r="Y650" t="s">
        <v>13016</v>
      </c>
      <c r="Z650" t="s">
        <v>13017</v>
      </c>
      <c r="AA650" t="s">
        <v>13018</v>
      </c>
      <c r="AB650" t="s">
        <v>13019</v>
      </c>
      <c r="AC650" t="s">
        <v>6181</v>
      </c>
      <c r="AD650" t="s">
        <v>6181</v>
      </c>
      <c r="AE650" t="s">
        <v>13020</v>
      </c>
      <c r="AF650" t="s">
        <v>74</v>
      </c>
      <c r="AG650">
        <v>46</v>
      </c>
      <c r="AH650">
        <v>1</v>
      </c>
      <c r="AI650">
        <v>1</v>
      </c>
      <c r="AJ650">
        <v>0</v>
      </c>
      <c r="AK650">
        <v>2</v>
      </c>
      <c r="AL650" t="s">
        <v>275</v>
      </c>
      <c r="AM650" t="s">
        <v>276</v>
      </c>
      <c r="AN650" t="s">
        <v>277</v>
      </c>
      <c r="AO650" t="s">
        <v>12968</v>
      </c>
      <c r="AP650" t="s">
        <v>12969</v>
      </c>
      <c r="AQ650" t="s">
        <v>74</v>
      </c>
      <c r="AR650" t="s">
        <v>12970</v>
      </c>
      <c r="AS650" t="s">
        <v>12971</v>
      </c>
      <c r="AT650" t="s">
        <v>11892</v>
      </c>
      <c r="AU650">
        <v>2020</v>
      </c>
      <c r="AV650">
        <v>25</v>
      </c>
      <c r="AW650" t="s">
        <v>74</v>
      </c>
      <c r="AX650" t="s">
        <v>74</v>
      </c>
      <c r="AY650" t="s">
        <v>74</v>
      </c>
      <c r="AZ650" t="s">
        <v>74</v>
      </c>
      <c r="BA650" t="s">
        <v>74</v>
      </c>
      <c r="BB650" t="s">
        <v>74</v>
      </c>
      <c r="BC650" t="s">
        <v>74</v>
      </c>
      <c r="BD650">
        <v>100547</v>
      </c>
      <c r="BE650" t="s">
        <v>13021</v>
      </c>
      <c r="BF650" t="str">
        <f>HYPERLINK("http://dx.doi.org/10.1016/j.polar.2020.100547","http://dx.doi.org/10.1016/j.polar.2020.100547")</f>
        <v>http://dx.doi.org/10.1016/j.polar.2020.100547</v>
      </c>
      <c r="BG650" t="s">
        <v>74</v>
      </c>
      <c r="BH650" t="s">
        <v>74</v>
      </c>
      <c r="BI650">
        <v>8</v>
      </c>
      <c r="BJ650" t="s">
        <v>5619</v>
      </c>
      <c r="BK650" t="s">
        <v>100</v>
      </c>
      <c r="BL650" t="s">
        <v>5620</v>
      </c>
      <c r="BM650" t="s">
        <v>12973</v>
      </c>
      <c r="BN650" t="s">
        <v>74</v>
      </c>
      <c r="BO650" t="s">
        <v>1188</v>
      </c>
      <c r="BP650" t="s">
        <v>74</v>
      </c>
      <c r="BQ650" t="s">
        <v>74</v>
      </c>
      <c r="BR650" t="s">
        <v>104</v>
      </c>
      <c r="BS650" t="s">
        <v>13022</v>
      </c>
      <c r="BT650" t="str">
        <f>HYPERLINK("https%3A%2F%2Fwww.webofscience.com%2Fwos%2Fwoscc%2Ffull-record%2FWOS:000580079200008","View Full Record in Web of Science")</f>
        <v>View Full Record in Web of Science</v>
      </c>
    </row>
    <row r="651" spans="1:72" x14ac:dyDescent="0.15">
      <c r="A651" t="s">
        <v>72</v>
      </c>
      <c r="B651" t="s">
        <v>13023</v>
      </c>
      <c r="C651" t="s">
        <v>74</v>
      </c>
      <c r="D651" t="s">
        <v>74</v>
      </c>
      <c r="E651" t="s">
        <v>74</v>
      </c>
      <c r="F651" t="s">
        <v>13024</v>
      </c>
      <c r="G651" t="s">
        <v>74</v>
      </c>
      <c r="H651" t="s">
        <v>74</v>
      </c>
      <c r="I651" t="s">
        <v>13025</v>
      </c>
      <c r="J651" t="s">
        <v>12957</v>
      </c>
      <c r="K651" t="s">
        <v>74</v>
      </c>
      <c r="L651" t="s">
        <v>74</v>
      </c>
      <c r="M651" t="s">
        <v>78</v>
      </c>
      <c r="N651" t="s">
        <v>6486</v>
      </c>
      <c r="O651" t="s">
        <v>13026</v>
      </c>
      <c r="P651" t="s">
        <v>13027</v>
      </c>
      <c r="Q651" t="s">
        <v>13028</v>
      </c>
      <c r="R651" t="s">
        <v>74</v>
      </c>
      <c r="S651" t="s">
        <v>74</v>
      </c>
      <c r="T651" t="s">
        <v>13029</v>
      </c>
      <c r="U651" t="s">
        <v>13030</v>
      </c>
      <c r="V651" t="s">
        <v>13031</v>
      </c>
      <c r="W651" t="s">
        <v>13032</v>
      </c>
      <c r="X651" t="s">
        <v>13033</v>
      </c>
      <c r="Y651" t="s">
        <v>13034</v>
      </c>
      <c r="Z651" t="s">
        <v>13035</v>
      </c>
      <c r="AA651" t="s">
        <v>13036</v>
      </c>
      <c r="AB651" t="s">
        <v>13037</v>
      </c>
      <c r="AC651" t="s">
        <v>13038</v>
      </c>
      <c r="AD651" t="s">
        <v>13039</v>
      </c>
      <c r="AE651" t="s">
        <v>13040</v>
      </c>
      <c r="AF651" t="s">
        <v>74</v>
      </c>
      <c r="AG651">
        <v>105</v>
      </c>
      <c r="AH651">
        <v>1</v>
      </c>
      <c r="AI651">
        <v>1</v>
      </c>
      <c r="AJ651">
        <v>1</v>
      </c>
      <c r="AK651">
        <v>16</v>
      </c>
      <c r="AL651" t="s">
        <v>275</v>
      </c>
      <c r="AM651" t="s">
        <v>276</v>
      </c>
      <c r="AN651" t="s">
        <v>277</v>
      </c>
      <c r="AO651" t="s">
        <v>12968</v>
      </c>
      <c r="AP651" t="s">
        <v>12969</v>
      </c>
      <c r="AQ651" t="s">
        <v>74</v>
      </c>
      <c r="AR651" t="s">
        <v>12970</v>
      </c>
      <c r="AS651" t="s">
        <v>12971</v>
      </c>
      <c r="AT651" t="s">
        <v>11892</v>
      </c>
      <c r="AU651">
        <v>2020</v>
      </c>
      <c r="AV651">
        <v>25</v>
      </c>
      <c r="AW651" t="s">
        <v>74</v>
      </c>
      <c r="AX651" t="s">
        <v>74</v>
      </c>
      <c r="AY651" t="s">
        <v>74</v>
      </c>
      <c r="AZ651" t="s">
        <v>74</v>
      </c>
      <c r="BA651" t="s">
        <v>74</v>
      </c>
      <c r="BB651" t="s">
        <v>74</v>
      </c>
      <c r="BC651" t="s">
        <v>74</v>
      </c>
      <c r="BD651">
        <v>100563</v>
      </c>
      <c r="BE651" t="s">
        <v>13041</v>
      </c>
      <c r="BF651" t="str">
        <f>HYPERLINK("http://dx.doi.org/10.1016/j.polar.2020.100563","http://dx.doi.org/10.1016/j.polar.2020.100563")</f>
        <v>http://dx.doi.org/10.1016/j.polar.2020.100563</v>
      </c>
      <c r="BG651" t="s">
        <v>74</v>
      </c>
      <c r="BH651" t="s">
        <v>74</v>
      </c>
      <c r="BI651">
        <v>17</v>
      </c>
      <c r="BJ651" t="s">
        <v>5619</v>
      </c>
      <c r="BK651" t="s">
        <v>6508</v>
      </c>
      <c r="BL651" t="s">
        <v>5620</v>
      </c>
      <c r="BM651" t="s">
        <v>12973</v>
      </c>
      <c r="BN651" t="s">
        <v>74</v>
      </c>
      <c r="BO651" t="s">
        <v>1188</v>
      </c>
      <c r="BP651" t="s">
        <v>74</v>
      </c>
      <c r="BQ651" t="s">
        <v>74</v>
      </c>
      <c r="BR651" t="s">
        <v>104</v>
      </c>
      <c r="BS651" t="s">
        <v>13042</v>
      </c>
      <c r="BT651" t="str">
        <f>HYPERLINK("https%3A%2F%2Fwww.webofscience.com%2Fwos%2Fwoscc%2Ffull-record%2FWOS:000580079200014","View Full Record in Web of Science")</f>
        <v>View Full Record in Web of Science</v>
      </c>
    </row>
    <row r="652" spans="1:72" x14ac:dyDescent="0.15">
      <c r="A652" t="s">
        <v>72</v>
      </c>
      <c r="B652" t="s">
        <v>13043</v>
      </c>
      <c r="C652" t="s">
        <v>74</v>
      </c>
      <c r="D652" t="s">
        <v>74</v>
      </c>
      <c r="E652" t="s">
        <v>74</v>
      </c>
      <c r="F652" t="s">
        <v>13044</v>
      </c>
      <c r="G652" t="s">
        <v>74</v>
      </c>
      <c r="H652" t="s">
        <v>74</v>
      </c>
      <c r="I652" t="s">
        <v>13045</v>
      </c>
      <c r="J652" t="s">
        <v>12957</v>
      </c>
      <c r="K652" t="s">
        <v>74</v>
      </c>
      <c r="L652" t="s">
        <v>74</v>
      </c>
      <c r="M652" t="s">
        <v>78</v>
      </c>
      <c r="N652" t="s">
        <v>79</v>
      </c>
      <c r="O652" t="s">
        <v>74</v>
      </c>
      <c r="P652" t="s">
        <v>74</v>
      </c>
      <c r="Q652" t="s">
        <v>74</v>
      </c>
      <c r="R652" t="s">
        <v>74</v>
      </c>
      <c r="S652" t="s">
        <v>74</v>
      </c>
      <c r="T652" t="s">
        <v>13046</v>
      </c>
      <c r="U652" t="s">
        <v>13047</v>
      </c>
      <c r="V652" t="s">
        <v>13048</v>
      </c>
      <c r="W652" t="s">
        <v>13049</v>
      </c>
      <c r="X652" t="s">
        <v>13050</v>
      </c>
      <c r="Y652" t="s">
        <v>13051</v>
      </c>
      <c r="Z652" t="s">
        <v>1328</v>
      </c>
      <c r="AA652" t="s">
        <v>13052</v>
      </c>
      <c r="AB652" t="s">
        <v>1330</v>
      </c>
      <c r="AC652" t="s">
        <v>74</v>
      </c>
      <c r="AD652" t="s">
        <v>74</v>
      </c>
      <c r="AE652" t="s">
        <v>74</v>
      </c>
      <c r="AF652" t="s">
        <v>74</v>
      </c>
      <c r="AG652">
        <v>30</v>
      </c>
      <c r="AH652">
        <v>12</v>
      </c>
      <c r="AI652">
        <v>14</v>
      </c>
      <c r="AJ652">
        <v>2</v>
      </c>
      <c r="AK652">
        <v>9</v>
      </c>
      <c r="AL652" t="s">
        <v>275</v>
      </c>
      <c r="AM652" t="s">
        <v>276</v>
      </c>
      <c r="AN652" t="s">
        <v>277</v>
      </c>
      <c r="AO652" t="s">
        <v>12968</v>
      </c>
      <c r="AP652" t="s">
        <v>12969</v>
      </c>
      <c r="AQ652" t="s">
        <v>74</v>
      </c>
      <c r="AR652" t="s">
        <v>12970</v>
      </c>
      <c r="AS652" t="s">
        <v>12971</v>
      </c>
      <c r="AT652" t="s">
        <v>11892</v>
      </c>
      <c r="AU652">
        <v>2020</v>
      </c>
      <c r="AV652">
        <v>25</v>
      </c>
      <c r="AW652" t="s">
        <v>74</v>
      </c>
      <c r="AX652" t="s">
        <v>74</v>
      </c>
      <c r="AY652" t="s">
        <v>74</v>
      </c>
      <c r="AZ652" t="s">
        <v>74</v>
      </c>
      <c r="BA652" t="s">
        <v>74</v>
      </c>
      <c r="BB652" t="s">
        <v>74</v>
      </c>
      <c r="BC652" t="s">
        <v>74</v>
      </c>
      <c r="BD652">
        <v>100532</v>
      </c>
      <c r="BE652" t="s">
        <v>13053</v>
      </c>
      <c r="BF652" t="str">
        <f>HYPERLINK("http://dx.doi.org/10.1016/j.polar.2020.100532","http://dx.doi.org/10.1016/j.polar.2020.100532")</f>
        <v>http://dx.doi.org/10.1016/j.polar.2020.100532</v>
      </c>
      <c r="BG652" t="s">
        <v>74</v>
      </c>
      <c r="BH652" t="s">
        <v>74</v>
      </c>
      <c r="BI652">
        <v>6</v>
      </c>
      <c r="BJ652" t="s">
        <v>5619</v>
      </c>
      <c r="BK652" t="s">
        <v>100</v>
      </c>
      <c r="BL652" t="s">
        <v>5620</v>
      </c>
      <c r="BM652" t="s">
        <v>12973</v>
      </c>
      <c r="BN652" t="s">
        <v>74</v>
      </c>
      <c r="BO652" t="s">
        <v>1188</v>
      </c>
      <c r="BP652" t="s">
        <v>74</v>
      </c>
      <c r="BQ652" t="s">
        <v>74</v>
      </c>
      <c r="BR652" t="s">
        <v>104</v>
      </c>
      <c r="BS652" t="s">
        <v>13054</v>
      </c>
      <c r="BT652" t="str">
        <f>HYPERLINK("https%3A%2F%2Fwww.webofscience.com%2Fwos%2Fwoscc%2Ffull-record%2FWOS:000580079200002","View Full Record in Web of Science")</f>
        <v>View Full Record in Web of Science</v>
      </c>
    </row>
    <row r="653" spans="1:72" x14ac:dyDescent="0.15">
      <c r="A653" t="s">
        <v>72</v>
      </c>
      <c r="B653" t="s">
        <v>13055</v>
      </c>
      <c r="C653" t="s">
        <v>74</v>
      </c>
      <c r="D653" t="s">
        <v>74</v>
      </c>
      <c r="E653" t="s">
        <v>74</v>
      </c>
      <c r="F653" t="s">
        <v>13056</v>
      </c>
      <c r="G653" t="s">
        <v>74</v>
      </c>
      <c r="H653" t="s">
        <v>74</v>
      </c>
      <c r="I653" t="s">
        <v>13057</v>
      </c>
      <c r="J653" t="s">
        <v>13058</v>
      </c>
      <c r="K653" t="s">
        <v>74</v>
      </c>
      <c r="L653" t="s">
        <v>74</v>
      </c>
      <c r="M653" t="s">
        <v>78</v>
      </c>
      <c r="N653" t="s">
        <v>79</v>
      </c>
      <c r="O653" t="s">
        <v>74</v>
      </c>
      <c r="P653" t="s">
        <v>74</v>
      </c>
      <c r="Q653" t="s">
        <v>74</v>
      </c>
      <c r="R653" t="s">
        <v>74</v>
      </c>
      <c r="S653" t="s">
        <v>74</v>
      </c>
      <c r="T653" t="s">
        <v>13059</v>
      </c>
      <c r="U653" t="s">
        <v>13060</v>
      </c>
      <c r="V653" t="s">
        <v>13061</v>
      </c>
      <c r="W653" t="s">
        <v>13062</v>
      </c>
      <c r="X653" t="s">
        <v>13063</v>
      </c>
      <c r="Y653" t="s">
        <v>13064</v>
      </c>
      <c r="Z653" t="s">
        <v>13065</v>
      </c>
      <c r="AA653" t="s">
        <v>13066</v>
      </c>
      <c r="AB653" t="s">
        <v>13067</v>
      </c>
      <c r="AC653" t="s">
        <v>13068</v>
      </c>
      <c r="AD653" t="s">
        <v>2705</v>
      </c>
      <c r="AE653" t="s">
        <v>13069</v>
      </c>
      <c r="AF653" t="s">
        <v>74</v>
      </c>
      <c r="AG653">
        <v>89</v>
      </c>
      <c r="AH653">
        <v>15</v>
      </c>
      <c r="AI653">
        <v>15</v>
      </c>
      <c r="AJ653">
        <v>3</v>
      </c>
      <c r="AK653">
        <v>21</v>
      </c>
      <c r="AL653" t="s">
        <v>3032</v>
      </c>
      <c r="AM653" t="s">
        <v>483</v>
      </c>
      <c r="AN653" t="s">
        <v>3033</v>
      </c>
      <c r="AO653" t="s">
        <v>13070</v>
      </c>
      <c r="AP653" t="s">
        <v>13071</v>
      </c>
      <c r="AQ653" t="s">
        <v>74</v>
      </c>
      <c r="AR653" t="s">
        <v>13072</v>
      </c>
      <c r="AS653" t="s">
        <v>13073</v>
      </c>
      <c r="AT653" t="s">
        <v>11892</v>
      </c>
      <c r="AU653">
        <v>2020</v>
      </c>
      <c r="AV653">
        <v>35</v>
      </c>
      <c r="AW653" t="s">
        <v>74</v>
      </c>
      <c r="AX653" t="s">
        <v>74</v>
      </c>
      <c r="AY653" t="s">
        <v>74</v>
      </c>
      <c r="AZ653" t="s">
        <v>74</v>
      </c>
      <c r="BA653" t="s">
        <v>74</v>
      </c>
      <c r="BB653" t="s">
        <v>74</v>
      </c>
      <c r="BC653" t="s">
        <v>74</v>
      </c>
      <c r="BD653">
        <v>100703</v>
      </c>
      <c r="BE653" t="s">
        <v>13074</v>
      </c>
      <c r="BF653" t="str">
        <f>HYPERLINK("http://dx.doi.org/10.1016/j.cbd.2020.100703","http://dx.doi.org/10.1016/j.cbd.2020.100703")</f>
        <v>http://dx.doi.org/10.1016/j.cbd.2020.100703</v>
      </c>
      <c r="BG653" t="s">
        <v>74</v>
      </c>
      <c r="BH653" t="s">
        <v>74</v>
      </c>
      <c r="BI653">
        <v>11</v>
      </c>
      <c r="BJ653" t="s">
        <v>13075</v>
      </c>
      <c r="BK653" t="s">
        <v>100</v>
      </c>
      <c r="BL653" t="s">
        <v>13075</v>
      </c>
      <c r="BM653" t="s">
        <v>13076</v>
      </c>
      <c r="BN653">
        <v>32563028</v>
      </c>
      <c r="BO653" t="s">
        <v>74</v>
      </c>
      <c r="BP653" t="s">
        <v>74</v>
      </c>
      <c r="BQ653" t="s">
        <v>74</v>
      </c>
      <c r="BR653" t="s">
        <v>104</v>
      </c>
      <c r="BS653" t="s">
        <v>13077</v>
      </c>
      <c r="BT653" t="str">
        <f>HYPERLINK("https%3A%2F%2Fwww.webofscience.com%2Fwos%2Fwoscc%2Ffull-record%2FWOS:000582396600012","View Full Record in Web of Science")</f>
        <v>View Full Record in Web of Science</v>
      </c>
    </row>
    <row r="654" spans="1:72" x14ac:dyDescent="0.15">
      <c r="A654" t="s">
        <v>72</v>
      </c>
      <c r="B654" t="s">
        <v>13078</v>
      </c>
      <c r="C654" t="s">
        <v>74</v>
      </c>
      <c r="D654" t="s">
        <v>74</v>
      </c>
      <c r="E654" t="s">
        <v>74</v>
      </c>
      <c r="F654" t="s">
        <v>13079</v>
      </c>
      <c r="G654" t="s">
        <v>74</v>
      </c>
      <c r="H654" t="s">
        <v>74</v>
      </c>
      <c r="I654" t="s">
        <v>13080</v>
      </c>
      <c r="J654" t="s">
        <v>13081</v>
      </c>
      <c r="K654" t="s">
        <v>74</v>
      </c>
      <c r="L654" t="s">
        <v>74</v>
      </c>
      <c r="M654" t="s">
        <v>78</v>
      </c>
      <c r="N654" t="s">
        <v>79</v>
      </c>
      <c r="O654" t="s">
        <v>74</v>
      </c>
      <c r="P654" t="s">
        <v>74</v>
      </c>
      <c r="Q654" t="s">
        <v>74</v>
      </c>
      <c r="R654" t="s">
        <v>74</v>
      </c>
      <c r="S654" t="s">
        <v>74</v>
      </c>
      <c r="T654" t="s">
        <v>13082</v>
      </c>
      <c r="U654" t="s">
        <v>13083</v>
      </c>
      <c r="V654" t="s">
        <v>13084</v>
      </c>
      <c r="W654" t="s">
        <v>13085</v>
      </c>
      <c r="X654" t="s">
        <v>13086</v>
      </c>
      <c r="Y654" t="s">
        <v>13087</v>
      </c>
      <c r="Z654" t="s">
        <v>13088</v>
      </c>
      <c r="AA654" t="s">
        <v>13089</v>
      </c>
      <c r="AB654" t="s">
        <v>13090</v>
      </c>
      <c r="AC654" t="s">
        <v>13091</v>
      </c>
      <c r="AD654" t="s">
        <v>13092</v>
      </c>
      <c r="AE654" t="s">
        <v>13093</v>
      </c>
      <c r="AF654" t="s">
        <v>74</v>
      </c>
      <c r="AG654">
        <v>103</v>
      </c>
      <c r="AH654">
        <v>10</v>
      </c>
      <c r="AI654">
        <v>10</v>
      </c>
      <c r="AJ654">
        <v>4</v>
      </c>
      <c r="AK654">
        <v>22</v>
      </c>
      <c r="AL654" t="s">
        <v>2085</v>
      </c>
      <c r="AM654" t="s">
        <v>2086</v>
      </c>
      <c r="AN654" t="s">
        <v>2087</v>
      </c>
      <c r="AO654" t="s">
        <v>74</v>
      </c>
      <c r="AP654" t="s">
        <v>13094</v>
      </c>
      <c r="AQ654" t="s">
        <v>74</v>
      </c>
      <c r="AR654" t="s">
        <v>13081</v>
      </c>
      <c r="AS654" t="s">
        <v>13095</v>
      </c>
      <c r="AT654" t="s">
        <v>11892</v>
      </c>
      <c r="AU654">
        <v>2020</v>
      </c>
      <c r="AV654">
        <v>9</v>
      </c>
      <c r="AW654">
        <v>9</v>
      </c>
      <c r="AX654" t="s">
        <v>74</v>
      </c>
      <c r="AY654" t="s">
        <v>74</v>
      </c>
      <c r="AZ654" t="s">
        <v>74</v>
      </c>
      <c r="BA654" t="s">
        <v>74</v>
      </c>
      <c r="BB654" t="s">
        <v>74</v>
      </c>
      <c r="BC654" t="s">
        <v>74</v>
      </c>
      <c r="BD654">
        <v>1162</v>
      </c>
      <c r="BE654" t="s">
        <v>13096</v>
      </c>
      <c r="BF654" t="str">
        <f>HYPERLINK("http://dx.doi.org/10.3390/foods9091162","http://dx.doi.org/10.3390/foods9091162")</f>
        <v>http://dx.doi.org/10.3390/foods9091162</v>
      </c>
      <c r="BG654" t="s">
        <v>74</v>
      </c>
      <c r="BH654" t="s">
        <v>74</v>
      </c>
      <c r="BI654">
        <v>26</v>
      </c>
      <c r="BJ654" t="s">
        <v>3107</v>
      </c>
      <c r="BK654" t="s">
        <v>100</v>
      </c>
      <c r="BL654" t="s">
        <v>3107</v>
      </c>
      <c r="BM654" t="s">
        <v>13097</v>
      </c>
      <c r="BN654">
        <v>32846889</v>
      </c>
      <c r="BO654" t="s">
        <v>332</v>
      </c>
      <c r="BP654" t="s">
        <v>74</v>
      </c>
      <c r="BQ654" t="s">
        <v>74</v>
      </c>
      <c r="BR654" t="s">
        <v>104</v>
      </c>
      <c r="BS654" t="s">
        <v>13098</v>
      </c>
      <c r="BT654" t="str">
        <f>HYPERLINK("https%3A%2F%2Fwww.webofscience.com%2Fwos%2Fwoscc%2Ffull-record%2FWOS:000581761600001","View Full Record in Web of Science")</f>
        <v>View Full Record in Web of Science</v>
      </c>
    </row>
    <row r="655" spans="1:72" x14ac:dyDescent="0.15">
      <c r="A655" t="s">
        <v>72</v>
      </c>
      <c r="B655" t="s">
        <v>13099</v>
      </c>
      <c r="C655" t="s">
        <v>74</v>
      </c>
      <c r="D655" t="s">
        <v>74</v>
      </c>
      <c r="E655" t="s">
        <v>74</v>
      </c>
      <c r="F655" t="s">
        <v>13100</v>
      </c>
      <c r="G655" t="s">
        <v>74</v>
      </c>
      <c r="H655" t="s">
        <v>74</v>
      </c>
      <c r="I655" t="s">
        <v>13101</v>
      </c>
      <c r="J655" t="s">
        <v>2074</v>
      </c>
      <c r="K655" t="s">
        <v>74</v>
      </c>
      <c r="L655" t="s">
        <v>74</v>
      </c>
      <c r="M655" t="s">
        <v>78</v>
      </c>
      <c r="N655" t="s">
        <v>79</v>
      </c>
      <c r="O655" t="s">
        <v>74</v>
      </c>
      <c r="P655" t="s">
        <v>74</v>
      </c>
      <c r="Q655" t="s">
        <v>74</v>
      </c>
      <c r="R655" t="s">
        <v>74</v>
      </c>
      <c r="S655" t="s">
        <v>74</v>
      </c>
      <c r="T655" t="s">
        <v>13102</v>
      </c>
      <c r="U655" t="s">
        <v>13103</v>
      </c>
      <c r="V655" t="s">
        <v>13104</v>
      </c>
      <c r="W655" t="s">
        <v>13105</v>
      </c>
      <c r="X655" t="s">
        <v>13106</v>
      </c>
      <c r="Y655" t="s">
        <v>13107</v>
      </c>
      <c r="Z655" t="s">
        <v>13108</v>
      </c>
      <c r="AA655" t="s">
        <v>13109</v>
      </c>
      <c r="AB655" t="s">
        <v>13110</v>
      </c>
      <c r="AC655" t="s">
        <v>13111</v>
      </c>
      <c r="AD655" t="s">
        <v>13112</v>
      </c>
      <c r="AE655" t="s">
        <v>13113</v>
      </c>
      <c r="AF655" t="s">
        <v>74</v>
      </c>
      <c r="AG655">
        <v>46</v>
      </c>
      <c r="AH655">
        <v>14</v>
      </c>
      <c r="AI655">
        <v>14</v>
      </c>
      <c r="AJ655">
        <v>0</v>
      </c>
      <c r="AK655">
        <v>10</v>
      </c>
      <c r="AL655" t="s">
        <v>2085</v>
      </c>
      <c r="AM655" t="s">
        <v>2086</v>
      </c>
      <c r="AN655" t="s">
        <v>2087</v>
      </c>
      <c r="AO655" t="s">
        <v>74</v>
      </c>
      <c r="AP655" t="s">
        <v>2088</v>
      </c>
      <c r="AQ655" t="s">
        <v>74</v>
      </c>
      <c r="AR655" t="s">
        <v>2089</v>
      </c>
      <c r="AS655" t="s">
        <v>2090</v>
      </c>
      <c r="AT655" t="s">
        <v>11892</v>
      </c>
      <c r="AU655">
        <v>2020</v>
      </c>
      <c r="AV655">
        <v>12</v>
      </c>
      <c r="AW655">
        <v>18</v>
      </c>
      <c r="AX655" t="s">
        <v>74</v>
      </c>
      <c r="AY655" t="s">
        <v>74</v>
      </c>
      <c r="AZ655" t="s">
        <v>74</v>
      </c>
      <c r="BA655" t="s">
        <v>74</v>
      </c>
      <c r="BB655" t="s">
        <v>74</v>
      </c>
      <c r="BC655" t="s">
        <v>74</v>
      </c>
      <c r="BD655">
        <v>3001</v>
      </c>
      <c r="BE655" t="s">
        <v>13114</v>
      </c>
      <c r="BF655" t="str">
        <f>HYPERLINK("http://dx.doi.org/10.3390/rs12183001","http://dx.doi.org/10.3390/rs12183001")</f>
        <v>http://dx.doi.org/10.3390/rs12183001</v>
      </c>
      <c r="BG655" t="s">
        <v>74</v>
      </c>
      <c r="BH655" t="s">
        <v>74</v>
      </c>
      <c r="BI655">
        <v>21</v>
      </c>
      <c r="BJ655" t="s">
        <v>2092</v>
      </c>
      <c r="BK655" t="s">
        <v>100</v>
      </c>
      <c r="BL655" t="s">
        <v>2093</v>
      </c>
      <c r="BM655" t="s">
        <v>13115</v>
      </c>
      <c r="BN655" t="s">
        <v>74</v>
      </c>
      <c r="BO655" t="s">
        <v>416</v>
      </c>
      <c r="BP655" t="s">
        <v>74</v>
      </c>
      <c r="BQ655" t="s">
        <v>74</v>
      </c>
      <c r="BR655" t="s">
        <v>104</v>
      </c>
      <c r="BS655" t="s">
        <v>13116</v>
      </c>
      <c r="BT655" t="str">
        <f>HYPERLINK("https%3A%2F%2Fwww.webofscience.com%2Fwos%2Fwoscc%2Ffull-record%2FWOS:000581376700001","View Full Record in Web of Science")</f>
        <v>View Full Record in Web of Science</v>
      </c>
    </row>
    <row r="656" spans="1:72" x14ac:dyDescent="0.15">
      <c r="A656" t="s">
        <v>72</v>
      </c>
      <c r="B656" t="s">
        <v>13117</v>
      </c>
      <c r="C656" t="s">
        <v>74</v>
      </c>
      <c r="D656" t="s">
        <v>74</v>
      </c>
      <c r="E656" t="s">
        <v>74</v>
      </c>
      <c r="F656" t="s">
        <v>13118</v>
      </c>
      <c r="G656" t="s">
        <v>74</v>
      </c>
      <c r="H656" t="s">
        <v>74</v>
      </c>
      <c r="I656" t="s">
        <v>13119</v>
      </c>
      <c r="J656" t="s">
        <v>2343</v>
      </c>
      <c r="K656" t="s">
        <v>74</v>
      </c>
      <c r="L656" t="s">
        <v>74</v>
      </c>
      <c r="M656" t="s">
        <v>78</v>
      </c>
      <c r="N656" t="s">
        <v>79</v>
      </c>
      <c r="O656" t="s">
        <v>74</v>
      </c>
      <c r="P656" t="s">
        <v>74</v>
      </c>
      <c r="Q656" t="s">
        <v>74</v>
      </c>
      <c r="R656" t="s">
        <v>74</v>
      </c>
      <c r="S656" t="s">
        <v>74</v>
      </c>
      <c r="T656" t="s">
        <v>13120</v>
      </c>
      <c r="U656" t="s">
        <v>13121</v>
      </c>
      <c r="V656" t="s">
        <v>13122</v>
      </c>
      <c r="W656" t="s">
        <v>13123</v>
      </c>
      <c r="X656" t="s">
        <v>13124</v>
      </c>
      <c r="Y656" t="s">
        <v>13125</v>
      </c>
      <c r="Z656" t="s">
        <v>13126</v>
      </c>
      <c r="AA656" t="s">
        <v>13127</v>
      </c>
      <c r="AB656" t="s">
        <v>13128</v>
      </c>
      <c r="AC656" t="s">
        <v>13129</v>
      </c>
      <c r="AD656" t="s">
        <v>13130</v>
      </c>
      <c r="AE656" t="s">
        <v>13131</v>
      </c>
      <c r="AF656" t="s">
        <v>74</v>
      </c>
      <c r="AG656">
        <v>42</v>
      </c>
      <c r="AH656">
        <v>3</v>
      </c>
      <c r="AI656">
        <v>3</v>
      </c>
      <c r="AJ656">
        <v>1</v>
      </c>
      <c r="AK656">
        <v>12</v>
      </c>
      <c r="AL656" t="s">
        <v>2085</v>
      </c>
      <c r="AM656" t="s">
        <v>2086</v>
      </c>
      <c r="AN656" t="s">
        <v>2087</v>
      </c>
      <c r="AO656" t="s">
        <v>74</v>
      </c>
      <c r="AP656" t="s">
        <v>2356</v>
      </c>
      <c r="AQ656" t="s">
        <v>74</v>
      </c>
      <c r="AR656" t="s">
        <v>2357</v>
      </c>
      <c r="AS656" t="s">
        <v>2358</v>
      </c>
      <c r="AT656" t="s">
        <v>11892</v>
      </c>
      <c r="AU656">
        <v>2020</v>
      </c>
      <c r="AV656">
        <v>11</v>
      </c>
      <c r="AW656">
        <v>9</v>
      </c>
      <c r="AX656" t="s">
        <v>74</v>
      </c>
      <c r="AY656" t="s">
        <v>74</v>
      </c>
      <c r="AZ656" t="s">
        <v>74</v>
      </c>
      <c r="BA656" t="s">
        <v>74</v>
      </c>
      <c r="BB656" t="s">
        <v>74</v>
      </c>
      <c r="BC656" t="s">
        <v>74</v>
      </c>
      <c r="BD656">
        <v>931</v>
      </c>
      <c r="BE656" t="s">
        <v>13132</v>
      </c>
      <c r="BF656" t="str">
        <f>HYPERLINK("http://dx.doi.org/10.3390/atmos11090931","http://dx.doi.org/10.3390/atmos11090931")</f>
        <v>http://dx.doi.org/10.3390/atmos11090931</v>
      </c>
      <c r="BG656" t="s">
        <v>74</v>
      </c>
      <c r="BH656" t="s">
        <v>74</v>
      </c>
      <c r="BI656">
        <v>15</v>
      </c>
      <c r="BJ656" t="s">
        <v>1027</v>
      </c>
      <c r="BK656" t="s">
        <v>100</v>
      </c>
      <c r="BL656" t="s">
        <v>1028</v>
      </c>
      <c r="BM656" t="s">
        <v>13133</v>
      </c>
      <c r="BN656" t="s">
        <v>74</v>
      </c>
      <c r="BO656" t="s">
        <v>202</v>
      </c>
      <c r="BP656" t="s">
        <v>74</v>
      </c>
      <c r="BQ656" t="s">
        <v>74</v>
      </c>
      <c r="BR656" t="s">
        <v>104</v>
      </c>
      <c r="BS656" t="s">
        <v>13134</v>
      </c>
      <c r="BT656" t="str">
        <f>HYPERLINK("https%3A%2F%2Fwww.webofscience.com%2Fwos%2Fwoscc%2Ffull-record%2FWOS:000580741800001","View Full Record in Web of Science")</f>
        <v>View Full Record in Web of Science</v>
      </c>
    </row>
    <row r="657" spans="1:72" x14ac:dyDescent="0.15">
      <c r="A657" t="s">
        <v>72</v>
      </c>
      <c r="B657" t="s">
        <v>13135</v>
      </c>
      <c r="C657" t="s">
        <v>74</v>
      </c>
      <c r="D657" t="s">
        <v>74</v>
      </c>
      <c r="E657" t="s">
        <v>74</v>
      </c>
      <c r="F657" t="s">
        <v>13136</v>
      </c>
      <c r="G657" t="s">
        <v>74</v>
      </c>
      <c r="H657" t="s">
        <v>74</v>
      </c>
      <c r="I657" t="s">
        <v>13137</v>
      </c>
      <c r="J657" t="s">
        <v>2343</v>
      </c>
      <c r="K657" t="s">
        <v>74</v>
      </c>
      <c r="L657" t="s">
        <v>74</v>
      </c>
      <c r="M657" t="s">
        <v>78</v>
      </c>
      <c r="N657" t="s">
        <v>79</v>
      </c>
      <c r="O657" t="s">
        <v>74</v>
      </c>
      <c r="P657" t="s">
        <v>74</v>
      </c>
      <c r="Q657" t="s">
        <v>74</v>
      </c>
      <c r="R657" t="s">
        <v>74</v>
      </c>
      <c r="S657" t="s">
        <v>74</v>
      </c>
      <c r="T657" t="s">
        <v>13138</v>
      </c>
      <c r="U657" t="s">
        <v>13139</v>
      </c>
      <c r="V657" t="s">
        <v>13140</v>
      </c>
      <c r="W657" t="s">
        <v>13141</v>
      </c>
      <c r="X657" t="s">
        <v>13142</v>
      </c>
      <c r="Y657" t="s">
        <v>13143</v>
      </c>
      <c r="Z657" t="s">
        <v>13144</v>
      </c>
      <c r="AA657" t="s">
        <v>13145</v>
      </c>
      <c r="AB657" t="s">
        <v>13146</v>
      </c>
      <c r="AC657" t="s">
        <v>74</v>
      </c>
      <c r="AD657" t="s">
        <v>74</v>
      </c>
      <c r="AE657" t="s">
        <v>74</v>
      </c>
      <c r="AF657" t="s">
        <v>74</v>
      </c>
      <c r="AG657">
        <v>57</v>
      </c>
      <c r="AH657">
        <v>6</v>
      </c>
      <c r="AI657">
        <v>6</v>
      </c>
      <c r="AJ657">
        <v>1</v>
      </c>
      <c r="AK657">
        <v>5</v>
      </c>
      <c r="AL657" t="s">
        <v>2085</v>
      </c>
      <c r="AM657" t="s">
        <v>2086</v>
      </c>
      <c r="AN657" t="s">
        <v>2087</v>
      </c>
      <c r="AO657" t="s">
        <v>74</v>
      </c>
      <c r="AP657" t="s">
        <v>2356</v>
      </c>
      <c r="AQ657" t="s">
        <v>74</v>
      </c>
      <c r="AR657" t="s">
        <v>2357</v>
      </c>
      <c r="AS657" t="s">
        <v>2358</v>
      </c>
      <c r="AT657" t="s">
        <v>11892</v>
      </c>
      <c r="AU657">
        <v>2020</v>
      </c>
      <c r="AV657">
        <v>11</v>
      </c>
      <c r="AW657">
        <v>9</v>
      </c>
      <c r="AX657" t="s">
        <v>74</v>
      </c>
      <c r="AY657" t="s">
        <v>74</v>
      </c>
      <c r="AZ657" t="s">
        <v>74</v>
      </c>
      <c r="BA657" t="s">
        <v>74</v>
      </c>
      <c r="BB657" t="s">
        <v>74</v>
      </c>
      <c r="BC657" t="s">
        <v>74</v>
      </c>
      <c r="BD657">
        <v>949</v>
      </c>
      <c r="BE657" t="s">
        <v>13147</v>
      </c>
      <c r="BF657" t="str">
        <f>HYPERLINK("http://dx.doi.org/10.3390/atmos11090949","http://dx.doi.org/10.3390/atmos11090949")</f>
        <v>http://dx.doi.org/10.3390/atmos11090949</v>
      </c>
      <c r="BG657" t="s">
        <v>74</v>
      </c>
      <c r="BH657" t="s">
        <v>74</v>
      </c>
      <c r="BI657">
        <v>22</v>
      </c>
      <c r="BJ657" t="s">
        <v>1027</v>
      </c>
      <c r="BK657" t="s">
        <v>100</v>
      </c>
      <c r="BL657" t="s">
        <v>1028</v>
      </c>
      <c r="BM657" t="s">
        <v>13148</v>
      </c>
      <c r="BN657" t="s">
        <v>74</v>
      </c>
      <c r="BO657" t="s">
        <v>332</v>
      </c>
      <c r="BP657" t="s">
        <v>74</v>
      </c>
      <c r="BQ657" t="s">
        <v>74</v>
      </c>
      <c r="BR657" t="s">
        <v>104</v>
      </c>
      <c r="BS657" t="s">
        <v>13149</v>
      </c>
      <c r="BT657" t="str">
        <f>HYPERLINK("https%3A%2F%2Fwww.webofscience.com%2Fwos%2Fwoscc%2Ffull-record%2FWOS:000580362700001","View Full Record in Web of Science")</f>
        <v>View Full Record in Web of Science</v>
      </c>
    </row>
    <row r="658" spans="1:72" x14ac:dyDescent="0.15">
      <c r="A658" t="s">
        <v>72</v>
      </c>
      <c r="B658" t="s">
        <v>13150</v>
      </c>
      <c r="C658" t="s">
        <v>74</v>
      </c>
      <c r="D658" t="s">
        <v>74</v>
      </c>
      <c r="E658" t="s">
        <v>74</v>
      </c>
      <c r="F658" t="s">
        <v>13151</v>
      </c>
      <c r="G658" t="s">
        <v>74</v>
      </c>
      <c r="H658" t="s">
        <v>74</v>
      </c>
      <c r="I658" t="s">
        <v>13152</v>
      </c>
      <c r="J658" t="s">
        <v>1321</v>
      </c>
      <c r="K658" t="s">
        <v>74</v>
      </c>
      <c r="L658" t="s">
        <v>74</v>
      </c>
      <c r="M658" t="s">
        <v>78</v>
      </c>
      <c r="N658" t="s">
        <v>79</v>
      </c>
      <c r="O658" t="s">
        <v>74</v>
      </c>
      <c r="P658" t="s">
        <v>74</v>
      </c>
      <c r="Q658" t="s">
        <v>74</v>
      </c>
      <c r="R658" t="s">
        <v>74</v>
      </c>
      <c r="S658" t="s">
        <v>74</v>
      </c>
      <c r="T658" t="s">
        <v>13153</v>
      </c>
      <c r="U658" t="s">
        <v>13154</v>
      </c>
      <c r="V658" t="s">
        <v>13155</v>
      </c>
      <c r="W658" t="s">
        <v>13156</v>
      </c>
      <c r="X658" t="s">
        <v>13157</v>
      </c>
      <c r="Y658" t="s">
        <v>13158</v>
      </c>
      <c r="Z658" t="s">
        <v>13159</v>
      </c>
      <c r="AA658" t="s">
        <v>13160</v>
      </c>
      <c r="AB658" t="s">
        <v>13161</v>
      </c>
      <c r="AC658" t="s">
        <v>13162</v>
      </c>
      <c r="AD658" t="s">
        <v>13163</v>
      </c>
      <c r="AE658" t="s">
        <v>13164</v>
      </c>
      <c r="AF658" t="s">
        <v>74</v>
      </c>
      <c r="AG658">
        <v>38</v>
      </c>
      <c r="AH658">
        <v>9</v>
      </c>
      <c r="AI658">
        <v>9</v>
      </c>
      <c r="AJ658">
        <v>1</v>
      </c>
      <c r="AK658">
        <v>13</v>
      </c>
      <c r="AL658" t="s">
        <v>1276</v>
      </c>
      <c r="AM658" t="s">
        <v>483</v>
      </c>
      <c r="AN658" t="s">
        <v>1277</v>
      </c>
      <c r="AO658" t="s">
        <v>1334</v>
      </c>
      <c r="AP658" t="s">
        <v>1335</v>
      </c>
      <c r="AQ658" t="s">
        <v>74</v>
      </c>
      <c r="AR658" t="s">
        <v>1336</v>
      </c>
      <c r="AS658" t="s">
        <v>1337</v>
      </c>
      <c r="AT658" t="s">
        <v>11892</v>
      </c>
      <c r="AU658">
        <v>2020</v>
      </c>
      <c r="AV658">
        <v>33</v>
      </c>
      <c r="AW658">
        <v>5</v>
      </c>
      <c r="AX658" t="s">
        <v>74</v>
      </c>
      <c r="AY658" t="s">
        <v>74</v>
      </c>
      <c r="AZ658" t="s">
        <v>74</v>
      </c>
      <c r="BA658" t="s">
        <v>74</v>
      </c>
      <c r="BB658">
        <v>480</v>
      </c>
      <c r="BC658">
        <v>489</v>
      </c>
      <c r="BD658" t="s">
        <v>74</v>
      </c>
      <c r="BE658" t="s">
        <v>13165</v>
      </c>
      <c r="BF658" t="str">
        <f>HYPERLINK("http://dx.doi.org/10.1134/S1024856020050085","http://dx.doi.org/10.1134/S1024856020050085")</f>
        <v>http://dx.doi.org/10.1134/S1024856020050085</v>
      </c>
      <c r="BG658" t="s">
        <v>74</v>
      </c>
      <c r="BH658" t="s">
        <v>74</v>
      </c>
      <c r="BI658">
        <v>10</v>
      </c>
      <c r="BJ658" t="s">
        <v>1339</v>
      </c>
      <c r="BK658" t="s">
        <v>1214</v>
      </c>
      <c r="BL658" t="s">
        <v>1339</v>
      </c>
      <c r="BM658" t="s">
        <v>13166</v>
      </c>
      <c r="BN658" t="s">
        <v>74</v>
      </c>
      <c r="BO658" t="s">
        <v>74</v>
      </c>
      <c r="BP658" t="s">
        <v>74</v>
      </c>
      <c r="BQ658" t="s">
        <v>74</v>
      </c>
      <c r="BR658" t="s">
        <v>104</v>
      </c>
      <c r="BS658" t="s">
        <v>13167</v>
      </c>
      <c r="BT658" t="str">
        <f>HYPERLINK("https%3A%2F%2Fwww.webofscience.com%2Fwos%2Fwoscc%2Ffull-record%2FWOS:000579847200007","View Full Record in Web of Science")</f>
        <v>View Full Record in Web of Science</v>
      </c>
    </row>
    <row r="659" spans="1:72" x14ac:dyDescent="0.15">
      <c r="A659" t="s">
        <v>72</v>
      </c>
      <c r="B659" t="s">
        <v>13168</v>
      </c>
      <c r="C659" t="s">
        <v>74</v>
      </c>
      <c r="D659" t="s">
        <v>74</v>
      </c>
      <c r="E659" t="s">
        <v>74</v>
      </c>
      <c r="F659" t="s">
        <v>13169</v>
      </c>
      <c r="G659" t="s">
        <v>74</v>
      </c>
      <c r="H659" t="s">
        <v>74</v>
      </c>
      <c r="I659" t="s">
        <v>13170</v>
      </c>
      <c r="J659" t="s">
        <v>13171</v>
      </c>
      <c r="K659" t="s">
        <v>74</v>
      </c>
      <c r="L659" t="s">
        <v>74</v>
      </c>
      <c r="M659" t="s">
        <v>78</v>
      </c>
      <c r="N659" t="s">
        <v>79</v>
      </c>
      <c r="O659" t="s">
        <v>74</v>
      </c>
      <c r="P659" t="s">
        <v>74</v>
      </c>
      <c r="Q659" t="s">
        <v>74</v>
      </c>
      <c r="R659" t="s">
        <v>74</v>
      </c>
      <c r="S659" t="s">
        <v>74</v>
      </c>
      <c r="T659" t="s">
        <v>13172</v>
      </c>
      <c r="U659" t="s">
        <v>13173</v>
      </c>
      <c r="V659" t="s">
        <v>13174</v>
      </c>
      <c r="W659" t="s">
        <v>13175</v>
      </c>
      <c r="X659" t="s">
        <v>13176</v>
      </c>
      <c r="Y659" t="s">
        <v>13177</v>
      </c>
      <c r="Z659" t="s">
        <v>13178</v>
      </c>
      <c r="AA659" t="s">
        <v>13179</v>
      </c>
      <c r="AB659" t="s">
        <v>13180</v>
      </c>
      <c r="AC659" t="s">
        <v>13181</v>
      </c>
      <c r="AD659" t="s">
        <v>13182</v>
      </c>
      <c r="AE659" t="s">
        <v>13183</v>
      </c>
      <c r="AF659" t="s">
        <v>74</v>
      </c>
      <c r="AG659">
        <v>13</v>
      </c>
      <c r="AH659">
        <v>3</v>
      </c>
      <c r="AI659">
        <v>3</v>
      </c>
      <c r="AJ659">
        <v>0</v>
      </c>
      <c r="AK659">
        <v>2</v>
      </c>
      <c r="AL659" t="s">
        <v>13184</v>
      </c>
      <c r="AM659" t="s">
        <v>483</v>
      </c>
      <c r="AN659" t="s">
        <v>13185</v>
      </c>
      <c r="AO659" t="s">
        <v>13186</v>
      </c>
      <c r="AP659" t="s">
        <v>13187</v>
      </c>
      <c r="AQ659" t="s">
        <v>74</v>
      </c>
      <c r="AR659" t="s">
        <v>13188</v>
      </c>
      <c r="AS659" t="s">
        <v>13189</v>
      </c>
      <c r="AT659" t="s">
        <v>11892</v>
      </c>
      <c r="AU659">
        <v>2020</v>
      </c>
      <c r="AV659">
        <v>494</v>
      </c>
      <c r="AW659">
        <v>1</v>
      </c>
      <c r="AX659" t="s">
        <v>74</v>
      </c>
      <c r="AY659" t="s">
        <v>74</v>
      </c>
      <c r="AZ659" t="s">
        <v>74</v>
      </c>
      <c r="BA659" t="s">
        <v>74</v>
      </c>
      <c r="BB659">
        <v>735</v>
      </c>
      <c r="BC659">
        <v>740</v>
      </c>
      <c r="BD659" t="s">
        <v>74</v>
      </c>
      <c r="BE659" t="s">
        <v>13190</v>
      </c>
      <c r="BF659" t="str">
        <f>HYPERLINK("http://dx.doi.org/10.1134/S1028334X20090068","http://dx.doi.org/10.1134/S1028334X20090068")</f>
        <v>http://dx.doi.org/10.1134/S1028334X20090068</v>
      </c>
      <c r="BG659" t="s">
        <v>74</v>
      </c>
      <c r="BH659" t="s">
        <v>74</v>
      </c>
      <c r="BI659">
        <v>6</v>
      </c>
      <c r="BJ659" t="s">
        <v>534</v>
      </c>
      <c r="BK659" t="s">
        <v>100</v>
      </c>
      <c r="BL659" t="s">
        <v>535</v>
      </c>
      <c r="BM659" t="s">
        <v>13191</v>
      </c>
      <c r="BN659" t="s">
        <v>74</v>
      </c>
      <c r="BO659" t="s">
        <v>74</v>
      </c>
      <c r="BP659" t="s">
        <v>74</v>
      </c>
      <c r="BQ659" t="s">
        <v>74</v>
      </c>
      <c r="BR659" t="s">
        <v>104</v>
      </c>
      <c r="BS659" t="s">
        <v>13192</v>
      </c>
      <c r="BT659" t="str">
        <f>HYPERLINK("https%3A%2F%2Fwww.webofscience.com%2Fwos%2Fwoscc%2Ffull-record%2FWOS:000580551900016","View Full Record in Web of Science")</f>
        <v>View Full Record in Web of Science</v>
      </c>
    </row>
    <row r="660" spans="1:72" x14ac:dyDescent="0.15">
      <c r="A660" t="s">
        <v>72</v>
      </c>
      <c r="B660" t="s">
        <v>13193</v>
      </c>
      <c r="C660" t="s">
        <v>74</v>
      </c>
      <c r="D660" t="s">
        <v>74</v>
      </c>
      <c r="E660" t="s">
        <v>74</v>
      </c>
      <c r="F660" t="s">
        <v>13194</v>
      </c>
      <c r="G660" t="s">
        <v>74</v>
      </c>
      <c r="H660" t="s">
        <v>74</v>
      </c>
      <c r="I660" t="s">
        <v>13195</v>
      </c>
      <c r="J660" t="s">
        <v>13196</v>
      </c>
      <c r="K660" t="s">
        <v>74</v>
      </c>
      <c r="L660" t="s">
        <v>74</v>
      </c>
      <c r="M660" t="s">
        <v>78</v>
      </c>
      <c r="N660" t="s">
        <v>138</v>
      </c>
      <c r="O660" t="s">
        <v>74</v>
      </c>
      <c r="P660" t="s">
        <v>74</v>
      </c>
      <c r="Q660" t="s">
        <v>74</v>
      </c>
      <c r="R660" t="s">
        <v>74</v>
      </c>
      <c r="S660" t="s">
        <v>74</v>
      </c>
      <c r="T660" t="s">
        <v>13197</v>
      </c>
      <c r="U660" t="s">
        <v>13198</v>
      </c>
      <c r="V660" t="s">
        <v>13199</v>
      </c>
      <c r="W660" t="s">
        <v>13200</v>
      </c>
      <c r="X660" t="s">
        <v>13201</v>
      </c>
      <c r="Y660" t="s">
        <v>13202</v>
      </c>
      <c r="Z660" t="s">
        <v>13203</v>
      </c>
      <c r="AA660" t="s">
        <v>13204</v>
      </c>
      <c r="AB660" t="s">
        <v>13205</v>
      </c>
      <c r="AC660" t="s">
        <v>13206</v>
      </c>
      <c r="AD660" t="s">
        <v>13207</v>
      </c>
      <c r="AE660" t="s">
        <v>13208</v>
      </c>
      <c r="AF660" t="s">
        <v>74</v>
      </c>
      <c r="AG660">
        <v>90</v>
      </c>
      <c r="AH660">
        <v>21</v>
      </c>
      <c r="AI660">
        <v>21</v>
      </c>
      <c r="AJ660">
        <v>2</v>
      </c>
      <c r="AK660">
        <v>29</v>
      </c>
      <c r="AL660" t="s">
        <v>2085</v>
      </c>
      <c r="AM660" t="s">
        <v>2086</v>
      </c>
      <c r="AN660" t="s">
        <v>2087</v>
      </c>
      <c r="AO660" t="s">
        <v>74</v>
      </c>
      <c r="AP660" t="s">
        <v>13209</v>
      </c>
      <c r="AQ660" t="s">
        <v>74</v>
      </c>
      <c r="AR660" t="s">
        <v>13210</v>
      </c>
      <c r="AS660" t="s">
        <v>13211</v>
      </c>
      <c r="AT660" t="s">
        <v>11892</v>
      </c>
      <c r="AU660">
        <v>2020</v>
      </c>
      <c r="AV660">
        <v>17</v>
      </c>
      <c r="AW660">
        <v>18</v>
      </c>
      <c r="AX660" t="s">
        <v>74</v>
      </c>
      <c r="AY660" t="s">
        <v>74</v>
      </c>
      <c r="AZ660" t="s">
        <v>74</v>
      </c>
      <c r="BA660" t="s">
        <v>74</v>
      </c>
      <c r="BB660" t="s">
        <v>74</v>
      </c>
      <c r="BC660" t="s">
        <v>74</v>
      </c>
      <c r="BD660">
        <v>6459</v>
      </c>
      <c r="BE660" t="s">
        <v>13212</v>
      </c>
      <c r="BF660" t="str">
        <f>HYPERLINK("http://dx.doi.org/10.3390/ijerph17186459","http://dx.doi.org/10.3390/ijerph17186459")</f>
        <v>http://dx.doi.org/10.3390/ijerph17186459</v>
      </c>
      <c r="BG660" t="s">
        <v>74</v>
      </c>
      <c r="BH660" t="s">
        <v>74</v>
      </c>
      <c r="BI660">
        <v>31</v>
      </c>
      <c r="BJ660" t="s">
        <v>13213</v>
      </c>
      <c r="BK660" t="s">
        <v>255</v>
      </c>
      <c r="BL660" t="s">
        <v>13214</v>
      </c>
      <c r="BM660" t="s">
        <v>13215</v>
      </c>
      <c r="BN660">
        <v>32899827</v>
      </c>
      <c r="BO660" t="s">
        <v>2113</v>
      </c>
      <c r="BP660" t="s">
        <v>74</v>
      </c>
      <c r="BQ660" t="s">
        <v>74</v>
      </c>
      <c r="BR660" t="s">
        <v>104</v>
      </c>
      <c r="BS660" t="s">
        <v>13216</v>
      </c>
      <c r="BT660" t="str">
        <f>HYPERLINK("https%3A%2F%2Fwww.webofscience.com%2Fwos%2Fwoscc%2Ffull-record%2FWOS:000580211200001","View Full Record in Web of Science")</f>
        <v>View Full Record in Web of Science</v>
      </c>
    </row>
    <row r="661" spans="1:72" x14ac:dyDescent="0.15">
      <c r="A661" t="s">
        <v>72</v>
      </c>
      <c r="B661" t="s">
        <v>13217</v>
      </c>
      <c r="C661" t="s">
        <v>74</v>
      </c>
      <c r="D661" t="s">
        <v>74</v>
      </c>
      <c r="E661" t="s">
        <v>74</v>
      </c>
      <c r="F661" t="s">
        <v>13218</v>
      </c>
      <c r="G661" t="s">
        <v>74</v>
      </c>
      <c r="H661" t="s">
        <v>74</v>
      </c>
      <c r="I661" t="s">
        <v>13219</v>
      </c>
      <c r="J661" t="s">
        <v>2259</v>
      </c>
      <c r="K661" t="s">
        <v>74</v>
      </c>
      <c r="L661" t="s">
        <v>74</v>
      </c>
      <c r="M661" t="s">
        <v>78</v>
      </c>
      <c r="N661" t="s">
        <v>79</v>
      </c>
      <c r="O661" t="s">
        <v>74</v>
      </c>
      <c r="P661" t="s">
        <v>74</v>
      </c>
      <c r="Q661" t="s">
        <v>74</v>
      </c>
      <c r="R661" t="s">
        <v>74</v>
      </c>
      <c r="S661" t="s">
        <v>74</v>
      </c>
      <c r="T661" t="s">
        <v>13220</v>
      </c>
      <c r="U661" t="s">
        <v>13221</v>
      </c>
      <c r="V661" t="s">
        <v>13222</v>
      </c>
      <c r="W661" t="s">
        <v>13223</v>
      </c>
      <c r="X661" t="s">
        <v>13224</v>
      </c>
      <c r="Y661" t="s">
        <v>13225</v>
      </c>
      <c r="Z661" t="s">
        <v>13226</v>
      </c>
      <c r="AA661" t="s">
        <v>13227</v>
      </c>
      <c r="AB661" t="s">
        <v>13228</v>
      </c>
      <c r="AC661" t="s">
        <v>13229</v>
      </c>
      <c r="AD661" t="s">
        <v>13230</v>
      </c>
      <c r="AE661" t="s">
        <v>13231</v>
      </c>
      <c r="AF661" t="s">
        <v>74</v>
      </c>
      <c r="AG661">
        <v>52</v>
      </c>
      <c r="AH661">
        <v>32</v>
      </c>
      <c r="AI661">
        <v>33</v>
      </c>
      <c r="AJ661">
        <v>9</v>
      </c>
      <c r="AK661">
        <v>56</v>
      </c>
      <c r="AL661" t="s">
        <v>2085</v>
      </c>
      <c r="AM661" t="s">
        <v>2086</v>
      </c>
      <c r="AN661" t="s">
        <v>2087</v>
      </c>
      <c r="AO661" t="s">
        <v>74</v>
      </c>
      <c r="AP661" t="s">
        <v>2272</v>
      </c>
      <c r="AQ661" t="s">
        <v>74</v>
      </c>
      <c r="AR661" t="s">
        <v>2259</v>
      </c>
      <c r="AS661" t="s">
        <v>2273</v>
      </c>
      <c r="AT661" t="s">
        <v>11892</v>
      </c>
      <c r="AU661">
        <v>2020</v>
      </c>
      <c r="AV661">
        <v>8</v>
      </c>
      <c r="AW661">
        <v>9</v>
      </c>
      <c r="AX661" t="s">
        <v>74</v>
      </c>
      <c r="AY661" t="s">
        <v>74</v>
      </c>
      <c r="AZ661" t="s">
        <v>74</v>
      </c>
      <c r="BA661" t="s">
        <v>74</v>
      </c>
      <c r="BB661" t="s">
        <v>74</v>
      </c>
      <c r="BC661" t="s">
        <v>74</v>
      </c>
      <c r="BD661">
        <v>1293</v>
      </c>
      <c r="BE661" t="s">
        <v>13232</v>
      </c>
      <c r="BF661" t="str">
        <f>HYPERLINK("http://dx.doi.org/10.3390/microorganisms8091293","http://dx.doi.org/10.3390/microorganisms8091293")</f>
        <v>http://dx.doi.org/10.3390/microorganisms8091293</v>
      </c>
      <c r="BG661" t="s">
        <v>74</v>
      </c>
      <c r="BH661" t="s">
        <v>74</v>
      </c>
      <c r="BI661">
        <v>15</v>
      </c>
      <c r="BJ661" t="s">
        <v>229</v>
      </c>
      <c r="BK661" t="s">
        <v>100</v>
      </c>
      <c r="BL661" t="s">
        <v>229</v>
      </c>
      <c r="BM661" t="s">
        <v>13233</v>
      </c>
      <c r="BN661">
        <v>32847015</v>
      </c>
      <c r="BO661" t="s">
        <v>332</v>
      </c>
      <c r="BP661" t="s">
        <v>74</v>
      </c>
      <c r="BQ661" t="s">
        <v>74</v>
      </c>
      <c r="BR661" t="s">
        <v>104</v>
      </c>
      <c r="BS661" t="s">
        <v>13234</v>
      </c>
      <c r="BT661" t="str">
        <f>HYPERLINK("https%3A%2F%2Fwww.webofscience.com%2Fwos%2Fwoscc%2Ffull-record%2FWOS:000580110200001","View Full Record in Web of Science")</f>
        <v>View Full Record in Web of Science</v>
      </c>
    </row>
    <row r="662" spans="1:72" x14ac:dyDescent="0.15">
      <c r="A662" t="s">
        <v>72</v>
      </c>
      <c r="B662" t="s">
        <v>13235</v>
      </c>
      <c r="C662" t="s">
        <v>74</v>
      </c>
      <c r="D662" t="s">
        <v>74</v>
      </c>
      <c r="E662" t="s">
        <v>74</v>
      </c>
      <c r="F662" t="s">
        <v>13236</v>
      </c>
      <c r="G662" t="s">
        <v>74</v>
      </c>
      <c r="H662" t="s">
        <v>74</v>
      </c>
      <c r="I662" t="s">
        <v>13237</v>
      </c>
      <c r="J662" t="s">
        <v>2259</v>
      </c>
      <c r="K662" t="s">
        <v>74</v>
      </c>
      <c r="L662" t="s">
        <v>74</v>
      </c>
      <c r="M662" t="s">
        <v>78</v>
      </c>
      <c r="N662" t="s">
        <v>138</v>
      </c>
      <c r="O662" t="s">
        <v>74</v>
      </c>
      <c r="P662" t="s">
        <v>74</v>
      </c>
      <c r="Q662" t="s">
        <v>74</v>
      </c>
      <c r="R662" t="s">
        <v>74</v>
      </c>
      <c r="S662" t="s">
        <v>74</v>
      </c>
      <c r="T662" t="s">
        <v>13238</v>
      </c>
      <c r="U662" t="s">
        <v>13239</v>
      </c>
      <c r="V662" t="s">
        <v>13240</v>
      </c>
      <c r="W662" t="s">
        <v>13241</v>
      </c>
      <c r="X662" t="s">
        <v>9792</v>
      </c>
      <c r="Y662" t="s">
        <v>13242</v>
      </c>
      <c r="Z662" t="s">
        <v>13243</v>
      </c>
      <c r="AA662" t="s">
        <v>11071</v>
      </c>
      <c r="AB662" t="s">
        <v>13244</v>
      </c>
      <c r="AC662" t="s">
        <v>13245</v>
      </c>
      <c r="AD662" t="s">
        <v>13246</v>
      </c>
      <c r="AE662" t="s">
        <v>13247</v>
      </c>
      <c r="AF662" t="s">
        <v>74</v>
      </c>
      <c r="AG662">
        <v>134</v>
      </c>
      <c r="AH662">
        <v>19</v>
      </c>
      <c r="AI662">
        <v>21</v>
      </c>
      <c r="AJ662">
        <v>10</v>
      </c>
      <c r="AK662">
        <v>77</v>
      </c>
      <c r="AL662" t="s">
        <v>2085</v>
      </c>
      <c r="AM662" t="s">
        <v>2086</v>
      </c>
      <c r="AN662" t="s">
        <v>2087</v>
      </c>
      <c r="AO662" t="s">
        <v>74</v>
      </c>
      <c r="AP662" t="s">
        <v>2272</v>
      </c>
      <c r="AQ662" t="s">
        <v>74</v>
      </c>
      <c r="AR662" t="s">
        <v>2259</v>
      </c>
      <c r="AS662" t="s">
        <v>2273</v>
      </c>
      <c r="AT662" t="s">
        <v>11892</v>
      </c>
      <c r="AU662">
        <v>2020</v>
      </c>
      <c r="AV662">
        <v>8</v>
      </c>
      <c r="AW662">
        <v>9</v>
      </c>
      <c r="AX662" t="s">
        <v>74</v>
      </c>
      <c r="AY662" t="s">
        <v>74</v>
      </c>
      <c r="AZ662" t="s">
        <v>74</v>
      </c>
      <c r="BA662" t="s">
        <v>74</v>
      </c>
      <c r="BB662" t="s">
        <v>74</v>
      </c>
      <c r="BC662" t="s">
        <v>74</v>
      </c>
      <c r="BD662">
        <v>1442</v>
      </c>
      <c r="BE662" t="s">
        <v>13248</v>
      </c>
      <c r="BF662" t="str">
        <f>HYPERLINK("http://dx.doi.org/10.3390/microorganisms8091442","http://dx.doi.org/10.3390/microorganisms8091442")</f>
        <v>http://dx.doi.org/10.3390/microorganisms8091442</v>
      </c>
      <c r="BG662" t="s">
        <v>74</v>
      </c>
      <c r="BH662" t="s">
        <v>74</v>
      </c>
      <c r="BI662">
        <v>17</v>
      </c>
      <c r="BJ662" t="s">
        <v>229</v>
      </c>
      <c r="BK662" t="s">
        <v>100</v>
      </c>
      <c r="BL662" t="s">
        <v>229</v>
      </c>
      <c r="BM662" t="s">
        <v>13249</v>
      </c>
      <c r="BN662">
        <v>32967081</v>
      </c>
      <c r="BO662" t="s">
        <v>332</v>
      </c>
      <c r="BP662" t="s">
        <v>74</v>
      </c>
      <c r="BQ662" t="s">
        <v>74</v>
      </c>
      <c r="BR662" t="s">
        <v>104</v>
      </c>
      <c r="BS662" t="s">
        <v>13250</v>
      </c>
      <c r="BT662" t="str">
        <f>HYPERLINK("https%3A%2F%2Fwww.webofscience.com%2Fwos%2Fwoscc%2Ffull-record%2FWOS:000580048200001","View Full Record in Web of Science")</f>
        <v>View Full Record in Web of Science</v>
      </c>
    </row>
    <row r="663" spans="1:72" x14ac:dyDescent="0.15">
      <c r="A663" t="s">
        <v>72</v>
      </c>
      <c r="B663" t="s">
        <v>13251</v>
      </c>
      <c r="C663" t="s">
        <v>74</v>
      </c>
      <c r="D663" t="s">
        <v>74</v>
      </c>
      <c r="E663" t="s">
        <v>74</v>
      </c>
      <c r="F663" t="s">
        <v>13252</v>
      </c>
      <c r="G663" t="s">
        <v>74</v>
      </c>
      <c r="H663" t="s">
        <v>74</v>
      </c>
      <c r="I663" t="s">
        <v>13253</v>
      </c>
      <c r="J663" t="s">
        <v>2259</v>
      </c>
      <c r="K663" t="s">
        <v>74</v>
      </c>
      <c r="L663" t="s">
        <v>74</v>
      </c>
      <c r="M663" t="s">
        <v>78</v>
      </c>
      <c r="N663" t="s">
        <v>138</v>
      </c>
      <c r="O663" t="s">
        <v>74</v>
      </c>
      <c r="P663" t="s">
        <v>74</v>
      </c>
      <c r="Q663" t="s">
        <v>74</v>
      </c>
      <c r="R663" t="s">
        <v>74</v>
      </c>
      <c r="S663" t="s">
        <v>74</v>
      </c>
      <c r="T663" t="s">
        <v>13254</v>
      </c>
      <c r="U663" t="s">
        <v>13255</v>
      </c>
      <c r="V663" t="s">
        <v>13256</v>
      </c>
      <c r="W663" t="s">
        <v>13257</v>
      </c>
      <c r="X663" t="s">
        <v>13258</v>
      </c>
      <c r="Y663" t="s">
        <v>13259</v>
      </c>
      <c r="Z663" t="s">
        <v>13260</v>
      </c>
      <c r="AA663" t="s">
        <v>13261</v>
      </c>
      <c r="AB663" t="s">
        <v>13262</v>
      </c>
      <c r="AC663" t="s">
        <v>13263</v>
      </c>
      <c r="AD663" t="s">
        <v>13264</v>
      </c>
      <c r="AE663" t="s">
        <v>13265</v>
      </c>
      <c r="AF663" t="s">
        <v>74</v>
      </c>
      <c r="AG663">
        <v>201</v>
      </c>
      <c r="AH663">
        <v>10</v>
      </c>
      <c r="AI663">
        <v>10</v>
      </c>
      <c r="AJ663">
        <v>0</v>
      </c>
      <c r="AK663">
        <v>15</v>
      </c>
      <c r="AL663" t="s">
        <v>2085</v>
      </c>
      <c r="AM663" t="s">
        <v>2086</v>
      </c>
      <c r="AN663" t="s">
        <v>2087</v>
      </c>
      <c r="AO663" t="s">
        <v>74</v>
      </c>
      <c r="AP663" t="s">
        <v>2272</v>
      </c>
      <c r="AQ663" t="s">
        <v>74</v>
      </c>
      <c r="AR663" t="s">
        <v>2259</v>
      </c>
      <c r="AS663" t="s">
        <v>2273</v>
      </c>
      <c r="AT663" t="s">
        <v>11892</v>
      </c>
      <c r="AU663">
        <v>2020</v>
      </c>
      <c r="AV663">
        <v>8</v>
      </c>
      <c r="AW663">
        <v>9</v>
      </c>
      <c r="AX663" t="s">
        <v>74</v>
      </c>
      <c r="AY663" t="s">
        <v>74</v>
      </c>
      <c r="AZ663" t="s">
        <v>74</v>
      </c>
      <c r="BA663" t="s">
        <v>74</v>
      </c>
      <c r="BB663" t="s">
        <v>74</v>
      </c>
      <c r="BC663" t="s">
        <v>74</v>
      </c>
      <c r="BD663">
        <v>1422</v>
      </c>
      <c r="BE663" t="s">
        <v>13266</v>
      </c>
      <c r="BF663" t="str">
        <f>HYPERLINK("http://dx.doi.org/10.3390/microorganisms8091422","http://dx.doi.org/10.3390/microorganisms8091422")</f>
        <v>http://dx.doi.org/10.3390/microorganisms8091422</v>
      </c>
      <c r="BG663" t="s">
        <v>74</v>
      </c>
      <c r="BH663" t="s">
        <v>74</v>
      </c>
      <c r="BI663">
        <v>36</v>
      </c>
      <c r="BJ663" t="s">
        <v>229</v>
      </c>
      <c r="BK663" t="s">
        <v>100</v>
      </c>
      <c r="BL663" t="s">
        <v>229</v>
      </c>
      <c r="BM663" t="s">
        <v>13267</v>
      </c>
      <c r="BN663">
        <v>32947905</v>
      </c>
      <c r="BO663" t="s">
        <v>2113</v>
      </c>
      <c r="BP663" t="s">
        <v>74</v>
      </c>
      <c r="BQ663" t="s">
        <v>74</v>
      </c>
      <c r="BR663" t="s">
        <v>104</v>
      </c>
      <c r="BS663" t="s">
        <v>13268</v>
      </c>
      <c r="BT663" t="str">
        <f>HYPERLINK("https%3A%2F%2Fwww.webofscience.com%2Fwos%2Fwoscc%2Ffull-record%2FWOS:000579926800001","View Full Record in Web of Science")</f>
        <v>View Full Record in Web of Science</v>
      </c>
    </row>
    <row r="664" spans="1:72" x14ac:dyDescent="0.15">
      <c r="A664" t="s">
        <v>72</v>
      </c>
      <c r="B664" t="s">
        <v>13269</v>
      </c>
      <c r="C664" t="s">
        <v>74</v>
      </c>
      <c r="D664" t="s">
        <v>74</v>
      </c>
      <c r="E664" t="s">
        <v>74</v>
      </c>
      <c r="F664" t="s">
        <v>13270</v>
      </c>
      <c r="G664" t="s">
        <v>74</v>
      </c>
      <c r="H664" t="s">
        <v>74</v>
      </c>
      <c r="I664" t="s">
        <v>13271</v>
      </c>
      <c r="J664" t="s">
        <v>2259</v>
      </c>
      <c r="K664" t="s">
        <v>74</v>
      </c>
      <c r="L664" t="s">
        <v>74</v>
      </c>
      <c r="M664" t="s">
        <v>78</v>
      </c>
      <c r="N664" t="s">
        <v>79</v>
      </c>
      <c r="O664" t="s">
        <v>74</v>
      </c>
      <c r="P664" t="s">
        <v>74</v>
      </c>
      <c r="Q664" t="s">
        <v>74</v>
      </c>
      <c r="R664" t="s">
        <v>74</v>
      </c>
      <c r="S664" t="s">
        <v>74</v>
      </c>
      <c r="T664" t="s">
        <v>13272</v>
      </c>
      <c r="U664" t="s">
        <v>13273</v>
      </c>
      <c r="V664" t="s">
        <v>13274</v>
      </c>
      <c r="W664" t="s">
        <v>13275</v>
      </c>
      <c r="X664" t="s">
        <v>13276</v>
      </c>
      <c r="Y664" t="s">
        <v>13277</v>
      </c>
      <c r="Z664" t="s">
        <v>13278</v>
      </c>
      <c r="AA664" t="s">
        <v>13279</v>
      </c>
      <c r="AB664" t="s">
        <v>13280</v>
      </c>
      <c r="AC664" t="s">
        <v>13281</v>
      </c>
      <c r="AD664" t="s">
        <v>13282</v>
      </c>
      <c r="AE664" t="s">
        <v>13283</v>
      </c>
      <c r="AF664" t="s">
        <v>74</v>
      </c>
      <c r="AG664">
        <v>55</v>
      </c>
      <c r="AH664">
        <v>5</v>
      </c>
      <c r="AI664">
        <v>5</v>
      </c>
      <c r="AJ664">
        <v>0</v>
      </c>
      <c r="AK664">
        <v>11</v>
      </c>
      <c r="AL664" t="s">
        <v>2085</v>
      </c>
      <c r="AM664" t="s">
        <v>2086</v>
      </c>
      <c r="AN664" t="s">
        <v>2087</v>
      </c>
      <c r="AO664" t="s">
        <v>74</v>
      </c>
      <c r="AP664" t="s">
        <v>2272</v>
      </c>
      <c r="AQ664" t="s">
        <v>74</v>
      </c>
      <c r="AR664" t="s">
        <v>2259</v>
      </c>
      <c r="AS664" t="s">
        <v>2273</v>
      </c>
      <c r="AT664" t="s">
        <v>11892</v>
      </c>
      <c r="AU664">
        <v>2020</v>
      </c>
      <c r="AV664">
        <v>8</v>
      </c>
      <c r="AW664">
        <v>9</v>
      </c>
      <c r="AX664" t="s">
        <v>74</v>
      </c>
      <c r="AY664" t="s">
        <v>74</v>
      </c>
      <c r="AZ664" t="s">
        <v>74</v>
      </c>
      <c r="BA664" t="s">
        <v>74</v>
      </c>
      <c r="BB664" t="s">
        <v>74</v>
      </c>
      <c r="BC664" t="s">
        <v>74</v>
      </c>
      <c r="BD664">
        <v>1273</v>
      </c>
      <c r="BE664" t="s">
        <v>13284</v>
      </c>
      <c r="BF664" t="str">
        <f>HYPERLINK("http://dx.doi.org/10.3390/microorganisms8091273","http://dx.doi.org/10.3390/microorganisms8091273")</f>
        <v>http://dx.doi.org/10.3390/microorganisms8091273</v>
      </c>
      <c r="BG664" t="s">
        <v>74</v>
      </c>
      <c r="BH664" t="s">
        <v>74</v>
      </c>
      <c r="BI664">
        <v>25</v>
      </c>
      <c r="BJ664" t="s">
        <v>229</v>
      </c>
      <c r="BK664" t="s">
        <v>100</v>
      </c>
      <c r="BL664" t="s">
        <v>229</v>
      </c>
      <c r="BM664" t="s">
        <v>13285</v>
      </c>
      <c r="BN664">
        <v>32825597</v>
      </c>
      <c r="BO664" t="s">
        <v>332</v>
      </c>
      <c r="BP664" t="s">
        <v>74</v>
      </c>
      <c r="BQ664" t="s">
        <v>74</v>
      </c>
      <c r="BR664" t="s">
        <v>104</v>
      </c>
      <c r="BS664" t="s">
        <v>13286</v>
      </c>
      <c r="BT664" t="str">
        <f>HYPERLINK("https%3A%2F%2Fwww.webofscience.com%2Fwos%2Fwoscc%2Ffull-record%2FWOS:000580029400001","View Full Record in Web of Science")</f>
        <v>View Full Record in Web of Science</v>
      </c>
    </row>
    <row r="665" spans="1:72" x14ac:dyDescent="0.15">
      <c r="A665" t="s">
        <v>72</v>
      </c>
      <c r="B665" t="s">
        <v>13287</v>
      </c>
      <c r="C665" t="s">
        <v>74</v>
      </c>
      <c r="D665" t="s">
        <v>74</v>
      </c>
      <c r="E665" t="s">
        <v>74</v>
      </c>
      <c r="F665" t="s">
        <v>13288</v>
      </c>
      <c r="G665" t="s">
        <v>74</v>
      </c>
      <c r="H665" t="s">
        <v>74</v>
      </c>
      <c r="I665" t="s">
        <v>13289</v>
      </c>
      <c r="J665" t="s">
        <v>7648</v>
      </c>
      <c r="K665" t="s">
        <v>74</v>
      </c>
      <c r="L665" t="s">
        <v>74</v>
      </c>
      <c r="M665" t="s">
        <v>78</v>
      </c>
      <c r="N665" t="s">
        <v>79</v>
      </c>
      <c r="O665" t="s">
        <v>74</v>
      </c>
      <c r="P665" t="s">
        <v>74</v>
      </c>
      <c r="Q665" t="s">
        <v>74</v>
      </c>
      <c r="R665" t="s">
        <v>74</v>
      </c>
      <c r="S665" t="s">
        <v>74</v>
      </c>
      <c r="T665" t="s">
        <v>13290</v>
      </c>
      <c r="U665" t="s">
        <v>13291</v>
      </c>
      <c r="V665" t="s">
        <v>13292</v>
      </c>
      <c r="W665" t="s">
        <v>13293</v>
      </c>
      <c r="X665" t="s">
        <v>13294</v>
      </c>
      <c r="Y665" t="s">
        <v>13295</v>
      </c>
      <c r="Z665" t="s">
        <v>13296</v>
      </c>
      <c r="AA665" t="s">
        <v>13297</v>
      </c>
      <c r="AB665" t="s">
        <v>13298</v>
      </c>
      <c r="AC665" t="s">
        <v>13299</v>
      </c>
      <c r="AD665" t="s">
        <v>13300</v>
      </c>
      <c r="AE665" t="s">
        <v>13301</v>
      </c>
      <c r="AF665" t="s">
        <v>74</v>
      </c>
      <c r="AG665">
        <v>54</v>
      </c>
      <c r="AH665">
        <v>7</v>
      </c>
      <c r="AI665">
        <v>8</v>
      </c>
      <c r="AJ665">
        <v>2</v>
      </c>
      <c r="AK665">
        <v>24</v>
      </c>
      <c r="AL665" t="s">
        <v>2085</v>
      </c>
      <c r="AM665" t="s">
        <v>2086</v>
      </c>
      <c r="AN665" t="s">
        <v>2087</v>
      </c>
      <c r="AO665" t="s">
        <v>74</v>
      </c>
      <c r="AP665" t="s">
        <v>7661</v>
      </c>
      <c r="AQ665" t="s">
        <v>74</v>
      </c>
      <c r="AR665" t="s">
        <v>7648</v>
      </c>
      <c r="AS665" t="s">
        <v>7662</v>
      </c>
      <c r="AT665" t="s">
        <v>11892</v>
      </c>
      <c r="AU665">
        <v>2020</v>
      </c>
      <c r="AV665">
        <v>25</v>
      </c>
      <c r="AW665">
        <v>18</v>
      </c>
      <c r="AX665" t="s">
        <v>74</v>
      </c>
      <c r="AY665" t="s">
        <v>74</v>
      </c>
      <c r="AZ665" t="s">
        <v>74</v>
      </c>
      <c r="BA665" t="s">
        <v>74</v>
      </c>
      <c r="BB665" t="s">
        <v>74</v>
      </c>
      <c r="BC665" t="s">
        <v>74</v>
      </c>
      <c r="BD665">
        <v>4074</v>
      </c>
      <c r="BE665" t="s">
        <v>13302</v>
      </c>
      <c r="BF665" t="str">
        <f>HYPERLINK("http://dx.doi.org/10.3390/molecules25184074","http://dx.doi.org/10.3390/molecules25184074")</f>
        <v>http://dx.doi.org/10.3390/molecules25184074</v>
      </c>
      <c r="BG665" t="s">
        <v>74</v>
      </c>
      <c r="BH665" t="s">
        <v>74</v>
      </c>
      <c r="BI665">
        <v>14</v>
      </c>
      <c r="BJ665" t="s">
        <v>7664</v>
      </c>
      <c r="BK665" t="s">
        <v>100</v>
      </c>
      <c r="BL665" t="s">
        <v>2649</v>
      </c>
      <c r="BM665" t="s">
        <v>13303</v>
      </c>
      <c r="BN665">
        <v>32906578</v>
      </c>
      <c r="BO665" t="s">
        <v>2113</v>
      </c>
      <c r="BP665" t="s">
        <v>74</v>
      </c>
      <c r="BQ665" t="s">
        <v>74</v>
      </c>
      <c r="BR665" t="s">
        <v>104</v>
      </c>
      <c r="BS665" t="s">
        <v>13304</v>
      </c>
      <c r="BT665" t="str">
        <f>HYPERLINK("https%3A%2F%2Fwww.webofscience.com%2Fwos%2Fwoscc%2Ffull-record%2FWOS:000580076000001","View Full Record in Web of Science")</f>
        <v>View Full Record in Web of Science</v>
      </c>
    </row>
    <row r="666" spans="1:72" x14ac:dyDescent="0.15">
      <c r="A666" t="s">
        <v>72</v>
      </c>
      <c r="B666" t="s">
        <v>13305</v>
      </c>
      <c r="C666" t="s">
        <v>74</v>
      </c>
      <c r="D666" t="s">
        <v>74</v>
      </c>
      <c r="E666" t="s">
        <v>74</v>
      </c>
      <c r="F666" t="s">
        <v>13306</v>
      </c>
      <c r="G666" t="s">
        <v>74</v>
      </c>
      <c r="H666" t="s">
        <v>74</v>
      </c>
      <c r="I666" t="s">
        <v>13307</v>
      </c>
      <c r="J666" t="s">
        <v>2074</v>
      </c>
      <c r="K666" t="s">
        <v>74</v>
      </c>
      <c r="L666" t="s">
        <v>74</v>
      </c>
      <c r="M666" t="s">
        <v>78</v>
      </c>
      <c r="N666" t="s">
        <v>79</v>
      </c>
      <c r="O666" t="s">
        <v>74</v>
      </c>
      <c r="P666" t="s">
        <v>74</v>
      </c>
      <c r="Q666" t="s">
        <v>74</v>
      </c>
      <c r="R666" t="s">
        <v>74</v>
      </c>
      <c r="S666" t="s">
        <v>74</v>
      </c>
      <c r="T666" t="s">
        <v>13308</v>
      </c>
      <c r="U666" t="s">
        <v>13309</v>
      </c>
      <c r="V666" t="s">
        <v>13310</v>
      </c>
      <c r="W666" t="s">
        <v>13311</v>
      </c>
      <c r="X666" t="s">
        <v>13312</v>
      </c>
      <c r="Y666" t="s">
        <v>13313</v>
      </c>
      <c r="Z666" t="s">
        <v>13314</v>
      </c>
      <c r="AA666" t="s">
        <v>13315</v>
      </c>
      <c r="AB666" t="s">
        <v>13316</v>
      </c>
      <c r="AC666" t="s">
        <v>13317</v>
      </c>
      <c r="AD666" t="s">
        <v>13318</v>
      </c>
      <c r="AE666" t="s">
        <v>13319</v>
      </c>
      <c r="AF666" t="s">
        <v>74</v>
      </c>
      <c r="AG666">
        <v>28</v>
      </c>
      <c r="AH666">
        <v>12</v>
      </c>
      <c r="AI666">
        <v>15</v>
      </c>
      <c r="AJ666">
        <v>4</v>
      </c>
      <c r="AK666">
        <v>24</v>
      </c>
      <c r="AL666" t="s">
        <v>2085</v>
      </c>
      <c r="AM666" t="s">
        <v>2086</v>
      </c>
      <c r="AN666" t="s">
        <v>2087</v>
      </c>
      <c r="AO666" t="s">
        <v>74</v>
      </c>
      <c r="AP666" t="s">
        <v>2088</v>
      </c>
      <c r="AQ666" t="s">
        <v>74</v>
      </c>
      <c r="AR666" t="s">
        <v>2089</v>
      </c>
      <c r="AS666" t="s">
        <v>2090</v>
      </c>
      <c r="AT666" t="s">
        <v>11892</v>
      </c>
      <c r="AU666">
        <v>2020</v>
      </c>
      <c r="AV666">
        <v>12</v>
      </c>
      <c r="AW666">
        <v>18</v>
      </c>
      <c r="AX666" t="s">
        <v>74</v>
      </c>
      <c r="AY666" t="s">
        <v>74</v>
      </c>
      <c r="AZ666" t="s">
        <v>74</v>
      </c>
      <c r="BA666" t="s">
        <v>74</v>
      </c>
      <c r="BB666" t="s">
        <v>74</v>
      </c>
      <c r="BC666" t="s">
        <v>74</v>
      </c>
      <c r="BD666">
        <v>2994</v>
      </c>
      <c r="BE666" t="s">
        <v>13320</v>
      </c>
      <c r="BF666" t="str">
        <f>HYPERLINK("http://dx.doi.org/10.3390/rs12182994","http://dx.doi.org/10.3390/rs12182994")</f>
        <v>http://dx.doi.org/10.3390/rs12182994</v>
      </c>
      <c r="BG666" t="s">
        <v>74</v>
      </c>
      <c r="BH666" t="s">
        <v>74</v>
      </c>
      <c r="BI666">
        <v>15</v>
      </c>
      <c r="BJ666" t="s">
        <v>2092</v>
      </c>
      <c r="BK666" t="s">
        <v>100</v>
      </c>
      <c r="BL666" t="s">
        <v>2093</v>
      </c>
      <c r="BM666" t="s">
        <v>13321</v>
      </c>
      <c r="BN666" t="s">
        <v>74</v>
      </c>
      <c r="BO666" t="s">
        <v>202</v>
      </c>
      <c r="BP666" t="s">
        <v>74</v>
      </c>
      <c r="BQ666" t="s">
        <v>74</v>
      </c>
      <c r="BR666" t="s">
        <v>104</v>
      </c>
      <c r="BS666" t="s">
        <v>13322</v>
      </c>
      <c r="BT666" t="str">
        <f>HYPERLINK("https%3A%2F%2Fwww.webofscience.com%2Fwos%2Fwoscc%2Ffull-record%2FWOS:000580211800001","View Full Record in Web of Science")</f>
        <v>View Full Record in Web of Science</v>
      </c>
    </row>
    <row r="667" spans="1:72" x14ac:dyDescent="0.15">
      <c r="A667" t="s">
        <v>72</v>
      </c>
      <c r="B667" t="s">
        <v>13323</v>
      </c>
      <c r="C667" t="s">
        <v>74</v>
      </c>
      <c r="D667" t="s">
        <v>74</v>
      </c>
      <c r="E667" t="s">
        <v>74</v>
      </c>
      <c r="F667" t="s">
        <v>13324</v>
      </c>
      <c r="G667" t="s">
        <v>74</v>
      </c>
      <c r="H667" t="s">
        <v>74</v>
      </c>
      <c r="I667" t="s">
        <v>13325</v>
      </c>
      <c r="J667" t="s">
        <v>2074</v>
      </c>
      <c r="K667" t="s">
        <v>74</v>
      </c>
      <c r="L667" t="s">
        <v>74</v>
      </c>
      <c r="M667" t="s">
        <v>78</v>
      </c>
      <c r="N667" t="s">
        <v>79</v>
      </c>
      <c r="O667" t="s">
        <v>74</v>
      </c>
      <c r="P667" t="s">
        <v>74</v>
      </c>
      <c r="Q667" t="s">
        <v>74</v>
      </c>
      <c r="R667" t="s">
        <v>74</v>
      </c>
      <c r="S667" t="s">
        <v>74</v>
      </c>
      <c r="T667" t="s">
        <v>13326</v>
      </c>
      <c r="U667" t="s">
        <v>13327</v>
      </c>
      <c r="V667" t="s">
        <v>13328</v>
      </c>
      <c r="W667" t="s">
        <v>13329</v>
      </c>
      <c r="X667" t="s">
        <v>13330</v>
      </c>
      <c r="Y667" t="s">
        <v>13331</v>
      </c>
      <c r="Z667" t="s">
        <v>13332</v>
      </c>
      <c r="AA667" t="s">
        <v>13333</v>
      </c>
      <c r="AB667" t="s">
        <v>13334</v>
      </c>
      <c r="AC667" t="s">
        <v>13335</v>
      </c>
      <c r="AD667" t="s">
        <v>13336</v>
      </c>
      <c r="AE667" t="s">
        <v>13337</v>
      </c>
      <c r="AF667" t="s">
        <v>74</v>
      </c>
      <c r="AG667">
        <v>53</v>
      </c>
      <c r="AH667">
        <v>1</v>
      </c>
      <c r="AI667">
        <v>4</v>
      </c>
      <c r="AJ667">
        <v>1</v>
      </c>
      <c r="AK667">
        <v>26</v>
      </c>
      <c r="AL667" t="s">
        <v>2085</v>
      </c>
      <c r="AM667" t="s">
        <v>2086</v>
      </c>
      <c r="AN667" t="s">
        <v>2087</v>
      </c>
      <c r="AO667" t="s">
        <v>74</v>
      </c>
      <c r="AP667" t="s">
        <v>2088</v>
      </c>
      <c r="AQ667" t="s">
        <v>74</v>
      </c>
      <c r="AR667" t="s">
        <v>2089</v>
      </c>
      <c r="AS667" t="s">
        <v>2090</v>
      </c>
      <c r="AT667" t="s">
        <v>11892</v>
      </c>
      <c r="AU667">
        <v>2020</v>
      </c>
      <c r="AV667">
        <v>12</v>
      </c>
      <c r="AW667">
        <v>18</v>
      </c>
      <c r="AX667" t="s">
        <v>74</v>
      </c>
      <c r="AY667" t="s">
        <v>74</v>
      </c>
      <c r="AZ667" t="s">
        <v>74</v>
      </c>
      <c r="BA667" t="s">
        <v>74</v>
      </c>
      <c r="BB667" t="s">
        <v>74</v>
      </c>
      <c r="BC667" t="s">
        <v>74</v>
      </c>
      <c r="BD667">
        <v>2880</v>
      </c>
      <c r="BE667" t="s">
        <v>13338</v>
      </c>
      <c r="BF667" t="str">
        <f>HYPERLINK("http://dx.doi.org/10.3390/rs12182880","http://dx.doi.org/10.3390/rs12182880")</f>
        <v>http://dx.doi.org/10.3390/rs12182880</v>
      </c>
      <c r="BG667" t="s">
        <v>74</v>
      </c>
      <c r="BH667" t="s">
        <v>74</v>
      </c>
      <c r="BI667">
        <v>23</v>
      </c>
      <c r="BJ667" t="s">
        <v>2092</v>
      </c>
      <c r="BK667" t="s">
        <v>100</v>
      </c>
      <c r="BL667" t="s">
        <v>2093</v>
      </c>
      <c r="BM667" t="s">
        <v>13339</v>
      </c>
      <c r="BN667" t="s">
        <v>74</v>
      </c>
      <c r="BO667" t="s">
        <v>202</v>
      </c>
      <c r="BP667" t="s">
        <v>74</v>
      </c>
      <c r="BQ667" t="s">
        <v>74</v>
      </c>
      <c r="BR667" t="s">
        <v>104</v>
      </c>
      <c r="BS667" t="s">
        <v>13340</v>
      </c>
      <c r="BT667" t="str">
        <f>HYPERLINK("https%3A%2F%2Fwww.webofscience.com%2Fwos%2Fwoscc%2Ffull-record%2FWOS:000580343500001","View Full Record in Web of Science")</f>
        <v>View Full Record in Web of Science</v>
      </c>
    </row>
    <row r="668" spans="1:72" x14ac:dyDescent="0.15">
      <c r="A668" t="s">
        <v>72</v>
      </c>
      <c r="B668" t="s">
        <v>13341</v>
      </c>
      <c r="C668" t="s">
        <v>74</v>
      </c>
      <c r="D668" t="s">
        <v>74</v>
      </c>
      <c r="E668" t="s">
        <v>74</v>
      </c>
      <c r="F668" t="s">
        <v>13342</v>
      </c>
      <c r="G668" t="s">
        <v>74</v>
      </c>
      <c r="H668" t="s">
        <v>74</v>
      </c>
      <c r="I668" t="s">
        <v>13343</v>
      </c>
      <c r="J668" t="s">
        <v>13344</v>
      </c>
      <c r="K668" t="s">
        <v>74</v>
      </c>
      <c r="L668" t="s">
        <v>74</v>
      </c>
      <c r="M668" t="s">
        <v>78</v>
      </c>
      <c r="N668" t="s">
        <v>79</v>
      </c>
      <c r="O668" t="s">
        <v>74</v>
      </c>
      <c r="P668" t="s">
        <v>74</v>
      </c>
      <c r="Q668" t="s">
        <v>74</v>
      </c>
      <c r="R668" t="s">
        <v>74</v>
      </c>
      <c r="S668" t="s">
        <v>74</v>
      </c>
      <c r="T668" t="s">
        <v>13345</v>
      </c>
      <c r="U668" t="s">
        <v>13346</v>
      </c>
      <c r="V668" t="s">
        <v>13347</v>
      </c>
      <c r="W668" t="s">
        <v>13348</v>
      </c>
      <c r="X668" t="s">
        <v>13349</v>
      </c>
      <c r="Y668" t="s">
        <v>13350</v>
      </c>
      <c r="Z668" t="s">
        <v>13351</v>
      </c>
      <c r="AA668" t="s">
        <v>13352</v>
      </c>
      <c r="AB668" t="s">
        <v>13353</v>
      </c>
      <c r="AC668" t="s">
        <v>13354</v>
      </c>
      <c r="AD668" t="s">
        <v>13355</v>
      </c>
      <c r="AE668" t="s">
        <v>13356</v>
      </c>
      <c r="AF668" t="s">
        <v>74</v>
      </c>
      <c r="AG668">
        <v>81</v>
      </c>
      <c r="AH668">
        <v>9</v>
      </c>
      <c r="AI668">
        <v>9</v>
      </c>
      <c r="AJ668">
        <v>0</v>
      </c>
      <c r="AK668">
        <v>5</v>
      </c>
      <c r="AL668" t="s">
        <v>2085</v>
      </c>
      <c r="AM668" t="s">
        <v>2086</v>
      </c>
      <c r="AN668" t="s">
        <v>2087</v>
      </c>
      <c r="AO668" t="s">
        <v>74</v>
      </c>
      <c r="AP668" t="s">
        <v>13357</v>
      </c>
      <c r="AQ668" t="s">
        <v>74</v>
      </c>
      <c r="AR668" t="s">
        <v>13344</v>
      </c>
      <c r="AS668" t="s">
        <v>13358</v>
      </c>
      <c r="AT668" t="s">
        <v>11892</v>
      </c>
      <c r="AU668">
        <v>2020</v>
      </c>
      <c r="AV668">
        <v>12</v>
      </c>
      <c r="AW668">
        <v>9</v>
      </c>
      <c r="AX668" t="s">
        <v>74</v>
      </c>
      <c r="AY668" t="s">
        <v>74</v>
      </c>
      <c r="AZ668" t="s">
        <v>74</v>
      </c>
      <c r="BA668" t="s">
        <v>74</v>
      </c>
      <c r="BB668" t="s">
        <v>74</v>
      </c>
      <c r="BC668" t="s">
        <v>74</v>
      </c>
      <c r="BD668">
        <v>1029</v>
      </c>
      <c r="BE668" t="s">
        <v>13359</v>
      </c>
      <c r="BF668" t="str">
        <f>HYPERLINK("http://dx.doi.org/10.3390/v12091029","http://dx.doi.org/10.3390/v12091029")</f>
        <v>http://dx.doi.org/10.3390/v12091029</v>
      </c>
      <c r="BG668" t="s">
        <v>74</v>
      </c>
      <c r="BH668" t="s">
        <v>74</v>
      </c>
      <c r="BI668">
        <v>21</v>
      </c>
      <c r="BJ668" t="s">
        <v>2754</v>
      </c>
      <c r="BK668" t="s">
        <v>100</v>
      </c>
      <c r="BL668" t="s">
        <v>2754</v>
      </c>
      <c r="BM668" t="s">
        <v>13360</v>
      </c>
      <c r="BN668">
        <v>32947826</v>
      </c>
      <c r="BO668" t="s">
        <v>332</v>
      </c>
      <c r="BP668" t="s">
        <v>74</v>
      </c>
      <c r="BQ668" t="s">
        <v>74</v>
      </c>
      <c r="BR668" t="s">
        <v>104</v>
      </c>
      <c r="BS668" t="s">
        <v>13361</v>
      </c>
      <c r="BT668" t="str">
        <f>HYPERLINK("https%3A%2F%2Fwww.webofscience.com%2Fwos%2Fwoscc%2Ffull-record%2FWOS:000580222400001","View Full Record in Web of Science")</f>
        <v>View Full Record in Web of Science</v>
      </c>
    </row>
    <row r="669" spans="1:72" x14ac:dyDescent="0.15">
      <c r="A669" t="s">
        <v>72</v>
      </c>
      <c r="B669" t="s">
        <v>13362</v>
      </c>
      <c r="C669" t="s">
        <v>74</v>
      </c>
      <c r="D669" t="s">
        <v>74</v>
      </c>
      <c r="E669" t="s">
        <v>74</v>
      </c>
      <c r="F669" t="s">
        <v>13363</v>
      </c>
      <c r="G669" t="s">
        <v>74</v>
      </c>
      <c r="H669" t="s">
        <v>74</v>
      </c>
      <c r="I669" t="s">
        <v>13364</v>
      </c>
      <c r="J669" t="s">
        <v>13365</v>
      </c>
      <c r="K669" t="s">
        <v>74</v>
      </c>
      <c r="L669" t="s">
        <v>74</v>
      </c>
      <c r="M669" t="s">
        <v>78</v>
      </c>
      <c r="N669" t="s">
        <v>79</v>
      </c>
      <c r="O669" t="s">
        <v>74</v>
      </c>
      <c r="P669" t="s">
        <v>74</v>
      </c>
      <c r="Q669" t="s">
        <v>74</v>
      </c>
      <c r="R669" t="s">
        <v>74</v>
      </c>
      <c r="S669" t="s">
        <v>74</v>
      </c>
      <c r="T669" t="s">
        <v>13366</v>
      </c>
      <c r="U669" t="s">
        <v>13367</v>
      </c>
      <c r="V669" t="s">
        <v>13368</v>
      </c>
      <c r="W669" t="s">
        <v>13369</v>
      </c>
      <c r="X669" t="s">
        <v>13370</v>
      </c>
      <c r="Y669" t="s">
        <v>13371</v>
      </c>
      <c r="Z669" t="s">
        <v>13372</v>
      </c>
      <c r="AA669" t="s">
        <v>13373</v>
      </c>
      <c r="AB669" t="s">
        <v>74</v>
      </c>
      <c r="AC669" t="s">
        <v>13374</v>
      </c>
      <c r="AD669" t="s">
        <v>13375</v>
      </c>
      <c r="AE669" t="s">
        <v>13376</v>
      </c>
      <c r="AF669" t="s">
        <v>74</v>
      </c>
      <c r="AG669">
        <v>43</v>
      </c>
      <c r="AH669">
        <v>7</v>
      </c>
      <c r="AI669">
        <v>8</v>
      </c>
      <c r="AJ669">
        <v>4</v>
      </c>
      <c r="AK669">
        <v>27</v>
      </c>
      <c r="AL669" t="s">
        <v>2085</v>
      </c>
      <c r="AM669" t="s">
        <v>2086</v>
      </c>
      <c r="AN669" t="s">
        <v>2087</v>
      </c>
      <c r="AO669" t="s">
        <v>74</v>
      </c>
      <c r="AP669" t="s">
        <v>13377</v>
      </c>
      <c r="AQ669" t="s">
        <v>74</v>
      </c>
      <c r="AR669" t="s">
        <v>13378</v>
      </c>
      <c r="AS669" t="s">
        <v>13379</v>
      </c>
      <c r="AT669" t="s">
        <v>11892</v>
      </c>
      <c r="AU669">
        <v>2020</v>
      </c>
      <c r="AV669">
        <v>12</v>
      </c>
      <c r="AW669">
        <v>9</v>
      </c>
      <c r="AX669" t="s">
        <v>74</v>
      </c>
      <c r="AY669" t="s">
        <v>74</v>
      </c>
      <c r="AZ669" t="s">
        <v>74</v>
      </c>
      <c r="BA669" t="s">
        <v>74</v>
      </c>
      <c r="BB669" t="s">
        <v>74</v>
      </c>
      <c r="BC669" t="s">
        <v>74</v>
      </c>
      <c r="BD669">
        <v>2620</v>
      </c>
      <c r="BE669" t="s">
        <v>13380</v>
      </c>
      <c r="BF669" t="str">
        <f>HYPERLINK("http://dx.doi.org/10.3390/w12092620","http://dx.doi.org/10.3390/w12092620")</f>
        <v>http://dx.doi.org/10.3390/w12092620</v>
      </c>
      <c r="BG669" t="s">
        <v>74</v>
      </c>
      <c r="BH669" t="s">
        <v>74</v>
      </c>
      <c r="BI669">
        <v>16</v>
      </c>
      <c r="BJ669" t="s">
        <v>10497</v>
      </c>
      <c r="BK669" t="s">
        <v>100</v>
      </c>
      <c r="BL669" t="s">
        <v>10498</v>
      </c>
      <c r="BM669" t="s">
        <v>13381</v>
      </c>
      <c r="BN669" t="s">
        <v>74</v>
      </c>
      <c r="BO669" t="s">
        <v>202</v>
      </c>
      <c r="BP669" t="s">
        <v>74</v>
      </c>
      <c r="BQ669" t="s">
        <v>74</v>
      </c>
      <c r="BR669" t="s">
        <v>104</v>
      </c>
      <c r="BS669" t="s">
        <v>13382</v>
      </c>
      <c r="BT669" t="str">
        <f>HYPERLINK("https%3A%2F%2Fwww.webofscience.com%2Fwos%2Fwoscc%2Ffull-record%2FWOS:000580912400001","View Full Record in Web of Science")</f>
        <v>View Full Record in Web of Science</v>
      </c>
    </row>
    <row r="670" spans="1:72" x14ac:dyDescent="0.15">
      <c r="A670" t="s">
        <v>72</v>
      </c>
      <c r="B670" t="s">
        <v>13383</v>
      </c>
      <c r="C670" t="s">
        <v>74</v>
      </c>
      <c r="D670" t="s">
        <v>74</v>
      </c>
      <c r="E670" t="s">
        <v>74</v>
      </c>
      <c r="F670" t="s">
        <v>13384</v>
      </c>
      <c r="G670" t="s">
        <v>74</v>
      </c>
      <c r="H670" t="s">
        <v>74</v>
      </c>
      <c r="I670" t="s">
        <v>13385</v>
      </c>
      <c r="J670" t="s">
        <v>13386</v>
      </c>
      <c r="K670" t="s">
        <v>74</v>
      </c>
      <c r="L670" t="s">
        <v>74</v>
      </c>
      <c r="M670" t="s">
        <v>78</v>
      </c>
      <c r="N670" t="s">
        <v>6486</v>
      </c>
      <c r="O670" t="s">
        <v>13387</v>
      </c>
      <c r="P670" t="s">
        <v>13388</v>
      </c>
      <c r="Q670" t="s">
        <v>13389</v>
      </c>
      <c r="R670" t="s">
        <v>74</v>
      </c>
      <c r="S670" t="s">
        <v>74</v>
      </c>
      <c r="T670" t="s">
        <v>13390</v>
      </c>
      <c r="U670" t="s">
        <v>13391</v>
      </c>
      <c r="V670" t="s">
        <v>13392</v>
      </c>
      <c r="W670" t="s">
        <v>13393</v>
      </c>
      <c r="X670" t="s">
        <v>13394</v>
      </c>
      <c r="Y670" t="s">
        <v>13395</v>
      </c>
      <c r="Z670" t="s">
        <v>13396</v>
      </c>
      <c r="AA670" t="s">
        <v>13397</v>
      </c>
      <c r="AB670" t="s">
        <v>13398</v>
      </c>
      <c r="AC670" t="s">
        <v>74</v>
      </c>
      <c r="AD670" t="s">
        <v>74</v>
      </c>
      <c r="AE670" t="s">
        <v>74</v>
      </c>
      <c r="AF670" t="s">
        <v>74</v>
      </c>
      <c r="AG670">
        <v>35</v>
      </c>
      <c r="AH670">
        <v>1</v>
      </c>
      <c r="AI670">
        <v>1</v>
      </c>
      <c r="AJ670">
        <v>0</v>
      </c>
      <c r="AK670">
        <v>15</v>
      </c>
      <c r="AL670" t="s">
        <v>13399</v>
      </c>
      <c r="AM670" t="s">
        <v>13400</v>
      </c>
      <c r="AN670" t="s">
        <v>13401</v>
      </c>
      <c r="AO670" t="s">
        <v>13402</v>
      </c>
      <c r="AP670" t="s">
        <v>13403</v>
      </c>
      <c r="AQ670" t="s">
        <v>74</v>
      </c>
      <c r="AR670" t="s">
        <v>13404</v>
      </c>
      <c r="AS670" t="s">
        <v>13405</v>
      </c>
      <c r="AT670" t="s">
        <v>11892</v>
      </c>
      <c r="AU670">
        <v>2020</v>
      </c>
      <c r="AV670">
        <v>199</v>
      </c>
      <c r="AW670" t="s">
        <v>74</v>
      </c>
      <c r="AX670" t="s">
        <v>74</v>
      </c>
      <c r="AY670" t="s">
        <v>74</v>
      </c>
      <c r="AZ670" t="s">
        <v>489</v>
      </c>
      <c r="BA670" t="s">
        <v>74</v>
      </c>
      <c r="BB670">
        <v>380</v>
      </c>
      <c r="BC670">
        <v>386</v>
      </c>
      <c r="BD670" t="s">
        <v>74</v>
      </c>
      <c r="BE670" t="s">
        <v>13406</v>
      </c>
      <c r="BF670" t="str">
        <f>HYPERLINK("http://dx.doi.org/10.5004/dwt.2020.25903","http://dx.doi.org/10.5004/dwt.2020.25903")</f>
        <v>http://dx.doi.org/10.5004/dwt.2020.25903</v>
      </c>
      <c r="BG670" t="s">
        <v>74</v>
      </c>
      <c r="BH670" t="s">
        <v>74</v>
      </c>
      <c r="BI670">
        <v>7</v>
      </c>
      <c r="BJ670" t="s">
        <v>13407</v>
      </c>
      <c r="BK670" t="s">
        <v>6508</v>
      </c>
      <c r="BL670" t="s">
        <v>13408</v>
      </c>
      <c r="BM670" t="s">
        <v>13409</v>
      </c>
      <c r="BN670" t="s">
        <v>74</v>
      </c>
      <c r="BO670" t="s">
        <v>74</v>
      </c>
      <c r="BP670" t="s">
        <v>74</v>
      </c>
      <c r="BQ670" t="s">
        <v>74</v>
      </c>
      <c r="BR670" t="s">
        <v>104</v>
      </c>
      <c r="BS670" t="s">
        <v>13410</v>
      </c>
      <c r="BT670" t="str">
        <f>HYPERLINK("https%3A%2F%2Fwww.webofscience.com%2Fwos%2Fwoscc%2Ffull-record%2FWOS:000579039100046","View Full Record in Web of Science")</f>
        <v>View Full Record in Web of Science</v>
      </c>
    </row>
    <row r="671" spans="1:72" x14ac:dyDescent="0.15">
      <c r="A671" t="s">
        <v>72</v>
      </c>
      <c r="B671" t="s">
        <v>13411</v>
      </c>
      <c r="C671" t="s">
        <v>74</v>
      </c>
      <c r="D671" t="s">
        <v>74</v>
      </c>
      <c r="E671" t="s">
        <v>74</v>
      </c>
      <c r="F671" t="s">
        <v>13412</v>
      </c>
      <c r="G671" t="s">
        <v>74</v>
      </c>
      <c r="H671" t="s">
        <v>74</v>
      </c>
      <c r="I671" t="s">
        <v>13413</v>
      </c>
      <c r="J671" t="s">
        <v>13414</v>
      </c>
      <c r="K671" t="s">
        <v>74</v>
      </c>
      <c r="L671" t="s">
        <v>74</v>
      </c>
      <c r="M671" t="s">
        <v>78</v>
      </c>
      <c r="N671" t="s">
        <v>79</v>
      </c>
      <c r="O671" t="s">
        <v>74</v>
      </c>
      <c r="P671" t="s">
        <v>74</v>
      </c>
      <c r="Q671" t="s">
        <v>74</v>
      </c>
      <c r="R671" t="s">
        <v>74</v>
      </c>
      <c r="S671" t="s">
        <v>74</v>
      </c>
      <c r="T671" t="s">
        <v>13415</v>
      </c>
      <c r="U671" t="s">
        <v>13416</v>
      </c>
      <c r="V671" t="s">
        <v>13417</v>
      </c>
      <c r="W671" t="s">
        <v>13418</v>
      </c>
      <c r="X671" t="s">
        <v>13419</v>
      </c>
      <c r="Y671" t="s">
        <v>13420</v>
      </c>
      <c r="Z671" t="s">
        <v>13421</v>
      </c>
      <c r="AA671" t="s">
        <v>13422</v>
      </c>
      <c r="AB671" t="s">
        <v>13423</v>
      </c>
      <c r="AC671" t="s">
        <v>13424</v>
      </c>
      <c r="AD671" t="s">
        <v>13425</v>
      </c>
      <c r="AE671" t="s">
        <v>13426</v>
      </c>
      <c r="AF671" t="s">
        <v>74</v>
      </c>
      <c r="AG671">
        <v>101</v>
      </c>
      <c r="AH671">
        <v>18</v>
      </c>
      <c r="AI671">
        <v>18</v>
      </c>
      <c r="AJ671">
        <v>1</v>
      </c>
      <c r="AK671">
        <v>6</v>
      </c>
      <c r="AL671" t="s">
        <v>1251</v>
      </c>
      <c r="AM671" t="s">
        <v>609</v>
      </c>
      <c r="AN671" t="s">
        <v>1252</v>
      </c>
      <c r="AO671" t="s">
        <v>13427</v>
      </c>
      <c r="AP671" t="s">
        <v>74</v>
      </c>
      <c r="AQ671" t="s">
        <v>74</v>
      </c>
      <c r="AR671" t="s">
        <v>13414</v>
      </c>
      <c r="AS671" t="s">
        <v>13428</v>
      </c>
      <c r="AT671" t="s">
        <v>13429</v>
      </c>
      <c r="AU671">
        <v>2020</v>
      </c>
      <c r="AV671">
        <v>11</v>
      </c>
      <c r="AW671">
        <v>5</v>
      </c>
      <c r="AX671" t="s">
        <v>74</v>
      </c>
      <c r="AY671" t="s">
        <v>74</v>
      </c>
      <c r="AZ671" t="s">
        <v>74</v>
      </c>
      <c r="BA671" t="s">
        <v>74</v>
      </c>
      <c r="BB671" t="s">
        <v>74</v>
      </c>
      <c r="BC671" t="s">
        <v>74</v>
      </c>
      <c r="BD671" t="s">
        <v>13430</v>
      </c>
      <c r="BE671" t="s">
        <v>13431</v>
      </c>
      <c r="BF671" t="str">
        <f>HYPERLINK("http://dx.doi.org/10.1128/mBio.01410-20","http://dx.doi.org/10.1128/mBio.01410-20")</f>
        <v>http://dx.doi.org/10.1128/mBio.01410-20</v>
      </c>
      <c r="BG671" t="s">
        <v>74</v>
      </c>
      <c r="BH671" t="s">
        <v>74</v>
      </c>
      <c r="BI671">
        <v>17</v>
      </c>
      <c r="BJ671" t="s">
        <v>229</v>
      </c>
      <c r="BK671" t="s">
        <v>100</v>
      </c>
      <c r="BL671" t="s">
        <v>229</v>
      </c>
      <c r="BM671" t="s">
        <v>13432</v>
      </c>
      <c r="BN671">
        <v>32873755</v>
      </c>
      <c r="BO671" t="s">
        <v>1980</v>
      </c>
      <c r="BP671" t="s">
        <v>74</v>
      </c>
      <c r="BQ671" t="s">
        <v>74</v>
      </c>
      <c r="BR671" t="s">
        <v>104</v>
      </c>
      <c r="BS671" t="s">
        <v>13433</v>
      </c>
      <c r="BT671" t="str">
        <f>HYPERLINK("https%3A%2F%2Fwww.webofscience.com%2Fwos%2Fwoscc%2Ffull-record%2FWOS:000579503600013","View Full Record in Web of Science")</f>
        <v>View Full Record in Web of Science</v>
      </c>
    </row>
    <row r="672" spans="1:72" x14ac:dyDescent="0.15">
      <c r="A672" t="s">
        <v>72</v>
      </c>
      <c r="B672" t="s">
        <v>13434</v>
      </c>
      <c r="C672" t="s">
        <v>74</v>
      </c>
      <c r="D672" t="s">
        <v>74</v>
      </c>
      <c r="E672" t="s">
        <v>74</v>
      </c>
      <c r="F672" t="s">
        <v>13435</v>
      </c>
      <c r="G672" t="s">
        <v>74</v>
      </c>
      <c r="H672" t="s">
        <v>74</v>
      </c>
      <c r="I672" t="s">
        <v>13436</v>
      </c>
      <c r="J672" t="s">
        <v>13437</v>
      </c>
      <c r="K672" t="s">
        <v>74</v>
      </c>
      <c r="L672" t="s">
        <v>74</v>
      </c>
      <c r="M672" t="s">
        <v>78</v>
      </c>
      <c r="N672" t="s">
        <v>79</v>
      </c>
      <c r="O672" t="s">
        <v>74</v>
      </c>
      <c r="P672" t="s">
        <v>74</v>
      </c>
      <c r="Q672" t="s">
        <v>74</v>
      </c>
      <c r="R672" t="s">
        <v>74</v>
      </c>
      <c r="S672" t="s">
        <v>74</v>
      </c>
      <c r="T672" t="s">
        <v>13438</v>
      </c>
      <c r="U672" t="s">
        <v>13439</v>
      </c>
      <c r="V672" t="s">
        <v>13440</v>
      </c>
      <c r="W672" t="s">
        <v>13441</v>
      </c>
      <c r="X672" t="s">
        <v>13442</v>
      </c>
      <c r="Y672" t="s">
        <v>13443</v>
      </c>
      <c r="Z672" t="s">
        <v>8692</v>
      </c>
      <c r="AA672" t="s">
        <v>74</v>
      </c>
      <c r="AB672" t="s">
        <v>74</v>
      </c>
      <c r="AC672" t="s">
        <v>74</v>
      </c>
      <c r="AD672" t="s">
        <v>74</v>
      </c>
      <c r="AE672" t="s">
        <v>74</v>
      </c>
      <c r="AF672" t="s">
        <v>74</v>
      </c>
      <c r="AG672">
        <v>41</v>
      </c>
      <c r="AH672">
        <v>6</v>
      </c>
      <c r="AI672">
        <v>8</v>
      </c>
      <c r="AJ672">
        <v>3</v>
      </c>
      <c r="AK672">
        <v>20</v>
      </c>
      <c r="AL672" t="s">
        <v>482</v>
      </c>
      <c r="AM672" t="s">
        <v>483</v>
      </c>
      <c r="AN672" t="s">
        <v>484</v>
      </c>
      <c r="AO672" t="s">
        <v>13444</v>
      </c>
      <c r="AP672" t="s">
        <v>13445</v>
      </c>
      <c r="AQ672" t="s">
        <v>74</v>
      </c>
      <c r="AR672" t="s">
        <v>13446</v>
      </c>
      <c r="AS672" t="s">
        <v>13447</v>
      </c>
      <c r="AT672" t="s">
        <v>11892</v>
      </c>
      <c r="AU672">
        <v>2020</v>
      </c>
      <c r="AV672">
        <v>39</v>
      </c>
      <c r="AW672">
        <v>9</v>
      </c>
      <c r="AX672" t="s">
        <v>74</v>
      </c>
      <c r="AY672" t="s">
        <v>74</v>
      </c>
      <c r="AZ672" t="s">
        <v>74</v>
      </c>
      <c r="BA672" t="s">
        <v>74</v>
      </c>
      <c r="BB672">
        <v>5</v>
      </c>
      <c r="BC672">
        <v>17</v>
      </c>
      <c r="BD672" t="s">
        <v>74</v>
      </c>
      <c r="BE672" t="s">
        <v>13448</v>
      </c>
      <c r="BF672" t="str">
        <f>HYPERLINK("http://dx.doi.org/10.1007/s13131-020-1643-8","http://dx.doi.org/10.1007/s13131-020-1643-8")</f>
        <v>http://dx.doi.org/10.1007/s13131-020-1643-8</v>
      </c>
      <c r="BG672" t="s">
        <v>74</v>
      </c>
      <c r="BH672" t="s">
        <v>74</v>
      </c>
      <c r="BI672">
        <v>13</v>
      </c>
      <c r="BJ672" t="s">
        <v>1283</v>
      </c>
      <c r="BK672" t="s">
        <v>100</v>
      </c>
      <c r="BL672" t="s">
        <v>1283</v>
      </c>
      <c r="BM672" t="s">
        <v>13449</v>
      </c>
      <c r="BN672" t="s">
        <v>74</v>
      </c>
      <c r="BO672" t="s">
        <v>74</v>
      </c>
      <c r="BP672" t="s">
        <v>74</v>
      </c>
      <c r="BQ672" t="s">
        <v>74</v>
      </c>
      <c r="BR672" t="s">
        <v>104</v>
      </c>
      <c r="BS672" t="s">
        <v>13450</v>
      </c>
      <c r="BT672" t="str">
        <f>HYPERLINK("https%3A%2F%2Fwww.webofscience.com%2Fwos%2Fwoscc%2Ffull-record%2FWOS:000576828000002","View Full Record in Web of Science")</f>
        <v>View Full Record in Web of Science</v>
      </c>
    </row>
    <row r="673" spans="1:72" x14ac:dyDescent="0.15">
      <c r="A673" t="s">
        <v>72</v>
      </c>
      <c r="B673" t="s">
        <v>13451</v>
      </c>
      <c r="C673" t="s">
        <v>74</v>
      </c>
      <c r="D673" t="s">
        <v>74</v>
      </c>
      <c r="E673" t="s">
        <v>74</v>
      </c>
      <c r="F673" t="s">
        <v>13452</v>
      </c>
      <c r="G673" t="s">
        <v>74</v>
      </c>
      <c r="H673" t="s">
        <v>74</v>
      </c>
      <c r="I673" t="s">
        <v>13453</v>
      </c>
      <c r="J673" t="s">
        <v>1697</v>
      </c>
      <c r="K673" t="s">
        <v>74</v>
      </c>
      <c r="L673" t="s">
        <v>74</v>
      </c>
      <c r="M673" t="s">
        <v>78</v>
      </c>
      <c r="N673" t="s">
        <v>79</v>
      </c>
      <c r="O673" t="s">
        <v>74</v>
      </c>
      <c r="P673" t="s">
        <v>74</v>
      </c>
      <c r="Q673" t="s">
        <v>74</v>
      </c>
      <c r="R673" t="s">
        <v>74</v>
      </c>
      <c r="S673" t="s">
        <v>74</v>
      </c>
      <c r="T673" t="s">
        <v>74</v>
      </c>
      <c r="U673" t="s">
        <v>13454</v>
      </c>
      <c r="V673" t="s">
        <v>13455</v>
      </c>
      <c r="W673" t="s">
        <v>13456</v>
      </c>
      <c r="X673" t="s">
        <v>13457</v>
      </c>
      <c r="Y673" t="s">
        <v>13458</v>
      </c>
      <c r="Z673" t="s">
        <v>13459</v>
      </c>
      <c r="AA673" t="s">
        <v>13460</v>
      </c>
      <c r="AB673" t="s">
        <v>74</v>
      </c>
      <c r="AC673" t="s">
        <v>13461</v>
      </c>
      <c r="AD673" t="s">
        <v>7737</v>
      </c>
      <c r="AE673" t="s">
        <v>13462</v>
      </c>
      <c r="AF673" t="s">
        <v>74</v>
      </c>
      <c r="AG673">
        <v>38</v>
      </c>
      <c r="AH673">
        <v>8</v>
      </c>
      <c r="AI673">
        <v>10</v>
      </c>
      <c r="AJ673">
        <v>0</v>
      </c>
      <c r="AK673">
        <v>8</v>
      </c>
      <c r="AL673" t="s">
        <v>1710</v>
      </c>
      <c r="AM673" t="s">
        <v>609</v>
      </c>
      <c r="AN673" t="s">
        <v>1711</v>
      </c>
      <c r="AO673" t="s">
        <v>74</v>
      </c>
      <c r="AP673" t="s">
        <v>1712</v>
      </c>
      <c r="AQ673" t="s">
        <v>74</v>
      </c>
      <c r="AR673" t="s">
        <v>1713</v>
      </c>
      <c r="AS673" t="s">
        <v>1714</v>
      </c>
      <c r="AT673" t="s">
        <v>11892</v>
      </c>
      <c r="AU673">
        <v>2020</v>
      </c>
      <c r="AV673">
        <v>7</v>
      </c>
      <c r="AW673">
        <v>9</v>
      </c>
      <c r="AX673" t="s">
        <v>74</v>
      </c>
      <c r="AY673" t="s">
        <v>74</v>
      </c>
      <c r="AZ673" t="s">
        <v>74</v>
      </c>
      <c r="BA673" t="s">
        <v>74</v>
      </c>
      <c r="BB673" t="s">
        <v>74</v>
      </c>
      <c r="BC673" t="s">
        <v>74</v>
      </c>
      <c r="BD673" t="s">
        <v>13463</v>
      </c>
      <c r="BE673" t="s">
        <v>13464</v>
      </c>
      <c r="BF673" t="str">
        <f>HYPERLINK("http://dx.doi.org/10.1029/2020EA001224","http://dx.doi.org/10.1029/2020EA001224")</f>
        <v>http://dx.doi.org/10.1029/2020EA001224</v>
      </c>
      <c r="BG673" t="s">
        <v>74</v>
      </c>
      <c r="BH673" t="s">
        <v>74</v>
      </c>
      <c r="BI673">
        <v>17</v>
      </c>
      <c r="BJ673" t="s">
        <v>1717</v>
      </c>
      <c r="BK673" t="s">
        <v>100</v>
      </c>
      <c r="BL673" t="s">
        <v>1718</v>
      </c>
      <c r="BM673" t="s">
        <v>12241</v>
      </c>
      <c r="BN673" t="s">
        <v>74</v>
      </c>
      <c r="BO673" t="s">
        <v>2113</v>
      </c>
      <c r="BP673" t="s">
        <v>74</v>
      </c>
      <c r="BQ673" t="s">
        <v>74</v>
      </c>
      <c r="BR673" t="s">
        <v>104</v>
      </c>
      <c r="BS673" t="s">
        <v>13465</v>
      </c>
      <c r="BT673" t="str">
        <f>HYPERLINK("https%3A%2F%2Fwww.webofscience.com%2Fwos%2Fwoscc%2Ffull-record%2FWOS:000576647500019","View Full Record in Web of Science")</f>
        <v>View Full Record in Web of Science</v>
      </c>
    </row>
    <row r="674" spans="1:72" x14ac:dyDescent="0.15">
      <c r="A674" t="s">
        <v>72</v>
      </c>
      <c r="B674" t="s">
        <v>13466</v>
      </c>
      <c r="C674" t="s">
        <v>74</v>
      </c>
      <c r="D674" t="s">
        <v>74</v>
      </c>
      <c r="E674" t="s">
        <v>74</v>
      </c>
      <c r="F674" t="s">
        <v>13467</v>
      </c>
      <c r="G674" t="s">
        <v>74</v>
      </c>
      <c r="H674" t="s">
        <v>74</v>
      </c>
      <c r="I674" t="s">
        <v>13468</v>
      </c>
      <c r="J674" t="s">
        <v>1724</v>
      </c>
      <c r="K674" t="s">
        <v>74</v>
      </c>
      <c r="L674" t="s">
        <v>74</v>
      </c>
      <c r="M674" t="s">
        <v>78</v>
      </c>
      <c r="N674" t="s">
        <v>79</v>
      </c>
      <c r="O674" t="s">
        <v>74</v>
      </c>
      <c r="P674" t="s">
        <v>74</v>
      </c>
      <c r="Q674" t="s">
        <v>74</v>
      </c>
      <c r="R674" t="s">
        <v>74</v>
      </c>
      <c r="S674" t="s">
        <v>74</v>
      </c>
      <c r="T674" t="s">
        <v>13469</v>
      </c>
      <c r="U674" t="s">
        <v>13470</v>
      </c>
      <c r="V674" t="s">
        <v>13471</v>
      </c>
      <c r="W674" t="s">
        <v>13472</v>
      </c>
      <c r="X674" t="s">
        <v>13473</v>
      </c>
      <c r="Y674" t="s">
        <v>13474</v>
      </c>
      <c r="Z674" t="s">
        <v>13475</v>
      </c>
      <c r="AA674" t="s">
        <v>13476</v>
      </c>
      <c r="AB674" t="s">
        <v>13477</v>
      </c>
      <c r="AC674" t="s">
        <v>13478</v>
      </c>
      <c r="AD674" t="s">
        <v>13479</v>
      </c>
      <c r="AE674" t="s">
        <v>13480</v>
      </c>
      <c r="AF674" t="s">
        <v>74</v>
      </c>
      <c r="AG674">
        <v>179</v>
      </c>
      <c r="AH674">
        <v>9</v>
      </c>
      <c r="AI674">
        <v>9</v>
      </c>
      <c r="AJ674">
        <v>0</v>
      </c>
      <c r="AK674">
        <v>20</v>
      </c>
      <c r="AL674" t="s">
        <v>1710</v>
      </c>
      <c r="AM674" t="s">
        <v>609</v>
      </c>
      <c r="AN674" t="s">
        <v>1711</v>
      </c>
      <c r="AO674" t="s">
        <v>74</v>
      </c>
      <c r="AP674" t="s">
        <v>1737</v>
      </c>
      <c r="AQ674" t="s">
        <v>74</v>
      </c>
      <c r="AR674" t="s">
        <v>1738</v>
      </c>
      <c r="AS674" t="s">
        <v>1739</v>
      </c>
      <c r="AT674" t="s">
        <v>11892</v>
      </c>
      <c r="AU674">
        <v>2020</v>
      </c>
      <c r="AV674">
        <v>12</v>
      </c>
      <c r="AW674">
        <v>9</v>
      </c>
      <c r="AX674" t="s">
        <v>74</v>
      </c>
      <c r="AY674" t="s">
        <v>74</v>
      </c>
      <c r="AZ674" t="s">
        <v>74</v>
      </c>
      <c r="BA674" t="s">
        <v>74</v>
      </c>
      <c r="BB674" t="s">
        <v>74</v>
      </c>
      <c r="BC674" t="s">
        <v>74</v>
      </c>
      <c r="BD674" t="s">
        <v>13481</v>
      </c>
      <c r="BE674" t="s">
        <v>13482</v>
      </c>
      <c r="BF674" t="str">
        <f>HYPERLINK("http://dx.doi.org/10.1029/2020MS002126","http://dx.doi.org/10.1029/2020MS002126")</f>
        <v>http://dx.doi.org/10.1029/2020MS002126</v>
      </c>
      <c r="BG674" t="s">
        <v>74</v>
      </c>
      <c r="BH674" t="s">
        <v>74</v>
      </c>
      <c r="BI674">
        <v>38</v>
      </c>
      <c r="BJ674" t="s">
        <v>800</v>
      </c>
      <c r="BK674" t="s">
        <v>100</v>
      </c>
      <c r="BL674" t="s">
        <v>800</v>
      </c>
      <c r="BM674" t="s">
        <v>13483</v>
      </c>
      <c r="BN674" t="s">
        <v>74</v>
      </c>
      <c r="BO674" t="s">
        <v>2486</v>
      </c>
      <c r="BP674" t="s">
        <v>74</v>
      </c>
      <c r="BQ674" t="s">
        <v>74</v>
      </c>
      <c r="BR674" t="s">
        <v>104</v>
      </c>
      <c r="BS674" t="s">
        <v>13484</v>
      </c>
      <c r="BT674" t="str">
        <f>HYPERLINK("https%3A%2F%2Fwww.webofscience.com%2Fwos%2Fwoscc%2Ffull-record%2FWOS:000576640100023","View Full Record in Web of Science")</f>
        <v>View Full Record in Web of Science</v>
      </c>
    </row>
    <row r="675" spans="1:72" x14ac:dyDescent="0.15">
      <c r="A675" t="s">
        <v>72</v>
      </c>
      <c r="B675" t="s">
        <v>13485</v>
      </c>
      <c r="C675" t="s">
        <v>74</v>
      </c>
      <c r="D675" t="s">
        <v>74</v>
      </c>
      <c r="E675" t="s">
        <v>74</v>
      </c>
      <c r="F675" t="s">
        <v>13486</v>
      </c>
      <c r="G675" t="s">
        <v>74</v>
      </c>
      <c r="H675" t="s">
        <v>74</v>
      </c>
      <c r="I675" t="s">
        <v>13487</v>
      </c>
      <c r="J675" t="s">
        <v>1747</v>
      </c>
      <c r="K675" t="s">
        <v>74</v>
      </c>
      <c r="L675" t="s">
        <v>74</v>
      </c>
      <c r="M675" t="s">
        <v>78</v>
      </c>
      <c r="N675" t="s">
        <v>79</v>
      </c>
      <c r="O675" t="s">
        <v>74</v>
      </c>
      <c r="P675" t="s">
        <v>74</v>
      </c>
      <c r="Q675" t="s">
        <v>74</v>
      </c>
      <c r="R675" t="s">
        <v>74</v>
      </c>
      <c r="S675" t="s">
        <v>74</v>
      </c>
      <c r="T675" t="s">
        <v>13488</v>
      </c>
      <c r="U675" t="s">
        <v>13489</v>
      </c>
      <c r="V675" t="s">
        <v>13490</v>
      </c>
      <c r="W675" t="s">
        <v>13491</v>
      </c>
      <c r="X675" t="s">
        <v>13492</v>
      </c>
      <c r="Y675" t="s">
        <v>13493</v>
      </c>
      <c r="Z675" t="s">
        <v>13494</v>
      </c>
      <c r="AA675" t="s">
        <v>13495</v>
      </c>
      <c r="AB675" t="s">
        <v>13496</v>
      </c>
      <c r="AC675" t="s">
        <v>13497</v>
      </c>
      <c r="AD675" t="s">
        <v>13498</v>
      </c>
      <c r="AE675" t="s">
        <v>13499</v>
      </c>
      <c r="AF675" t="s">
        <v>74</v>
      </c>
      <c r="AG675">
        <v>47</v>
      </c>
      <c r="AH675">
        <v>21</v>
      </c>
      <c r="AI675">
        <v>25</v>
      </c>
      <c r="AJ675">
        <v>2</v>
      </c>
      <c r="AK675">
        <v>10</v>
      </c>
      <c r="AL675" t="s">
        <v>1710</v>
      </c>
      <c r="AM675" t="s">
        <v>609</v>
      </c>
      <c r="AN675" t="s">
        <v>1711</v>
      </c>
      <c r="AO675" t="s">
        <v>1759</v>
      </c>
      <c r="AP675" t="s">
        <v>1760</v>
      </c>
      <c r="AQ675" t="s">
        <v>74</v>
      </c>
      <c r="AR675" t="s">
        <v>1761</v>
      </c>
      <c r="AS675" t="s">
        <v>1762</v>
      </c>
      <c r="AT675" t="s">
        <v>11892</v>
      </c>
      <c r="AU675">
        <v>2020</v>
      </c>
      <c r="AV675">
        <v>125</v>
      </c>
      <c r="AW675">
        <v>9</v>
      </c>
      <c r="AX675" t="s">
        <v>74</v>
      </c>
      <c r="AY675" t="s">
        <v>74</v>
      </c>
      <c r="AZ675" t="s">
        <v>74</v>
      </c>
      <c r="BA675" t="s">
        <v>74</v>
      </c>
      <c r="BB675" t="s">
        <v>74</v>
      </c>
      <c r="BC675" t="s">
        <v>74</v>
      </c>
      <c r="BD675" t="s">
        <v>13500</v>
      </c>
      <c r="BE675" t="s">
        <v>13501</v>
      </c>
      <c r="BF675" t="str">
        <f>HYPERLINK("http://dx.doi.org/10.1029/2020JC016305","http://dx.doi.org/10.1029/2020JC016305")</f>
        <v>http://dx.doi.org/10.1029/2020JC016305</v>
      </c>
      <c r="BG675" t="s">
        <v>74</v>
      </c>
      <c r="BH675" t="s">
        <v>74</v>
      </c>
      <c r="BI675">
        <v>18</v>
      </c>
      <c r="BJ675" t="s">
        <v>1283</v>
      </c>
      <c r="BK675" t="s">
        <v>100</v>
      </c>
      <c r="BL675" t="s">
        <v>1283</v>
      </c>
      <c r="BM675" t="s">
        <v>13502</v>
      </c>
      <c r="BN675" t="s">
        <v>74</v>
      </c>
      <c r="BO675" t="s">
        <v>3798</v>
      </c>
      <c r="BP675" t="s">
        <v>74</v>
      </c>
      <c r="BQ675" t="s">
        <v>74</v>
      </c>
      <c r="BR675" t="s">
        <v>104</v>
      </c>
      <c r="BS675" t="s">
        <v>13503</v>
      </c>
      <c r="BT675" t="str">
        <f>HYPERLINK("https%3A%2F%2Fwww.webofscience.com%2Fwos%2Fwoscc%2Ffull-record%2FWOS:000576619900038","View Full Record in Web of Science")</f>
        <v>View Full Record in Web of Science</v>
      </c>
    </row>
    <row r="676" spans="1:72" x14ac:dyDescent="0.15">
      <c r="A676" t="s">
        <v>72</v>
      </c>
      <c r="B676" t="s">
        <v>13504</v>
      </c>
      <c r="C676" t="s">
        <v>74</v>
      </c>
      <c r="D676" t="s">
        <v>74</v>
      </c>
      <c r="E676" t="s">
        <v>74</v>
      </c>
      <c r="F676" t="s">
        <v>13505</v>
      </c>
      <c r="G676" t="s">
        <v>74</v>
      </c>
      <c r="H676" t="s">
        <v>74</v>
      </c>
      <c r="I676" t="s">
        <v>13506</v>
      </c>
      <c r="J676" t="s">
        <v>1747</v>
      </c>
      <c r="K676" t="s">
        <v>74</v>
      </c>
      <c r="L676" t="s">
        <v>74</v>
      </c>
      <c r="M676" t="s">
        <v>78</v>
      </c>
      <c r="N676" t="s">
        <v>79</v>
      </c>
      <c r="O676" t="s">
        <v>74</v>
      </c>
      <c r="P676" t="s">
        <v>74</v>
      </c>
      <c r="Q676" t="s">
        <v>74</v>
      </c>
      <c r="R676" t="s">
        <v>74</v>
      </c>
      <c r="S676" t="s">
        <v>74</v>
      </c>
      <c r="T676" t="s">
        <v>13507</v>
      </c>
      <c r="U676" t="s">
        <v>13508</v>
      </c>
      <c r="V676" t="s">
        <v>13509</v>
      </c>
      <c r="W676" t="s">
        <v>13510</v>
      </c>
      <c r="X676" t="s">
        <v>13511</v>
      </c>
      <c r="Y676" t="s">
        <v>13512</v>
      </c>
      <c r="Z676" t="s">
        <v>13513</v>
      </c>
      <c r="AA676" t="s">
        <v>13514</v>
      </c>
      <c r="AB676" t="s">
        <v>13515</v>
      </c>
      <c r="AC676" t="s">
        <v>13516</v>
      </c>
      <c r="AD676" t="s">
        <v>13517</v>
      </c>
      <c r="AE676" t="s">
        <v>13518</v>
      </c>
      <c r="AF676" t="s">
        <v>74</v>
      </c>
      <c r="AG676">
        <v>47</v>
      </c>
      <c r="AH676">
        <v>7</v>
      </c>
      <c r="AI676">
        <v>7</v>
      </c>
      <c r="AJ676">
        <v>1</v>
      </c>
      <c r="AK676">
        <v>9</v>
      </c>
      <c r="AL676" t="s">
        <v>1710</v>
      </c>
      <c r="AM676" t="s">
        <v>609</v>
      </c>
      <c r="AN676" t="s">
        <v>1711</v>
      </c>
      <c r="AO676" t="s">
        <v>1759</v>
      </c>
      <c r="AP676" t="s">
        <v>1760</v>
      </c>
      <c r="AQ676" t="s">
        <v>74</v>
      </c>
      <c r="AR676" t="s">
        <v>1761</v>
      </c>
      <c r="AS676" t="s">
        <v>1762</v>
      </c>
      <c r="AT676" t="s">
        <v>11892</v>
      </c>
      <c r="AU676">
        <v>2020</v>
      </c>
      <c r="AV676">
        <v>125</v>
      </c>
      <c r="AW676">
        <v>9</v>
      </c>
      <c r="AX676" t="s">
        <v>74</v>
      </c>
      <c r="AY676" t="s">
        <v>74</v>
      </c>
      <c r="AZ676" t="s">
        <v>74</v>
      </c>
      <c r="BA676" t="s">
        <v>74</v>
      </c>
      <c r="BB676" t="s">
        <v>74</v>
      </c>
      <c r="BC676" t="s">
        <v>74</v>
      </c>
      <c r="BD676" t="s">
        <v>13519</v>
      </c>
      <c r="BE676" t="s">
        <v>13520</v>
      </c>
      <c r="BF676" t="str">
        <f>HYPERLINK("http://dx.doi.org/10.1029/2020JC016208","http://dx.doi.org/10.1029/2020JC016208")</f>
        <v>http://dx.doi.org/10.1029/2020JC016208</v>
      </c>
      <c r="BG676" t="s">
        <v>74</v>
      </c>
      <c r="BH676" t="s">
        <v>74</v>
      </c>
      <c r="BI676">
        <v>23</v>
      </c>
      <c r="BJ676" t="s">
        <v>1283</v>
      </c>
      <c r="BK676" t="s">
        <v>100</v>
      </c>
      <c r="BL676" t="s">
        <v>1283</v>
      </c>
      <c r="BM676" t="s">
        <v>13502</v>
      </c>
      <c r="BN676" t="s">
        <v>74</v>
      </c>
      <c r="BO676" t="s">
        <v>1794</v>
      </c>
      <c r="BP676" t="s">
        <v>74</v>
      </c>
      <c r="BQ676" t="s">
        <v>74</v>
      </c>
      <c r="BR676" t="s">
        <v>104</v>
      </c>
      <c r="BS676" t="s">
        <v>13521</v>
      </c>
      <c r="BT676" t="str">
        <f>HYPERLINK("https%3A%2F%2Fwww.webofscience.com%2Fwos%2Fwoscc%2Ffull-record%2FWOS:000576619900026","View Full Record in Web of Science")</f>
        <v>View Full Record in Web of Science</v>
      </c>
    </row>
    <row r="677" spans="1:72" x14ac:dyDescent="0.15">
      <c r="A677" t="s">
        <v>72</v>
      </c>
      <c r="B677" t="s">
        <v>13522</v>
      </c>
      <c r="C677" t="s">
        <v>74</v>
      </c>
      <c r="D677" t="s">
        <v>74</v>
      </c>
      <c r="E677" t="s">
        <v>74</v>
      </c>
      <c r="F677" t="s">
        <v>13523</v>
      </c>
      <c r="G677" t="s">
        <v>74</v>
      </c>
      <c r="H677" t="s">
        <v>74</v>
      </c>
      <c r="I677" t="s">
        <v>13524</v>
      </c>
      <c r="J677" t="s">
        <v>1747</v>
      </c>
      <c r="K677" t="s">
        <v>74</v>
      </c>
      <c r="L677" t="s">
        <v>74</v>
      </c>
      <c r="M677" t="s">
        <v>78</v>
      </c>
      <c r="N677" t="s">
        <v>79</v>
      </c>
      <c r="O677" t="s">
        <v>74</v>
      </c>
      <c r="P677" t="s">
        <v>74</v>
      </c>
      <c r="Q677" t="s">
        <v>74</v>
      </c>
      <c r="R677" t="s">
        <v>74</v>
      </c>
      <c r="S677" t="s">
        <v>74</v>
      </c>
      <c r="T677" t="s">
        <v>13525</v>
      </c>
      <c r="U677" t="s">
        <v>13526</v>
      </c>
      <c r="V677" t="s">
        <v>13527</v>
      </c>
      <c r="W677" t="s">
        <v>13528</v>
      </c>
      <c r="X677" t="s">
        <v>13529</v>
      </c>
      <c r="Y677" t="s">
        <v>13530</v>
      </c>
      <c r="Z677" t="s">
        <v>13531</v>
      </c>
      <c r="AA677" t="s">
        <v>74</v>
      </c>
      <c r="AB677" t="s">
        <v>13532</v>
      </c>
      <c r="AC677" t="s">
        <v>13533</v>
      </c>
      <c r="AD677" t="s">
        <v>10628</v>
      </c>
      <c r="AE677" t="s">
        <v>13534</v>
      </c>
      <c r="AF677" t="s">
        <v>74</v>
      </c>
      <c r="AG677">
        <v>96</v>
      </c>
      <c r="AH677">
        <v>6</v>
      </c>
      <c r="AI677">
        <v>7</v>
      </c>
      <c r="AJ677">
        <v>1</v>
      </c>
      <c r="AK677">
        <v>9</v>
      </c>
      <c r="AL677" t="s">
        <v>1710</v>
      </c>
      <c r="AM677" t="s">
        <v>609</v>
      </c>
      <c r="AN677" t="s">
        <v>1711</v>
      </c>
      <c r="AO677" t="s">
        <v>1759</v>
      </c>
      <c r="AP677" t="s">
        <v>1760</v>
      </c>
      <c r="AQ677" t="s">
        <v>74</v>
      </c>
      <c r="AR677" t="s">
        <v>1761</v>
      </c>
      <c r="AS677" t="s">
        <v>1762</v>
      </c>
      <c r="AT677" t="s">
        <v>11892</v>
      </c>
      <c r="AU677">
        <v>2020</v>
      </c>
      <c r="AV677">
        <v>125</v>
      </c>
      <c r="AW677">
        <v>9</v>
      </c>
      <c r="AX677" t="s">
        <v>74</v>
      </c>
      <c r="AY677" t="s">
        <v>74</v>
      </c>
      <c r="AZ677" t="s">
        <v>74</v>
      </c>
      <c r="BA677" t="s">
        <v>74</v>
      </c>
      <c r="BB677" t="s">
        <v>74</v>
      </c>
      <c r="BC677" t="s">
        <v>74</v>
      </c>
      <c r="BD677" t="s">
        <v>13535</v>
      </c>
      <c r="BE677" t="s">
        <v>13536</v>
      </c>
      <c r="BF677" t="str">
        <f>HYPERLINK("http://dx.doi.org/10.1029/2020JC016579","http://dx.doi.org/10.1029/2020JC016579")</f>
        <v>http://dx.doi.org/10.1029/2020JC016579</v>
      </c>
      <c r="BG677" t="s">
        <v>74</v>
      </c>
      <c r="BH677" t="s">
        <v>74</v>
      </c>
      <c r="BI677">
        <v>16</v>
      </c>
      <c r="BJ677" t="s">
        <v>1283</v>
      </c>
      <c r="BK677" t="s">
        <v>100</v>
      </c>
      <c r="BL677" t="s">
        <v>1283</v>
      </c>
      <c r="BM677" t="s">
        <v>13502</v>
      </c>
      <c r="BN677" t="s">
        <v>74</v>
      </c>
      <c r="BO677" t="s">
        <v>1432</v>
      </c>
      <c r="BP677" t="s">
        <v>74</v>
      </c>
      <c r="BQ677" t="s">
        <v>74</v>
      </c>
      <c r="BR677" t="s">
        <v>104</v>
      </c>
      <c r="BS677" t="s">
        <v>13537</v>
      </c>
      <c r="BT677" t="str">
        <f>HYPERLINK("https%3A%2F%2Fwww.webofscience.com%2Fwos%2Fwoscc%2Ffull-record%2FWOS:000576619900002","View Full Record in Web of Science")</f>
        <v>View Full Record in Web of Science</v>
      </c>
    </row>
    <row r="678" spans="1:72" x14ac:dyDescent="0.15">
      <c r="A678" t="s">
        <v>72</v>
      </c>
      <c r="B678" t="s">
        <v>13538</v>
      </c>
      <c r="C678" t="s">
        <v>74</v>
      </c>
      <c r="D678" t="s">
        <v>74</v>
      </c>
      <c r="E678" t="s">
        <v>74</v>
      </c>
      <c r="F678" t="s">
        <v>13539</v>
      </c>
      <c r="G678" t="s">
        <v>74</v>
      </c>
      <c r="H678" t="s">
        <v>74</v>
      </c>
      <c r="I678" t="s">
        <v>13540</v>
      </c>
      <c r="J678" t="s">
        <v>1747</v>
      </c>
      <c r="K678" t="s">
        <v>74</v>
      </c>
      <c r="L678" t="s">
        <v>74</v>
      </c>
      <c r="M678" t="s">
        <v>78</v>
      </c>
      <c r="N678" t="s">
        <v>79</v>
      </c>
      <c r="O678" t="s">
        <v>74</v>
      </c>
      <c r="P678" t="s">
        <v>74</v>
      </c>
      <c r="Q678" t="s">
        <v>74</v>
      </c>
      <c r="R678" t="s">
        <v>74</v>
      </c>
      <c r="S678" t="s">
        <v>74</v>
      </c>
      <c r="T678" t="s">
        <v>13541</v>
      </c>
      <c r="U678" t="s">
        <v>13542</v>
      </c>
      <c r="V678" t="s">
        <v>13543</v>
      </c>
      <c r="W678" t="s">
        <v>13544</v>
      </c>
      <c r="X678" t="s">
        <v>13545</v>
      </c>
      <c r="Y678" t="s">
        <v>13546</v>
      </c>
      <c r="Z678" t="s">
        <v>13547</v>
      </c>
      <c r="AA678" t="s">
        <v>13548</v>
      </c>
      <c r="AB678" t="s">
        <v>13549</v>
      </c>
      <c r="AC678" t="s">
        <v>13550</v>
      </c>
      <c r="AD678" t="s">
        <v>13551</v>
      </c>
      <c r="AE678" t="s">
        <v>13552</v>
      </c>
      <c r="AF678" t="s">
        <v>74</v>
      </c>
      <c r="AG678">
        <v>44</v>
      </c>
      <c r="AH678">
        <v>13</v>
      </c>
      <c r="AI678">
        <v>14</v>
      </c>
      <c r="AJ678">
        <v>1</v>
      </c>
      <c r="AK678">
        <v>20</v>
      </c>
      <c r="AL678" t="s">
        <v>1710</v>
      </c>
      <c r="AM678" t="s">
        <v>609</v>
      </c>
      <c r="AN678" t="s">
        <v>1711</v>
      </c>
      <c r="AO678" t="s">
        <v>1759</v>
      </c>
      <c r="AP678" t="s">
        <v>1760</v>
      </c>
      <c r="AQ678" t="s">
        <v>74</v>
      </c>
      <c r="AR678" t="s">
        <v>1761</v>
      </c>
      <c r="AS678" t="s">
        <v>1762</v>
      </c>
      <c r="AT678" t="s">
        <v>11892</v>
      </c>
      <c r="AU678">
        <v>2020</v>
      </c>
      <c r="AV678">
        <v>125</v>
      </c>
      <c r="AW678">
        <v>9</v>
      </c>
      <c r="AX678" t="s">
        <v>74</v>
      </c>
      <c r="AY678" t="s">
        <v>74</v>
      </c>
      <c r="AZ678" t="s">
        <v>74</v>
      </c>
      <c r="BA678" t="s">
        <v>74</v>
      </c>
      <c r="BB678" t="s">
        <v>74</v>
      </c>
      <c r="BC678" t="s">
        <v>74</v>
      </c>
      <c r="BD678" t="s">
        <v>13553</v>
      </c>
      <c r="BE678" t="s">
        <v>13554</v>
      </c>
      <c r="BF678" t="str">
        <f>HYPERLINK("http://dx.doi.org/10.1029/2020JC016391","http://dx.doi.org/10.1029/2020JC016391")</f>
        <v>http://dx.doi.org/10.1029/2020JC016391</v>
      </c>
      <c r="BG678" t="s">
        <v>74</v>
      </c>
      <c r="BH678" t="s">
        <v>74</v>
      </c>
      <c r="BI678">
        <v>18</v>
      </c>
      <c r="BJ678" t="s">
        <v>1283</v>
      </c>
      <c r="BK678" t="s">
        <v>100</v>
      </c>
      <c r="BL678" t="s">
        <v>1283</v>
      </c>
      <c r="BM678" t="s">
        <v>13502</v>
      </c>
      <c r="BN678" t="s">
        <v>74</v>
      </c>
      <c r="BO678" t="s">
        <v>376</v>
      </c>
      <c r="BP678" t="s">
        <v>74</v>
      </c>
      <c r="BQ678" t="s">
        <v>74</v>
      </c>
      <c r="BR678" t="s">
        <v>104</v>
      </c>
      <c r="BS678" t="s">
        <v>13555</v>
      </c>
      <c r="BT678" t="str">
        <f>HYPERLINK("https%3A%2F%2Fwww.webofscience.com%2Fwos%2Fwoscc%2Ffull-record%2FWOS:000576619900039","View Full Record in Web of Science")</f>
        <v>View Full Record in Web of Science</v>
      </c>
    </row>
    <row r="679" spans="1:72" x14ac:dyDescent="0.15">
      <c r="A679" t="s">
        <v>72</v>
      </c>
      <c r="B679" t="s">
        <v>13556</v>
      </c>
      <c r="C679" t="s">
        <v>74</v>
      </c>
      <c r="D679" t="s">
        <v>74</v>
      </c>
      <c r="E679" t="s">
        <v>74</v>
      </c>
      <c r="F679" t="s">
        <v>13557</v>
      </c>
      <c r="G679" t="s">
        <v>74</v>
      </c>
      <c r="H679" t="s">
        <v>74</v>
      </c>
      <c r="I679" t="s">
        <v>13558</v>
      </c>
      <c r="J679" t="s">
        <v>1985</v>
      </c>
      <c r="K679" t="s">
        <v>74</v>
      </c>
      <c r="L679" t="s">
        <v>74</v>
      </c>
      <c r="M679" t="s">
        <v>78</v>
      </c>
      <c r="N679" t="s">
        <v>79</v>
      </c>
      <c r="O679" t="s">
        <v>74</v>
      </c>
      <c r="P679" t="s">
        <v>74</v>
      </c>
      <c r="Q679" t="s">
        <v>74</v>
      </c>
      <c r="R679" t="s">
        <v>74</v>
      </c>
      <c r="S679" t="s">
        <v>74</v>
      </c>
      <c r="T679" t="s">
        <v>13559</v>
      </c>
      <c r="U679" t="s">
        <v>13560</v>
      </c>
      <c r="V679" t="s">
        <v>13561</v>
      </c>
      <c r="W679" t="s">
        <v>13562</v>
      </c>
      <c r="X679" t="s">
        <v>13563</v>
      </c>
      <c r="Y679" t="s">
        <v>13564</v>
      </c>
      <c r="Z679" t="s">
        <v>13565</v>
      </c>
      <c r="AA679" t="s">
        <v>13566</v>
      </c>
      <c r="AB679" t="s">
        <v>13567</v>
      </c>
      <c r="AC679" t="s">
        <v>13568</v>
      </c>
      <c r="AD679" t="s">
        <v>13569</v>
      </c>
      <c r="AE679" t="s">
        <v>13570</v>
      </c>
      <c r="AF679" t="s">
        <v>74</v>
      </c>
      <c r="AG679">
        <v>41</v>
      </c>
      <c r="AH679">
        <v>5</v>
      </c>
      <c r="AI679">
        <v>5</v>
      </c>
      <c r="AJ679">
        <v>2</v>
      </c>
      <c r="AK679">
        <v>16</v>
      </c>
      <c r="AL679" t="s">
        <v>1710</v>
      </c>
      <c r="AM679" t="s">
        <v>609</v>
      </c>
      <c r="AN679" t="s">
        <v>1711</v>
      </c>
      <c r="AO679" t="s">
        <v>1998</v>
      </c>
      <c r="AP679" t="s">
        <v>1999</v>
      </c>
      <c r="AQ679" t="s">
        <v>74</v>
      </c>
      <c r="AR679" t="s">
        <v>2000</v>
      </c>
      <c r="AS679" t="s">
        <v>2001</v>
      </c>
      <c r="AT679" t="s">
        <v>11892</v>
      </c>
      <c r="AU679">
        <v>2020</v>
      </c>
      <c r="AV679">
        <v>34</v>
      </c>
      <c r="AW679">
        <v>9</v>
      </c>
      <c r="AX679" t="s">
        <v>74</v>
      </c>
      <c r="AY679" t="s">
        <v>74</v>
      </c>
      <c r="AZ679" t="s">
        <v>74</v>
      </c>
      <c r="BA679" t="s">
        <v>74</v>
      </c>
      <c r="BB679" t="s">
        <v>74</v>
      </c>
      <c r="BC679" t="s">
        <v>74</v>
      </c>
      <c r="BD679" t="s">
        <v>13571</v>
      </c>
      <c r="BE679" t="s">
        <v>13572</v>
      </c>
      <c r="BF679" t="str">
        <f>HYPERLINK("http://dx.doi.org/10.1029/2019GB006336","http://dx.doi.org/10.1029/2019GB006336")</f>
        <v>http://dx.doi.org/10.1029/2019GB006336</v>
      </c>
      <c r="BG679" t="s">
        <v>74</v>
      </c>
      <c r="BH679" t="s">
        <v>74</v>
      </c>
      <c r="BI679">
        <v>17</v>
      </c>
      <c r="BJ679" t="s">
        <v>846</v>
      </c>
      <c r="BK679" t="s">
        <v>100</v>
      </c>
      <c r="BL679" t="s">
        <v>847</v>
      </c>
      <c r="BM679" t="s">
        <v>13573</v>
      </c>
      <c r="BN679" t="s">
        <v>74</v>
      </c>
      <c r="BO679" t="s">
        <v>2628</v>
      </c>
      <c r="BP679" t="s">
        <v>74</v>
      </c>
      <c r="BQ679" t="s">
        <v>74</v>
      </c>
      <c r="BR679" t="s">
        <v>104</v>
      </c>
      <c r="BS679" t="s">
        <v>13574</v>
      </c>
      <c r="BT679" t="str">
        <f>HYPERLINK("https%3A%2F%2Fwww.webofscience.com%2Fwos%2Fwoscc%2Ffull-record%2FWOS:000576406900010","View Full Record in Web of Science")</f>
        <v>View Full Record in Web of Science</v>
      </c>
    </row>
    <row r="680" spans="1:72" x14ac:dyDescent="0.15">
      <c r="A680" t="s">
        <v>72</v>
      </c>
      <c r="B680" t="s">
        <v>13575</v>
      </c>
      <c r="C680" t="s">
        <v>74</v>
      </c>
      <c r="D680" t="s">
        <v>74</v>
      </c>
      <c r="E680" t="s">
        <v>74</v>
      </c>
      <c r="F680" t="s">
        <v>13576</v>
      </c>
      <c r="G680" t="s">
        <v>74</v>
      </c>
      <c r="H680" t="s">
        <v>74</v>
      </c>
      <c r="I680" t="s">
        <v>13577</v>
      </c>
      <c r="J680" t="s">
        <v>1985</v>
      </c>
      <c r="K680" t="s">
        <v>74</v>
      </c>
      <c r="L680" t="s">
        <v>74</v>
      </c>
      <c r="M680" t="s">
        <v>78</v>
      </c>
      <c r="N680" t="s">
        <v>79</v>
      </c>
      <c r="O680" t="s">
        <v>74</v>
      </c>
      <c r="P680" t="s">
        <v>74</v>
      </c>
      <c r="Q680" t="s">
        <v>74</v>
      </c>
      <c r="R680" t="s">
        <v>74</v>
      </c>
      <c r="S680" t="s">
        <v>74</v>
      </c>
      <c r="T680" t="s">
        <v>13578</v>
      </c>
      <c r="U680" t="s">
        <v>13579</v>
      </c>
      <c r="V680" t="s">
        <v>13580</v>
      </c>
      <c r="W680" t="s">
        <v>13581</v>
      </c>
      <c r="X680" t="s">
        <v>13582</v>
      </c>
      <c r="Y680" t="s">
        <v>13583</v>
      </c>
      <c r="Z680" t="s">
        <v>13584</v>
      </c>
      <c r="AA680" t="s">
        <v>13585</v>
      </c>
      <c r="AB680" t="s">
        <v>13586</v>
      </c>
      <c r="AC680" t="s">
        <v>13587</v>
      </c>
      <c r="AD680" t="s">
        <v>13588</v>
      </c>
      <c r="AE680" t="s">
        <v>13589</v>
      </c>
      <c r="AF680" t="s">
        <v>74</v>
      </c>
      <c r="AG680">
        <v>88</v>
      </c>
      <c r="AH680">
        <v>5</v>
      </c>
      <c r="AI680">
        <v>5</v>
      </c>
      <c r="AJ680">
        <v>0</v>
      </c>
      <c r="AK680">
        <v>11</v>
      </c>
      <c r="AL680" t="s">
        <v>1710</v>
      </c>
      <c r="AM680" t="s">
        <v>609</v>
      </c>
      <c r="AN680" t="s">
        <v>1711</v>
      </c>
      <c r="AO680" t="s">
        <v>1998</v>
      </c>
      <c r="AP680" t="s">
        <v>1999</v>
      </c>
      <c r="AQ680" t="s">
        <v>74</v>
      </c>
      <c r="AR680" t="s">
        <v>2000</v>
      </c>
      <c r="AS680" t="s">
        <v>2001</v>
      </c>
      <c r="AT680" t="s">
        <v>11892</v>
      </c>
      <c r="AU680">
        <v>2020</v>
      </c>
      <c r="AV680">
        <v>34</v>
      </c>
      <c r="AW680">
        <v>9</v>
      </c>
      <c r="AX680" t="s">
        <v>74</v>
      </c>
      <c r="AY680" t="s">
        <v>74</v>
      </c>
      <c r="AZ680" t="s">
        <v>74</v>
      </c>
      <c r="BA680" t="s">
        <v>74</v>
      </c>
      <c r="BB680" t="s">
        <v>74</v>
      </c>
      <c r="BC680" t="s">
        <v>74</v>
      </c>
      <c r="BD680" t="s">
        <v>13590</v>
      </c>
      <c r="BE680" t="s">
        <v>13591</v>
      </c>
      <c r="BF680" t="str">
        <f>HYPERLINK("http://dx.doi.org/10.1029/2020GB006538","http://dx.doi.org/10.1029/2020GB006538")</f>
        <v>http://dx.doi.org/10.1029/2020GB006538</v>
      </c>
      <c r="BG680" t="s">
        <v>74</v>
      </c>
      <c r="BH680" t="s">
        <v>74</v>
      </c>
      <c r="BI680">
        <v>15</v>
      </c>
      <c r="BJ680" t="s">
        <v>846</v>
      </c>
      <c r="BK680" t="s">
        <v>100</v>
      </c>
      <c r="BL680" t="s">
        <v>847</v>
      </c>
      <c r="BM680" t="s">
        <v>13573</v>
      </c>
      <c r="BN680" t="s">
        <v>74</v>
      </c>
      <c r="BO680" t="s">
        <v>8811</v>
      </c>
      <c r="BP680" t="s">
        <v>74</v>
      </c>
      <c r="BQ680" t="s">
        <v>74</v>
      </c>
      <c r="BR680" t="s">
        <v>104</v>
      </c>
      <c r="BS680" t="s">
        <v>13592</v>
      </c>
      <c r="BT680" t="str">
        <f>HYPERLINK("https%3A%2F%2Fwww.webofscience.com%2Fwos%2Fwoscc%2Ffull-record%2FWOS:000576406900004","View Full Record in Web of Science")</f>
        <v>View Full Record in Web of Science</v>
      </c>
    </row>
    <row r="681" spans="1:72" x14ac:dyDescent="0.15">
      <c r="A681" t="s">
        <v>72</v>
      </c>
      <c r="B681" t="s">
        <v>13593</v>
      </c>
      <c r="C681" t="s">
        <v>74</v>
      </c>
      <c r="D681" t="s">
        <v>74</v>
      </c>
      <c r="E681" t="s">
        <v>74</v>
      </c>
      <c r="F681" t="s">
        <v>13594</v>
      </c>
      <c r="G681" t="s">
        <v>74</v>
      </c>
      <c r="H681" t="s">
        <v>74</v>
      </c>
      <c r="I681" t="s">
        <v>13595</v>
      </c>
      <c r="J681" t="s">
        <v>1985</v>
      </c>
      <c r="K681" t="s">
        <v>74</v>
      </c>
      <c r="L681" t="s">
        <v>74</v>
      </c>
      <c r="M681" t="s">
        <v>78</v>
      </c>
      <c r="N681" t="s">
        <v>79</v>
      </c>
      <c r="O681" t="s">
        <v>74</v>
      </c>
      <c r="P681" t="s">
        <v>74</v>
      </c>
      <c r="Q681" t="s">
        <v>74</v>
      </c>
      <c r="R681" t="s">
        <v>74</v>
      </c>
      <c r="S681" t="s">
        <v>74</v>
      </c>
      <c r="T681" t="s">
        <v>13596</v>
      </c>
      <c r="U681" t="s">
        <v>13597</v>
      </c>
      <c r="V681" t="s">
        <v>13598</v>
      </c>
      <c r="W681" t="s">
        <v>13599</v>
      </c>
      <c r="X681" t="s">
        <v>13600</v>
      </c>
      <c r="Y681" t="s">
        <v>13601</v>
      </c>
      <c r="Z681" t="s">
        <v>13602</v>
      </c>
      <c r="AA681" t="s">
        <v>13603</v>
      </c>
      <c r="AB681" t="s">
        <v>13604</v>
      </c>
      <c r="AC681" t="s">
        <v>13605</v>
      </c>
      <c r="AD681" t="s">
        <v>13606</v>
      </c>
      <c r="AE681" t="s">
        <v>13607</v>
      </c>
      <c r="AF681" t="s">
        <v>74</v>
      </c>
      <c r="AG681">
        <v>81</v>
      </c>
      <c r="AH681">
        <v>6</v>
      </c>
      <c r="AI681">
        <v>6</v>
      </c>
      <c r="AJ681">
        <v>3</v>
      </c>
      <c r="AK681">
        <v>17</v>
      </c>
      <c r="AL681" t="s">
        <v>1710</v>
      </c>
      <c r="AM681" t="s">
        <v>609</v>
      </c>
      <c r="AN681" t="s">
        <v>1711</v>
      </c>
      <c r="AO681" t="s">
        <v>1998</v>
      </c>
      <c r="AP681" t="s">
        <v>1999</v>
      </c>
      <c r="AQ681" t="s">
        <v>74</v>
      </c>
      <c r="AR681" t="s">
        <v>2000</v>
      </c>
      <c r="AS681" t="s">
        <v>2001</v>
      </c>
      <c r="AT681" t="s">
        <v>11892</v>
      </c>
      <c r="AU681">
        <v>2020</v>
      </c>
      <c r="AV681">
        <v>34</v>
      </c>
      <c r="AW681">
        <v>9</v>
      </c>
      <c r="AX681" t="s">
        <v>74</v>
      </c>
      <c r="AY681" t="s">
        <v>74</v>
      </c>
      <c r="AZ681" t="s">
        <v>74</v>
      </c>
      <c r="BA681" t="s">
        <v>74</v>
      </c>
      <c r="BB681" t="s">
        <v>74</v>
      </c>
      <c r="BC681" t="s">
        <v>74</v>
      </c>
      <c r="BD681" t="s">
        <v>13608</v>
      </c>
      <c r="BE681" t="s">
        <v>13609</v>
      </c>
      <c r="BF681" t="str">
        <f>HYPERLINK("http://dx.doi.org/10.1029/2020GB006568","http://dx.doi.org/10.1029/2020GB006568")</f>
        <v>http://dx.doi.org/10.1029/2020GB006568</v>
      </c>
      <c r="BG681" t="s">
        <v>74</v>
      </c>
      <c r="BH681" t="s">
        <v>74</v>
      </c>
      <c r="BI681">
        <v>10</v>
      </c>
      <c r="BJ681" t="s">
        <v>846</v>
      </c>
      <c r="BK681" t="s">
        <v>100</v>
      </c>
      <c r="BL681" t="s">
        <v>847</v>
      </c>
      <c r="BM681" t="s">
        <v>13573</v>
      </c>
      <c r="BN681" t="s">
        <v>74</v>
      </c>
      <c r="BO681" t="s">
        <v>1894</v>
      </c>
      <c r="BP681" t="s">
        <v>74</v>
      </c>
      <c r="BQ681" t="s">
        <v>74</v>
      </c>
      <c r="BR681" t="s">
        <v>104</v>
      </c>
      <c r="BS681" t="s">
        <v>13610</v>
      </c>
      <c r="BT681" t="str">
        <f>HYPERLINK("https%3A%2F%2Fwww.webofscience.com%2Fwos%2Fwoscc%2Ffull-record%2FWOS:000576406900012","View Full Record in Web of Science")</f>
        <v>View Full Record in Web of Science</v>
      </c>
    </row>
    <row r="682" spans="1:72" x14ac:dyDescent="0.15">
      <c r="A682" t="s">
        <v>72</v>
      </c>
      <c r="B682" t="s">
        <v>13611</v>
      </c>
      <c r="C682" t="s">
        <v>74</v>
      </c>
      <c r="D682" t="s">
        <v>74</v>
      </c>
      <c r="E682" t="s">
        <v>74</v>
      </c>
      <c r="F682" t="s">
        <v>13612</v>
      </c>
      <c r="G682" t="s">
        <v>74</v>
      </c>
      <c r="H682" t="s">
        <v>74</v>
      </c>
      <c r="I682" t="s">
        <v>13613</v>
      </c>
      <c r="J682" t="s">
        <v>13614</v>
      </c>
      <c r="K682" t="s">
        <v>74</v>
      </c>
      <c r="L682" t="s">
        <v>74</v>
      </c>
      <c r="M682" t="s">
        <v>78</v>
      </c>
      <c r="N682" t="s">
        <v>79</v>
      </c>
      <c r="O682" t="s">
        <v>74</v>
      </c>
      <c r="P682" t="s">
        <v>74</v>
      </c>
      <c r="Q682" t="s">
        <v>74</v>
      </c>
      <c r="R682" t="s">
        <v>74</v>
      </c>
      <c r="S682" t="s">
        <v>74</v>
      </c>
      <c r="T682" t="s">
        <v>13615</v>
      </c>
      <c r="U682" t="s">
        <v>13616</v>
      </c>
      <c r="V682" t="s">
        <v>13617</v>
      </c>
      <c r="W682" t="s">
        <v>13618</v>
      </c>
      <c r="X682" t="s">
        <v>13619</v>
      </c>
      <c r="Y682" t="s">
        <v>13620</v>
      </c>
      <c r="Z682" t="s">
        <v>13621</v>
      </c>
      <c r="AA682" t="s">
        <v>13622</v>
      </c>
      <c r="AB682" t="s">
        <v>13623</v>
      </c>
      <c r="AC682" t="s">
        <v>13624</v>
      </c>
      <c r="AD682" t="s">
        <v>10628</v>
      </c>
      <c r="AE682" t="s">
        <v>13625</v>
      </c>
      <c r="AF682" t="s">
        <v>74</v>
      </c>
      <c r="AG682">
        <v>67</v>
      </c>
      <c r="AH682">
        <v>6</v>
      </c>
      <c r="AI682">
        <v>7</v>
      </c>
      <c r="AJ682">
        <v>3</v>
      </c>
      <c r="AK682">
        <v>25</v>
      </c>
      <c r="AL682" t="s">
        <v>1710</v>
      </c>
      <c r="AM682" t="s">
        <v>609</v>
      </c>
      <c r="AN682" t="s">
        <v>1711</v>
      </c>
      <c r="AO682" t="s">
        <v>13626</v>
      </c>
      <c r="AP682" t="s">
        <v>13627</v>
      </c>
      <c r="AQ682" t="s">
        <v>74</v>
      </c>
      <c r="AR682" t="s">
        <v>13628</v>
      </c>
      <c r="AS682" t="s">
        <v>13629</v>
      </c>
      <c r="AT682" t="s">
        <v>11892</v>
      </c>
      <c r="AU682">
        <v>2020</v>
      </c>
      <c r="AV682">
        <v>125</v>
      </c>
      <c r="AW682">
        <v>9</v>
      </c>
      <c r="AX682" t="s">
        <v>74</v>
      </c>
      <c r="AY682" t="s">
        <v>74</v>
      </c>
      <c r="AZ682" t="s">
        <v>74</v>
      </c>
      <c r="BA682" t="s">
        <v>74</v>
      </c>
      <c r="BB682" t="s">
        <v>74</v>
      </c>
      <c r="BC682" t="s">
        <v>74</v>
      </c>
      <c r="BD682" t="s">
        <v>13630</v>
      </c>
      <c r="BE682" t="s">
        <v>13631</v>
      </c>
      <c r="BF682" t="str">
        <f>HYPERLINK("http://dx.doi.org/10.1029/2020JG005679","http://dx.doi.org/10.1029/2020JG005679")</f>
        <v>http://dx.doi.org/10.1029/2020JG005679</v>
      </c>
      <c r="BG682" t="s">
        <v>74</v>
      </c>
      <c r="BH682" t="s">
        <v>74</v>
      </c>
      <c r="BI682">
        <v>17</v>
      </c>
      <c r="BJ682" t="s">
        <v>13632</v>
      </c>
      <c r="BK682" t="s">
        <v>100</v>
      </c>
      <c r="BL682" t="s">
        <v>5620</v>
      </c>
      <c r="BM682" t="s">
        <v>13633</v>
      </c>
      <c r="BN682" t="s">
        <v>74</v>
      </c>
      <c r="BO682" t="s">
        <v>74</v>
      </c>
      <c r="BP682" t="s">
        <v>74</v>
      </c>
      <c r="BQ682" t="s">
        <v>74</v>
      </c>
      <c r="BR682" t="s">
        <v>104</v>
      </c>
      <c r="BS682" t="s">
        <v>13634</v>
      </c>
      <c r="BT682" t="str">
        <f>HYPERLINK("https%3A%2F%2Fwww.webofscience.com%2Fwos%2Fwoscc%2Ffull-record%2FWOS:000576409700027","View Full Record in Web of Science")</f>
        <v>View Full Record in Web of Science</v>
      </c>
    </row>
    <row r="683" spans="1:72" x14ac:dyDescent="0.15">
      <c r="A683" t="s">
        <v>72</v>
      </c>
      <c r="B683" t="s">
        <v>13635</v>
      </c>
      <c r="C683" t="s">
        <v>74</v>
      </c>
      <c r="D683" t="s">
        <v>74</v>
      </c>
      <c r="E683" t="s">
        <v>74</v>
      </c>
      <c r="F683" t="s">
        <v>13636</v>
      </c>
      <c r="G683" t="s">
        <v>74</v>
      </c>
      <c r="H683" t="s">
        <v>74</v>
      </c>
      <c r="I683" t="s">
        <v>13637</v>
      </c>
      <c r="J683" t="s">
        <v>13638</v>
      </c>
      <c r="K683" t="s">
        <v>74</v>
      </c>
      <c r="L683" t="s">
        <v>74</v>
      </c>
      <c r="M683" t="s">
        <v>78</v>
      </c>
      <c r="N683" t="s">
        <v>138</v>
      </c>
      <c r="O683" t="s">
        <v>74</v>
      </c>
      <c r="P683" t="s">
        <v>74</v>
      </c>
      <c r="Q683" t="s">
        <v>74</v>
      </c>
      <c r="R683" t="s">
        <v>74</v>
      </c>
      <c r="S683" t="s">
        <v>74</v>
      </c>
      <c r="T683" t="s">
        <v>13639</v>
      </c>
      <c r="U683" t="s">
        <v>13640</v>
      </c>
      <c r="V683" t="s">
        <v>13641</v>
      </c>
      <c r="W683" t="s">
        <v>13642</v>
      </c>
      <c r="X683" t="s">
        <v>13643</v>
      </c>
      <c r="Y683" t="s">
        <v>13644</v>
      </c>
      <c r="Z683" t="s">
        <v>13645</v>
      </c>
      <c r="AA683" t="s">
        <v>13646</v>
      </c>
      <c r="AB683" t="s">
        <v>13647</v>
      </c>
      <c r="AC683" t="s">
        <v>13648</v>
      </c>
      <c r="AD683" t="s">
        <v>13649</v>
      </c>
      <c r="AE683" t="s">
        <v>13650</v>
      </c>
      <c r="AF683" t="s">
        <v>74</v>
      </c>
      <c r="AG683">
        <v>380</v>
      </c>
      <c r="AH683">
        <v>54</v>
      </c>
      <c r="AI683">
        <v>58</v>
      </c>
      <c r="AJ683">
        <v>11</v>
      </c>
      <c r="AK683">
        <v>78</v>
      </c>
      <c r="AL683" t="s">
        <v>1710</v>
      </c>
      <c r="AM683" t="s">
        <v>609</v>
      </c>
      <c r="AN683" t="s">
        <v>1711</v>
      </c>
      <c r="AO683" t="s">
        <v>13651</v>
      </c>
      <c r="AP683" t="s">
        <v>13652</v>
      </c>
      <c r="AQ683" t="s">
        <v>74</v>
      </c>
      <c r="AR683" t="s">
        <v>13653</v>
      </c>
      <c r="AS683" t="s">
        <v>13654</v>
      </c>
      <c r="AT683" t="s">
        <v>11892</v>
      </c>
      <c r="AU683">
        <v>2020</v>
      </c>
      <c r="AV683">
        <v>58</v>
      </c>
      <c r="AW683">
        <v>3</v>
      </c>
      <c r="AX683" t="s">
        <v>74</v>
      </c>
      <c r="AY683" t="s">
        <v>74</v>
      </c>
      <c r="AZ683" t="s">
        <v>74</v>
      </c>
      <c r="BA683" t="s">
        <v>74</v>
      </c>
      <c r="BB683" t="s">
        <v>74</v>
      </c>
      <c r="BC683" t="s">
        <v>74</v>
      </c>
      <c r="BD683" t="s">
        <v>13655</v>
      </c>
      <c r="BE683" t="s">
        <v>13656</v>
      </c>
      <c r="BF683" t="str">
        <f>HYPERLINK("http://dx.doi.org/10.1029/2019RG000672","http://dx.doi.org/10.1029/2019RG000672")</f>
        <v>http://dx.doi.org/10.1029/2019RG000672</v>
      </c>
      <c r="BG683" t="s">
        <v>74</v>
      </c>
      <c r="BH683" t="s">
        <v>74</v>
      </c>
      <c r="BI683">
        <v>39</v>
      </c>
      <c r="BJ683" t="s">
        <v>1361</v>
      </c>
      <c r="BK683" t="s">
        <v>100</v>
      </c>
      <c r="BL683" t="s">
        <v>1361</v>
      </c>
      <c r="BM683" t="s">
        <v>13657</v>
      </c>
      <c r="BN683">
        <v>32879921</v>
      </c>
      <c r="BO683" t="s">
        <v>1259</v>
      </c>
      <c r="BP683" t="s">
        <v>74</v>
      </c>
      <c r="BQ683" t="s">
        <v>74</v>
      </c>
      <c r="BR683" t="s">
        <v>104</v>
      </c>
      <c r="BS683" t="s">
        <v>13658</v>
      </c>
      <c r="BT683" t="str">
        <f>HYPERLINK("https%3A%2F%2Fwww.webofscience.com%2Fwos%2Fwoscc%2Ffull-record%2FWOS:000576409200005","View Full Record in Web of Science")</f>
        <v>View Full Record in Web of Science</v>
      </c>
    </row>
    <row r="684" spans="1:72" x14ac:dyDescent="0.15">
      <c r="A684" t="s">
        <v>72</v>
      </c>
      <c r="B684" t="s">
        <v>13659</v>
      </c>
      <c r="C684" t="s">
        <v>74</v>
      </c>
      <c r="D684" t="s">
        <v>74</v>
      </c>
      <c r="E684" t="s">
        <v>74</v>
      </c>
      <c r="F684" t="s">
        <v>13660</v>
      </c>
      <c r="G684" t="s">
        <v>74</v>
      </c>
      <c r="H684" t="s">
        <v>74</v>
      </c>
      <c r="I684" t="s">
        <v>13661</v>
      </c>
      <c r="J684" t="s">
        <v>2405</v>
      </c>
      <c r="K684" t="s">
        <v>74</v>
      </c>
      <c r="L684" t="s">
        <v>74</v>
      </c>
      <c r="M684" t="s">
        <v>78</v>
      </c>
      <c r="N684" t="s">
        <v>79</v>
      </c>
      <c r="O684" t="s">
        <v>74</v>
      </c>
      <c r="P684" t="s">
        <v>74</v>
      </c>
      <c r="Q684" t="s">
        <v>74</v>
      </c>
      <c r="R684" t="s">
        <v>74</v>
      </c>
      <c r="S684" t="s">
        <v>74</v>
      </c>
      <c r="T684" t="s">
        <v>13662</v>
      </c>
      <c r="U684" t="s">
        <v>13663</v>
      </c>
      <c r="V684" t="s">
        <v>13664</v>
      </c>
      <c r="W684" t="s">
        <v>13665</v>
      </c>
      <c r="X684" t="s">
        <v>13666</v>
      </c>
      <c r="Y684" t="s">
        <v>13667</v>
      </c>
      <c r="Z684" t="s">
        <v>13668</v>
      </c>
      <c r="AA684" t="s">
        <v>13669</v>
      </c>
      <c r="AB684" t="s">
        <v>13670</v>
      </c>
      <c r="AC684" t="s">
        <v>13671</v>
      </c>
      <c r="AD684" t="s">
        <v>13672</v>
      </c>
      <c r="AE684" t="s">
        <v>13673</v>
      </c>
      <c r="AF684" t="s">
        <v>74</v>
      </c>
      <c r="AG684">
        <v>89</v>
      </c>
      <c r="AH684">
        <v>33</v>
      </c>
      <c r="AI684">
        <v>34</v>
      </c>
      <c r="AJ684">
        <v>1</v>
      </c>
      <c r="AK684">
        <v>14</v>
      </c>
      <c r="AL684" t="s">
        <v>275</v>
      </c>
      <c r="AM684" t="s">
        <v>276</v>
      </c>
      <c r="AN684" t="s">
        <v>277</v>
      </c>
      <c r="AO684" t="s">
        <v>2418</v>
      </c>
      <c r="AP684" t="s">
        <v>2419</v>
      </c>
      <c r="AQ684" t="s">
        <v>74</v>
      </c>
      <c r="AR684" t="s">
        <v>2420</v>
      </c>
      <c r="AS684" t="s">
        <v>2421</v>
      </c>
      <c r="AT684" t="s">
        <v>11892</v>
      </c>
      <c r="AU684">
        <v>2020</v>
      </c>
      <c r="AV684">
        <v>208</v>
      </c>
      <c r="AW684" t="s">
        <v>74</v>
      </c>
      <c r="AX684" t="s">
        <v>74</v>
      </c>
      <c r="AY684" t="s">
        <v>74</v>
      </c>
      <c r="AZ684" t="s">
        <v>74</v>
      </c>
      <c r="BA684" t="s">
        <v>74</v>
      </c>
      <c r="BB684" t="s">
        <v>74</v>
      </c>
      <c r="BC684" t="s">
        <v>74</v>
      </c>
      <c r="BD684">
        <v>103293</v>
      </c>
      <c r="BE684" t="s">
        <v>13674</v>
      </c>
      <c r="BF684" t="str">
        <f>HYPERLINK("http://dx.doi.org/10.1016/j.earscirev.2020.103293","http://dx.doi.org/10.1016/j.earscirev.2020.103293")</f>
        <v>http://dx.doi.org/10.1016/j.earscirev.2020.103293</v>
      </c>
      <c r="BG684" t="s">
        <v>74</v>
      </c>
      <c r="BH684" t="s">
        <v>74</v>
      </c>
      <c r="BI684">
        <v>21</v>
      </c>
      <c r="BJ684" t="s">
        <v>534</v>
      </c>
      <c r="BK684" t="s">
        <v>100</v>
      </c>
      <c r="BL684" t="s">
        <v>535</v>
      </c>
      <c r="BM684" t="s">
        <v>13675</v>
      </c>
      <c r="BN684" t="s">
        <v>74</v>
      </c>
      <c r="BO684" t="s">
        <v>74</v>
      </c>
      <c r="BP684" t="s">
        <v>74</v>
      </c>
      <c r="BQ684" t="s">
        <v>74</v>
      </c>
      <c r="BR684" t="s">
        <v>104</v>
      </c>
      <c r="BS684" t="s">
        <v>13676</v>
      </c>
      <c r="BT684" t="str">
        <f>HYPERLINK("https%3A%2F%2Fwww.webofscience.com%2Fwos%2Fwoscc%2Ffull-record%2FWOS:000575847500006","View Full Record in Web of Science")</f>
        <v>View Full Record in Web of Science</v>
      </c>
    </row>
    <row r="685" spans="1:72" x14ac:dyDescent="0.15">
      <c r="A685" t="s">
        <v>72</v>
      </c>
      <c r="B685" t="s">
        <v>13677</v>
      </c>
      <c r="C685" t="s">
        <v>74</v>
      </c>
      <c r="D685" t="s">
        <v>74</v>
      </c>
      <c r="E685" t="s">
        <v>74</v>
      </c>
      <c r="F685" t="s">
        <v>13678</v>
      </c>
      <c r="G685" t="s">
        <v>74</v>
      </c>
      <c r="H685" t="s">
        <v>74</v>
      </c>
      <c r="I685" t="s">
        <v>13679</v>
      </c>
      <c r="J685" t="s">
        <v>3046</v>
      </c>
      <c r="K685" t="s">
        <v>74</v>
      </c>
      <c r="L685" t="s">
        <v>74</v>
      </c>
      <c r="M685" t="s">
        <v>78</v>
      </c>
      <c r="N685" t="s">
        <v>79</v>
      </c>
      <c r="O685" t="s">
        <v>74</v>
      </c>
      <c r="P685" t="s">
        <v>74</v>
      </c>
      <c r="Q685" t="s">
        <v>74</v>
      </c>
      <c r="R685" t="s">
        <v>74</v>
      </c>
      <c r="S685" t="s">
        <v>74</v>
      </c>
      <c r="T685" t="s">
        <v>74</v>
      </c>
      <c r="U685" t="s">
        <v>13680</v>
      </c>
      <c r="V685" t="s">
        <v>13681</v>
      </c>
      <c r="W685" t="s">
        <v>13682</v>
      </c>
      <c r="X685" t="s">
        <v>13683</v>
      </c>
      <c r="Y685" t="s">
        <v>13684</v>
      </c>
      <c r="Z685" t="s">
        <v>13685</v>
      </c>
      <c r="AA685" t="s">
        <v>74</v>
      </c>
      <c r="AB685" t="s">
        <v>13686</v>
      </c>
      <c r="AC685" t="s">
        <v>13687</v>
      </c>
      <c r="AD685" t="s">
        <v>13688</v>
      </c>
      <c r="AE685" t="s">
        <v>13689</v>
      </c>
      <c r="AF685" t="s">
        <v>74</v>
      </c>
      <c r="AG685">
        <v>28</v>
      </c>
      <c r="AH685">
        <v>40</v>
      </c>
      <c r="AI685">
        <v>45</v>
      </c>
      <c r="AJ685">
        <v>1</v>
      </c>
      <c r="AK685">
        <v>18</v>
      </c>
      <c r="AL685" t="s">
        <v>608</v>
      </c>
      <c r="AM685" t="s">
        <v>609</v>
      </c>
      <c r="AN685" t="s">
        <v>610</v>
      </c>
      <c r="AO685" t="s">
        <v>3058</v>
      </c>
      <c r="AP685" t="s">
        <v>74</v>
      </c>
      <c r="AQ685" t="s">
        <v>74</v>
      </c>
      <c r="AR685" t="s">
        <v>3059</v>
      </c>
      <c r="AS685" t="s">
        <v>3060</v>
      </c>
      <c r="AT685" t="s">
        <v>11892</v>
      </c>
      <c r="AU685">
        <v>2020</v>
      </c>
      <c r="AV685">
        <v>6</v>
      </c>
      <c r="AW685">
        <v>39</v>
      </c>
      <c r="AX685" t="s">
        <v>74</v>
      </c>
      <c r="AY685" t="s">
        <v>74</v>
      </c>
      <c r="AZ685" t="s">
        <v>74</v>
      </c>
      <c r="BA685" t="s">
        <v>74</v>
      </c>
      <c r="BB685" t="s">
        <v>74</v>
      </c>
      <c r="BC685" t="s">
        <v>74</v>
      </c>
      <c r="BD685" t="s">
        <v>13690</v>
      </c>
      <c r="BE685" t="s">
        <v>13691</v>
      </c>
      <c r="BF685" t="str">
        <f>HYPERLINK("http://dx.doi.org/10.1126/sciadv.aaz1169","http://dx.doi.org/10.1126/sciadv.aaz1169")</f>
        <v>http://dx.doi.org/10.1126/sciadv.aaz1169</v>
      </c>
      <c r="BG685" t="s">
        <v>74</v>
      </c>
      <c r="BH685" t="s">
        <v>74</v>
      </c>
      <c r="BI685">
        <v>8</v>
      </c>
      <c r="BJ685" t="s">
        <v>329</v>
      </c>
      <c r="BK685" t="s">
        <v>100</v>
      </c>
      <c r="BL685" t="s">
        <v>330</v>
      </c>
      <c r="BM685" t="s">
        <v>13692</v>
      </c>
      <c r="BN685">
        <v>32967838</v>
      </c>
      <c r="BO685" t="s">
        <v>332</v>
      </c>
      <c r="BP685" t="s">
        <v>74</v>
      </c>
      <c r="BQ685" t="s">
        <v>74</v>
      </c>
      <c r="BR685" t="s">
        <v>104</v>
      </c>
      <c r="BS685" t="s">
        <v>13693</v>
      </c>
      <c r="BT685" t="str">
        <f>HYPERLINK("https%3A%2F%2Fwww.webofscience.com%2Fwos%2Fwoscc%2Ffull-record%2FWOS:000575531700002","View Full Record in Web of Science")</f>
        <v>View Full Record in Web of Science</v>
      </c>
    </row>
    <row r="686" spans="1:72" x14ac:dyDescent="0.15">
      <c r="A686" t="s">
        <v>72</v>
      </c>
      <c r="B686" t="s">
        <v>13694</v>
      </c>
      <c r="C686" t="s">
        <v>74</v>
      </c>
      <c r="D686" t="s">
        <v>74</v>
      </c>
      <c r="E686" t="s">
        <v>74</v>
      </c>
      <c r="F686" t="s">
        <v>13695</v>
      </c>
      <c r="G686" t="s">
        <v>74</v>
      </c>
      <c r="H686" t="s">
        <v>74</v>
      </c>
      <c r="I686" t="s">
        <v>13696</v>
      </c>
      <c r="J686" t="s">
        <v>13697</v>
      </c>
      <c r="K686" t="s">
        <v>74</v>
      </c>
      <c r="L686" t="s">
        <v>74</v>
      </c>
      <c r="M686" t="s">
        <v>78</v>
      </c>
      <c r="N686" t="s">
        <v>79</v>
      </c>
      <c r="O686" t="s">
        <v>74</v>
      </c>
      <c r="P686" t="s">
        <v>74</v>
      </c>
      <c r="Q686" t="s">
        <v>74</v>
      </c>
      <c r="R686" t="s">
        <v>74</v>
      </c>
      <c r="S686" t="s">
        <v>74</v>
      </c>
      <c r="T686" t="s">
        <v>13698</v>
      </c>
      <c r="U686" t="s">
        <v>13699</v>
      </c>
      <c r="V686" t="s">
        <v>13700</v>
      </c>
      <c r="W686" t="s">
        <v>13701</v>
      </c>
      <c r="X686" t="s">
        <v>13702</v>
      </c>
      <c r="Y686" t="s">
        <v>13703</v>
      </c>
      <c r="Z686" t="s">
        <v>13704</v>
      </c>
      <c r="AA686" t="s">
        <v>13705</v>
      </c>
      <c r="AB686" t="s">
        <v>13706</v>
      </c>
      <c r="AC686" t="s">
        <v>13707</v>
      </c>
      <c r="AD686" t="s">
        <v>13708</v>
      </c>
      <c r="AE686" t="s">
        <v>13709</v>
      </c>
      <c r="AF686" t="s">
        <v>74</v>
      </c>
      <c r="AG686">
        <v>101</v>
      </c>
      <c r="AH686">
        <v>28</v>
      </c>
      <c r="AI686">
        <v>29</v>
      </c>
      <c r="AJ686">
        <v>10</v>
      </c>
      <c r="AK686">
        <v>53</v>
      </c>
      <c r="AL686" t="s">
        <v>1546</v>
      </c>
      <c r="AM686" t="s">
        <v>1547</v>
      </c>
      <c r="AN686" t="s">
        <v>1548</v>
      </c>
      <c r="AO686" t="s">
        <v>13710</v>
      </c>
      <c r="AP686" t="s">
        <v>13711</v>
      </c>
      <c r="AQ686" t="s">
        <v>74</v>
      </c>
      <c r="AR686" t="s">
        <v>13712</v>
      </c>
      <c r="AS686" t="s">
        <v>13713</v>
      </c>
      <c r="AT686" t="s">
        <v>11892</v>
      </c>
      <c r="AU686">
        <v>2020</v>
      </c>
      <c r="AV686">
        <v>43</v>
      </c>
      <c r="AW686">
        <v>5</v>
      </c>
      <c r="AX686" t="s">
        <v>74</v>
      </c>
      <c r="AY686" t="s">
        <v>74</v>
      </c>
      <c r="AZ686" t="s">
        <v>74</v>
      </c>
      <c r="BA686" t="s">
        <v>74</v>
      </c>
      <c r="BB686" t="s">
        <v>74</v>
      </c>
      <c r="BC686" t="s">
        <v>74</v>
      </c>
      <c r="BD686">
        <v>126112</v>
      </c>
      <c r="BE686" t="s">
        <v>13714</v>
      </c>
      <c r="BF686" t="str">
        <f>HYPERLINK("http://dx.doi.org/10.1016/j.syapm.2020.126112","http://dx.doi.org/10.1016/j.syapm.2020.126112")</f>
        <v>http://dx.doi.org/10.1016/j.syapm.2020.126112</v>
      </c>
      <c r="BG686" t="s">
        <v>74</v>
      </c>
      <c r="BH686" t="s">
        <v>74</v>
      </c>
      <c r="BI686">
        <v>12</v>
      </c>
      <c r="BJ686" t="s">
        <v>13715</v>
      </c>
      <c r="BK686" t="s">
        <v>100</v>
      </c>
      <c r="BL686" t="s">
        <v>13715</v>
      </c>
      <c r="BM686" t="s">
        <v>13716</v>
      </c>
      <c r="BN686">
        <v>32847787</v>
      </c>
      <c r="BO686" t="s">
        <v>74</v>
      </c>
      <c r="BP686" t="s">
        <v>74</v>
      </c>
      <c r="BQ686" t="s">
        <v>74</v>
      </c>
      <c r="BR686" t="s">
        <v>104</v>
      </c>
      <c r="BS686" t="s">
        <v>13717</v>
      </c>
      <c r="BT686" t="str">
        <f>HYPERLINK("https%3A%2F%2Fwww.webofscience.com%2Fwos%2Fwoscc%2Ffull-record%2FWOS:000574879000017","View Full Record in Web of Science")</f>
        <v>View Full Record in Web of Science</v>
      </c>
    </row>
    <row r="687" spans="1:72" x14ac:dyDescent="0.15">
      <c r="A687" t="s">
        <v>72</v>
      </c>
      <c r="B687" t="s">
        <v>13718</v>
      </c>
      <c r="C687" t="s">
        <v>74</v>
      </c>
      <c r="D687" t="s">
        <v>74</v>
      </c>
      <c r="E687" t="s">
        <v>74</v>
      </c>
      <c r="F687" t="s">
        <v>13719</v>
      </c>
      <c r="G687" t="s">
        <v>74</v>
      </c>
      <c r="H687" t="s">
        <v>74</v>
      </c>
      <c r="I687" t="s">
        <v>13720</v>
      </c>
      <c r="J687" t="s">
        <v>13721</v>
      </c>
      <c r="K687" t="s">
        <v>74</v>
      </c>
      <c r="L687" t="s">
        <v>74</v>
      </c>
      <c r="M687" t="s">
        <v>78</v>
      </c>
      <c r="N687" t="s">
        <v>79</v>
      </c>
      <c r="O687" t="s">
        <v>74</v>
      </c>
      <c r="P687" t="s">
        <v>74</v>
      </c>
      <c r="Q687" t="s">
        <v>74</v>
      </c>
      <c r="R687" t="s">
        <v>74</v>
      </c>
      <c r="S687" t="s">
        <v>74</v>
      </c>
      <c r="T687" t="s">
        <v>13722</v>
      </c>
      <c r="U687" t="s">
        <v>13723</v>
      </c>
      <c r="V687" t="s">
        <v>13724</v>
      </c>
      <c r="W687" t="s">
        <v>13725</v>
      </c>
      <c r="X687" t="s">
        <v>13726</v>
      </c>
      <c r="Y687" t="s">
        <v>13727</v>
      </c>
      <c r="Z687" t="s">
        <v>13728</v>
      </c>
      <c r="AA687" t="s">
        <v>13729</v>
      </c>
      <c r="AB687" t="s">
        <v>13730</v>
      </c>
      <c r="AC687" t="s">
        <v>13731</v>
      </c>
      <c r="AD687" t="s">
        <v>13732</v>
      </c>
      <c r="AE687" t="s">
        <v>13733</v>
      </c>
      <c r="AF687" t="s">
        <v>74</v>
      </c>
      <c r="AG687">
        <v>28</v>
      </c>
      <c r="AH687">
        <v>6</v>
      </c>
      <c r="AI687">
        <v>9</v>
      </c>
      <c r="AJ687">
        <v>1</v>
      </c>
      <c r="AK687">
        <v>9</v>
      </c>
      <c r="AL687" t="s">
        <v>13184</v>
      </c>
      <c r="AM687" t="s">
        <v>483</v>
      </c>
      <c r="AN687" t="s">
        <v>13185</v>
      </c>
      <c r="AO687" t="s">
        <v>13734</v>
      </c>
      <c r="AP687" t="s">
        <v>13735</v>
      </c>
      <c r="AQ687" t="s">
        <v>74</v>
      </c>
      <c r="AR687" t="s">
        <v>13736</v>
      </c>
      <c r="AS687" t="s">
        <v>229</v>
      </c>
      <c r="AT687" t="s">
        <v>11892</v>
      </c>
      <c r="AU687">
        <v>2020</v>
      </c>
      <c r="AV687">
        <v>89</v>
      </c>
      <c r="AW687">
        <v>5</v>
      </c>
      <c r="AX687" t="s">
        <v>74</v>
      </c>
      <c r="AY687" t="s">
        <v>74</v>
      </c>
      <c r="AZ687" t="s">
        <v>74</v>
      </c>
      <c r="BA687" t="s">
        <v>74</v>
      </c>
      <c r="BB687">
        <v>574</v>
      </c>
      <c r="BC687">
        <v>584</v>
      </c>
      <c r="BD687" t="s">
        <v>74</v>
      </c>
      <c r="BE687" t="s">
        <v>13737</v>
      </c>
      <c r="BF687" t="str">
        <f>HYPERLINK("http://dx.doi.org/10.1134/S0026261720050136","http://dx.doi.org/10.1134/S0026261720050136")</f>
        <v>http://dx.doi.org/10.1134/S0026261720050136</v>
      </c>
      <c r="BG687" t="s">
        <v>74</v>
      </c>
      <c r="BH687" t="s">
        <v>74</v>
      </c>
      <c r="BI687">
        <v>11</v>
      </c>
      <c r="BJ687" t="s">
        <v>229</v>
      </c>
      <c r="BK687" t="s">
        <v>100</v>
      </c>
      <c r="BL687" t="s">
        <v>229</v>
      </c>
      <c r="BM687" t="s">
        <v>13738</v>
      </c>
      <c r="BN687" t="s">
        <v>74</v>
      </c>
      <c r="BO687" t="s">
        <v>74</v>
      </c>
      <c r="BP687" t="s">
        <v>74</v>
      </c>
      <c r="BQ687" t="s">
        <v>74</v>
      </c>
      <c r="BR687" t="s">
        <v>104</v>
      </c>
      <c r="BS687" t="s">
        <v>13739</v>
      </c>
      <c r="BT687" t="str">
        <f>HYPERLINK("https%3A%2F%2Fwww.webofscience.com%2Fwos%2Fwoscc%2Ffull-record%2FWOS:000574239100008","View Full Record in Web of Science")</f>
        <v>View Full Record in Web of Science</v>
      </c>
    </row>
    <row r="688" spans="1:72" x14ac:dyDescent="0.15">
      <c r="A688" t="s">
        <v>72</v>
      </c>
      <c r="B688" t="s">
        <v>13740</v>
      </c>
      <c r="C688" t="s">
        <v>74</v>
      </c>
      <c r="D688" t="s">
        <v>74</v>
      </c>
      <c r="E688" t="s">
        <v>74</v>
      </c>
      <c r="F688" t="s">
        <v>13741</v>
      </c>
      <c r="G688" t="s">
        <v>74</v>
      </c>
      <c r="H688" t="s">
        <v>74</v>
      </c>
      <c r="I688" t="s">
        <v>13742</v>
      </c>
      <c r="J688" t="s">
        <v>1605</v>
      </c>
      <c r="K688" t="s">
        <v>74</v>
      </c>
      <c r="L688" t="s">
        <v>74</v>
      </c>
      <c r="M688" t="s">
        <v>78</v>
      </c>
      <c r="N688" t="s">
        <v>79</v>
      </c>
      <c r="O688" t="s">
        <v>74</v>
      </c>
      <c r="P688" t="s">
        <v>74</v>
      </c>
      <c r="Q688" t="s">
        <v>74</v>
      </c>
      <c r="R688" t="s">
        <v>74</v>
      </c>
      <c r="S688" t="s">
        <v>74</v>
      </c>
      <c r="T688" t="s">
        <v>13743</v>
      </c>
      <c r="U688" t="s">
        <v>13744</v>
      </c>
      <c r="V688" t="s">
        <v>13745</v>
      </c>
      <c r="W688" t="s">
        <v>13746</v>
      </c>
      <c r="X688" t="s">
        <v>13747</v>
      </c>
      <c r="Y688" t="s">
        <v>13748</v>
      </c>
      <c r="Z688" t="s">
        <v>13749</v>
      </c>
      <c r="AA688" t="s">
        <v>13750</v>
      </c>
      <c r="AB688" t="s">
        <v>13751</v>
      </c>
      <c r="AC688" t="s">
        <v>13752</v>
      </c>
      <c r="AD688" t="s">
        <v>13753</v>
      </c>
      <c r="AE688" t="s">
        <v>13754</v>
      </c>
      <c r="AF688" t="s">
        <v>74</v>
      </c>
      <c r="AG688">
        <v>79</v>
      </c>
      <c r="AH688">
        <v>7</v>
      </c>
      <c r="AI688">
        <v>7</v>
      </c>
      <c r="AJ688">
        <v>1</v>
      </c>
      <c r="AK688">
        <v>38</v>
      </c>
      <c r="AL688" t="s">
        <v>1522</v>
      </c>
      <c r="AM688" t="s">
        <v>1407</v>
      </c>
      <c r="AN688" t="s">
        <v>1523</v>
      </c>
      <c r="AO688" t="s">
        <v>1618</v>
      </c>
      <c r="AP688" t="s">
        <v>1619</v>
      </c>
      <c r="AQ688" t="s">
        <v>74</v>
      </c>
      <c r="AR688" t="s">
        <v>1620</v>
      </c>
      <c r="AS688" t="s">
        <v>1621</v>
      </c>
      <c r="AT688" t="s">
        <v>11892</v>
      </c>
      <c r="AU688">
        <v>2020</v>
      </c>
      <c r="AV688">
        <v>163</v>
      </c>
      <c r="AW688" t="s">
        <v>74</v>
      </c>
      <c r="AX688" t="s">
        <v>74</v>
      </c>
      <c r="AY688" t="s">
        <v>74</v>
      </c>
      <c r="AZ688" t="s">
        <v>74</v>
      </c>
      <c r="BA688" t="s">
        <v>74</v>
      </c>
      <c r="BB688" t="s">
        <v>74</v>
      </c>
      <c r="BC688" t="s">
        <v>74</v>
      </c>
      <c r="BD688">
        <v>103347</v>
      </c>
      <c r="BE688" t="s">
        <v>13755</v>
      </c>
      <c r="BF688" t="str">
        <f>HYPERLINK("http://dx.doi.org/10.1016/j.dsr.2020.103347","http://dx.doi.org/10.1016/j.dsr.2020.103347")</f>
        <v>http://dx.doi.org/10.1016/j.dsr.2020.103347</v>
      </c>
      <c r="BG688" t="s">
        <v>74</v>
      </c>
      <c r="BH688" t="s">
        <v>74</v>
      </c>
      <c r="BI688">
        <v>12</v>
      </c>
      <c r="BJ688" t="s">
        <v>1283</v>
      </c>
      <c r="BK688" t="s">
        <v>100</v>
      </c>
      <c r="BL688" t="s">
        <v>1283</v>
      </c>
      <c r="BM688" t="s">
        <v>13756</v>
      </c>
      <c r="BN688" t="s">
        <v>74</v>
      </c>
      <c r="BO688" t="s">
        <v>13757</v>
      </c>
      <c r="BP688" t="s">
        <v>74</v>
      </c>
      <c r="BQ688" t="s">
        <v>74</v>
      </c>
      <c r="BR688" t="s">
        <v>104</v>
      </c>
      <c r="BS688" t="s">
        <v>13758</v>
      </c>
      <c r="BT688" t="str">
        <f>HYPERLINK("https%3A%2F%2Fwww.webofscience.com%2Fwos%2Fwoscc%2Ffull-record%2FWOS:000573225400002","View Full Record in Web of Science")</f>
        <v>View Full Record in Web of Science</v>
      </c>
    </row>
    <row r="689" spans="1:72" x14ac:dyDescent="0.15">
      <c r="A689" t="s">
        <v>72</v>
      </c>
      <c r="B689" t="s">
        <v>13759</v>
      </c>
      <c r="C689" t="s">
        <v>74</v>
      </c>
      <c r="D689" t="s">
        <v>74</v>
      </c>
      <c r="E689" t="s">
        <v>74</v>
      </c>
      <c r="F689" t="s">
        <v>13760</v>
      </c>
      <c r="G689" t="s">
        <v>74</v>
      </c>
      <c r="H689" t="s">
        <v>74</v>
      </c>
      <c r="I689" t="s">
        <v>13761</v>
      </c>
      <c r="J689" t="s">
        <v>13762</v>
      </c>
      <c r="K689" t="s">
        <v>74</v>
      </c>
      <c r="L689" t="s">
        <v>74</v>
      </c>
      <c r="M689" t="s">
        <v>78</v>
      </c>
      <c r="N689" t="s">
        <v>79</v>
      </c>
      <c r="O689" t="s">
        <v>74</v>
      </c>
      <c r="P689" t="s">
        <v>74</v>
      </c>
      <c r="Q689" t="s">
        <v>74</v>
      </c>
      <c r="R689" t="s">
        <v>74</v>
      </c>
      <c r="S689" t="s">
        <v>74</v>
      </c>
      <c r="T689" t="s">
        <v>13763</v>
      </c>
      <c r="U689" t="s">
        <v>13764</v>
      </c>
      <c r="V689" t="s">
        <v>13765</v>
      </c>
      <c r="W689" t="s">
        <v>13766</v>
      </c>
      <c r="X689" t="s">
        <v>13767</v>
      </c>
      <c r="Y689" t="s">
        <v>13768</v>
      </c>
      <c r="Z689" t="s">
        <v>74</v>
      </c>
      <c r="AA689" t="s">
        <v>13769</v>
      </c>
      <c r="AB689" t="s">
        <v>13770</v>
      </c>
      <c r="AC689" t="s">
        <v>13771</v>
      </c>
      <c r="AD689" t="s">
        <v>13772</v>
      </c>
      <c r="AE689" t="s">
        <v>13773</v>
      </c>
      <c r="AF689" t="s">
        <v>74</v>
      </c>
      <c r="AG689">
        <v>86</v>
      </c>
      <c r="AH689">
        <v>9</v>
      </c>
      <c r="AI689">
        <v>10</v>
      </c>
      <c r="AJ689">
        <v>3</v>
      </c>
      <c r="AK689">
        <v>9</v>
      </c>
      <c r="AL689" t="s">
        <v>1572</v>
      </c>
      <c r="AM689" t="s">
        <v>1407</v>
      </c>
      <c r="AN689" t="s">
        <v>1573</v>
      </c>
      <c r="AO689" t="s">
        <v>13774</v>
      </c>
      <c r="AP689" t="s">
        <v>74</v>
      </c>
      <c r="AQ689" t="s">
        <v>74</v>
      </c>
      <c r="AR689" t="s">
        <v>13762</v>
      </c>
      <c r="AS689" t="s">
        <v>13775</v>
      </c>
      <c r="AT689" t="s">
        <v>11892</v>
      </c>
      <c r="AU689">
        <v>2020</v>
      </c>
      <c r="AV689">
        <v>31</v>
      </c>
      <c r="AW689" t="s">
        <v>74</v>
      </c>
      <c r="AX689" t="s">
        <v>74</v>
      </c>
      <c r="AY689" t="s">
        <v>74</v>
      </c>
      <c r="AZ689" t="s">
        <v>74</v>
      </c>
      <c r="BA689" t="s">
        <v>74</v>
      </c>
      <c r="BB689" t="s">
        <v>74</v>
      </c>
      <c r="BC689" t="s">
        <v>74</v>
      </c>
      <c r="BD689">
        <v>100254</v>
      </c>
      <c r="BE689" t="s">
        <v>13776</v>
      </c>
      <c r="BF689" t="str">
        <f>HYPERLINK("http://dx.doi.org/10.1016/j.ancene.2020.100254","http://dx.doi.org/10.1016/j.ancene.2020.100254")</f>
        <v>http://dx.doi.org/10.1016/j.ancene.2020.100254</v>
      </c>
      <c r="BG689" t="s">
        <v>74</v>
      </c>
      <c r="BH689" t="s">
        <v>74</v>
      </c>
      <c r="BI689">
        <v>12</v>
      </c>
      <c r="BJ689" t="s">
        <v>8415</v>
      </c>
      <c r="BK689" t="s">
        <v>100</v>
      </c>
      <c r="BL689" t="s">
        <v>8416</v>
      </c>
      <c r="BM689" t="s">
        <v>13777</v>
      </c>
      <c r="BN689" t="s">
        <v>74</v>
      </c>
      <c r="BO689" t="s">
        <v>1894</v>
      </c>
      <c r="BP689" t="s">
        <v>74</v>
      </c>
      <c r="BQ689" t="s">
        <v>74</v>
      </c>
      <c r="BR689" t="s">
        <v>104</v>
      </c>
      <c r="BS689" t="s">
        <v>13778</v>
      </c>
      <c r="BT689" t="str">
        <f>HYPERLINK("https%3A%2F%2Fwww.webofscience.com%2Fwos%2Fwoscc%2Ffull-record%2FWOS:000572985000006","View Full Record in Web of Science")</f>
        <v>View Full Record in Web of Science</v>
      </c>
    </row>
    <row r="690" spans="1:72" x14ac:dyDescent="0.15">
      <c r="A690" t="s">
        <v>72</v>
      </c>
      <c r="B690" t="s">
        <v>13779</v>
      </c>
      <c r="C690" t="s">
        <v>74</v>
      </c>
      <c r="D690" t="s">
        <v>74</v>
      </c>
      <c r="E690" t="s">
        <v>74</v>
      </c>
      <c r="F690" t="s">
        <v>13780</v>
      </c>
      <c r="G690" t="s">
        <v>74</v>
      </c>
      <c r="H690" t="s">
        <v>74</v>
      </c>
      <c r="I690" t="s">
        <v>13781</v>
      </c>
      <c r="J690" t="s">
        <v>8099</v>
      </c>
      <c r="K690" t="s">
        <v>74</v>
      </c>
      <c r="L690" t="s">
        <v>74</v>
      </c>
      <c r="M690" t="s">
        <v>78</v>
      </c>
      <c r="N690" t="s">
        <v>79</v>
      </c>
      <c r="O690" t="s">
        <v>74</v>
      </c>
      <c r="P690" t="s">
        <v>74</v>
      </c>
      <c r="Q690" t="s">
        <v>74</v>
      </c>
      <c r="R690" t="s">
        <v>74</v>
      </c>
      <c r="S690" t="s">
        <v>74</v>
      </c>
      <c r="T690" t="s">
        <v>13782</v>
      </c>
      <c r="U690" t="s">
        <v>13783</v>
      </c>
      <c r="V690" t="s">
        <v>13784</v>
      </c>
      <c r="W690" t="s">
        <v>13785</v>
      </c>
      <c r="X690" t="s">
        <v>13786</v>
      </c>
      <c r="Y690" t="s">
        <v>13787</v>
      </c>
      <c r="Z690" t="s">
        <v>13788</v>
      </c>
      <c r="AA690" t="s">
        <v>74</v>
      </c>
      <c r="AB690" t="s">
        <v>13789</v>
      </c>
      <c r="AC690" t="s">
        <v>13790</v>
      </c>
      <c r="AD690" t="s">
        <v>13791</v>
      </c>
      <c r="AE690" t="s">
        <v>13792</v>
      </c>
      <c r="AF690" t="s">
        <v>74</v>
      </c>
      <c r="AG690">
        <v>76</v>
      </c>
      <c r="AH690">
        <v>9</v>
      </c>
      <c r="AI690">
        <v>9</v>
      </c>
      <c r="AJ690">
        <v>0</v>
      </c>
      <c r="AK690">
        <v>10</v>
      </c>
      <c r="AL690" t="s">
        <v>1572</v>
      </c>
      <c r="AM690" t="s">
        <v>1407</v>
      </c>
      <c r="AN690" t="s">
        <v>1573</v>
      </c>
      <c r="AO690" t="s">
        <v>8112</v>
      </c>
      <c r="AP690" t="s">
        <v>8113</v>
      </c>
      <c r="AQ690" t="s">
        <v>74</v>
      </c>
      <c r="AR690" t="s">
        <v>8114</v>
      </c>
      <c r="AS690" t="s">
        <v>8115</v>
      </c>
      <c r="AT690" t="s">
        <v>11892</v>
      </c>
      <c r="AU690">
        <v>2020</v>
      </c>
      <c r="AV690">
        <v>160</v>
      </c>
      <c r="AW690" t="s">
        <v>74</v>
      </c>
      <c r="AX690" t="s">
        <v>74</v>
      </c>
      <c r="AY690" t="s">
        <v>74</v>
      </c>
      <c r="AZ690" t="s">
        <v>74</v>
      </c>
      <c r="BA690" t="s">
        <v>74</v>
      </c>
      <c r="BB690" t="s">
        <v>74</v>
      </c>
      <c r="BC690" t="s">
        <v>74</v>
      </c>
      <c r="BD690">
        <v>105025</v>
      </c>
      <c r="BE690" t="s">
        <v>13793</v>
      </c>
      <c r="BF690" t="str">
        <f>HYPERLINK("http://dx.doi.org/10.1016/j.marenvres.2020.105025","http://dx.doi.org/10.1016/j.marenvres.2020.105025")</f>
        <v>http://dx.doi.org/10.1016/j.marenvres.2020.105025</v>
      </c>
      <c r="BG690" t="s">
        <v>74</v>
      </c>
      <c r="BH690" t="s">
        <v>74</v>
      </c>
      <c r="BI690">
        <v>7</v>
      </c>
      <c r="BJ690" t="s">
        <v>8117</v>
      </c>
      <c r="BK690" t="s">
        <v>100</v>
      </c>
      <c r="BL690" t="s">
        <v>8118</v>
      </c>
      <c r="BM690" t="s">
        <v>13794</v>
      </c>
      <c r="BN690">
        <v>32907735</v>
      </c>
      <c r="BO690" t="s">
        <v>3798</v>
      </c>
      <c r="BP690" t="s">
        <v>74</v>
      </c>
      <c r="BQ690" t="s">
        <v>74</v>
      </c>
      <c r="BR690" t="s">
        <v>104</v>
      </c>
      <c r="BS690" t="s">
        <v>13795</v>
      </c>
      <c r="BT690" t="str">
        <f>HYPERLINK("https%3A%2F%2Fwww.webofscience.com%2Fwos%2Fwoscc%2Ffull-record%2FWOS:000572328400001","View Full Record in Web of Science")</f>
        <v>View Full Record in Web of Science</v>
      </c>
    </row>
    <row r="691" spans="1:72" x14ac:dyDescent="0.15">
      <c r="A691" t="s">
        <v>72</v>
      </c>
      <c r="B691" t="s">
        <v>13796</v>
      </c>
      <c r="C691" t="s">
        <v>74</v>
      </c>
      <c r="D691" t="s">
        <v>74</v>
      </c>
      <c r="E691" t="s">
        <v>74</v>
      </c>
      <c r="F691" t="s">
        <v>13797</v>
      </c>
      <c r="G691" t="s">
        <v>74</v>
      </c>
      <c r="H691" t="s">
        <v>74</v>
      </c>
      <c r="I691" t="s">
        <v>13798</v>
      </c>
      <c r="J691" t="s">
        <v>13799</v>
      </c>
      <c r="K691" t="s">
        <v>74</v>
      </c>
      <c r="L691" t="s">
        <v>74</v>
      </c>
      <c r="M691" t="s">
        <v>78</v>
      </c>
      <c r="N691" t="s">
        <v>79</v>
      </c>
      <c r="O691" t="s">
        <v>74</v>
      </c>
      <c r="P691" t="s">
        <v>74</v>
      </c>
      <c r="Q691" t="s">
        <v>74</v>
      </c>
      <c r="R691" t="s">
        <v>74</v>
      </c>
      <c r="S691" t="s">
        <v>74</v>
      </c>
      <c r="T691" t="s">
        <v>74</v>
      </c>
      <c r="U691" t="s">
        <v>13800</v>
      </c>
      <c r="V691" t="s">
        <v>13801</v>
      </c>
      <c r="W691" t="s">
        <v>13802</v>
      </c>
      <c r="X691" t="s">
        <v>13803</v>
      </c>
      <c r="Y691" t="s">
        <v>13804</v>
      </c>
      <c r="Z691" t="s">
        <v>13805</v>
      </c>
      <c r="AA691" t="s">
        <v>13806</v>
      </c>
      <c r="AB691" t="s">
        <v>13807</v>
      </c>
      <c r="AC691" t="s">
        <v>74</v>
      </c>
      <c r="AD691" t="s">
        <v>74</v>
      </c>
      <c r="AE691" t="s">
        <v>74</v>
      </c>
      <c r="AF691" t="s">
        <v>74</v>
      </c>
      <c r="AG691">
        <v>42</v>
      </c>
      <c r="AH691">
        <v>11</v>
      </c>
      <c r="AI691">
        <v>11</v>
      </c>
      <c r="AJ691">
        <v>8</v>
      </c>
      <c r="AK691">
        <v>53</v>
      </c>
      <c r="AL691" t="s">
        <v>581</v>
      </c>
      <c r="AM691" t="s">
        <v>582</v>
      </c>
      <c r="AN691" t="s">
        <v>583</v>
      </c>
      <c r="AO691" t="s">
        <v>13808</v>
      </c>
      <c r="AP691" t="s">
        <v>13809</v>
      </c>
      <c r="AQ691" t="s">
        <v>74</v>
      </c>
      <c r="AR691" t="s">
        <v>13810</v>
      </c>
      <c r="AS691" t="s">
        <v>13811</v>
      </c>
      <c r="AT691" t="s">
        <v>11892</v>
      </c>
      <c r="AU691">
        <v>2020</v>
      </c>
      <c r="AV691">
        <v>229</v>
      </c>
      <c r="AW691">
        <v>10</v>
      </c>
      <c r="AX691" t="s">
        <v>74</v>
      </c>
      <c r="AY691" t="s">
        <v>74</v>
      </c>
      <c r="AZ691" t="s">
        <v>489</v>
      </c>
      <c r="BA691" t="s">
        <v>74</v>
      </c>
      <c r="BB691">
        <v>1881</v>
      </c>
      <c r="BC691">
        <v>1896</v>
      </c>
      <c r="BD691" t="s">
        <v>74</v>
      </c>
      <c r="BE691" t="s">
        <v>13812</v>
      </c>
      <c r="BF691" t="str">
        <f>HYPERLINK("http://dx.doi.org/10.1140/epjst/e2020-900273-x","http://dx.doi.org/10.1140/epjst/e2020-900273-x")</f>
        <v>http://dx.doi.org/10.1140/epjst/e2020-900273-x</v>
      </c>
      <c r="BG691" t="s">
        <v>74</v>
      </c>
      <c r="BH691" t="s">
        <v>74</v>
      </c>
      <c r="BI691">
        <v>16</v>
      </c>
      <c r="BJ691" t="s">
        <v>6105</v>
      </c>
      <c r="BK691" t="s">
        <v>100</v>
      </c>
      <c r="BL691" t="s">
        <v>6106</v>
      </c>
      <c r="BM691" t="s">
        <v>13813</v>
      </c>
      <c r="BN691" t="s">
        <v>74</v>
      </c>
      <c r="BO691" t="s">
        <v>74</v>
      </c>
      <c r="BP691" t="s">
        <v>74</v>
      </c>
      <c r="BQ691" t="s">
        <v>74</v>
      </c>
      <c r="BR691" t="s">
        <v>104</v>
      </c>
      <c r="BS691" t="s">
        <v>13814</v>
      </c>
      <c r="BT691" t="str">
        <f>HYPERLINK("https%3A%2F%2Fwww.webofscience.com%2Fwos%2Fwoscc%2Ffull-record%2FWOS:000569876100010","View Full Record in Web of Science")</f>
        <v>View Full Record in Web of Science</v>
      </c>
    </row>
    <row r="692" spans="1:72" x14ac:dyDescent="0.15">
      <c r="A692" t="s">
        <v>72</v>
      </c>
      <c r="B692" t="s">
        <v>13815</v>
      </c>
      <c r="C692" t="s">
        <v>74</v>
      </c>
      <c r="D692" t="s">
        <v>74</v>
      </c>
      <c r="E692" t="s">
        <v>74</v>
      </c>
      <c r="F692" t="s">
        <v>13816</v>
      </c>
      <c r="G692" t="s">
        <v>74</v>
      </c>
      <c r="H692" t="s">
        <v>74</v>
      </c>
      <c r="I692" t="s">
        <v>13817</v>
      </c>
      <c r="J692" t="s">
        <v>13818</v>
      </c>
      <c r="K692" t="s">
        <v>74</v>
      </c>
      <c r="L692" t="s">
        <v>74</v>
      </c>
      <c r="M692" t="s">
        <v>78</v>
      </c>
      <c r="N692" t="s">
        <v>79</v>
      </c>
      <c r="O692" t="s">
        <v>74</v>
      </c>
      <c r="P692" t="s">
        <v>74</v>
      </c>
      <c r="Q692" t="s">
        <v>74</v>
      </c>
      <c r="R692" t="s">
        <v>74</v>
      </c>
      <c r="S692" t="s">
        <v>74</v>
      </c>
      <c r="T692" t="s">
        <v>74</v>
      </c>
      <c r="U692" t="s">
        <v>13819</v>
      </c>
      <c r="V692" t="s">
        <v>13820</v>
      </c>
      <c r="W692" t="s">
        <v>13821</v>
      </c>
      <c r="X692" t="s">
        <v>13822</v>
      </c>
      <c r="Y692" t="s">
        <v>13823</v>
      </c>
      <c r="Z692" t="s">
        <v>13824</v>
      </c>
      <c r="AA692" t="s">
        <v>13825</v>
      </c>
      <c r="AB692" t="s">
        <v>13826</v>
      </c>
      <c r="AC692" t="s">
        <v>13827</v>
      </c>
      <c r="AD692" t="s">
        <v>13827</v>
      </c>
      <c r="AE692" t="s">
        <v>13828</v>
      </c>
      <c r="AF692" t="s">
        <v>74</v>
      </c>
      <c r="AG692">
        <v>37</v>
      </c>
      <c r="AH692">
        <v>3</v>
      </c>
      <c r="AI692">
        <v>3</v>
      </c>
      <c r="AJ692">
        <v>2</v>
      </c>
      <c r="AK692">
        <v>16</v>
      </c>
      <c r="AL692" t="s">
        <v>4315</v>
      </c>
      <c r="AM692" t="s">
        <v>123</v>
      </c>
      <c r="AN692" t="s">
        <v>4316</v>
      </c>
      <c r="AO692" t="s">
        <v>13829</v>
      </c>
      <c r="AP692" t="s">
        <v>13830</v>
      </c>
      <c r="AQ692" t="s">
        <v>74</v>
      </c>
      <c r="AR692" t="s">
        <v>13831</v>
      </c>
      <c r="AS692" t="s">
        <v>13832</v>
      </c>
      <c r="AT692" t="s">
        <v>12502</v>
      </c>
      <c r="AU692">
        <v>2020</v>
      </c>
      <c r="AV692">
        <v>2020</v>
      </c>
      <c r="AW692" t="s">
        <v>74</v>
      </c>
      <c r="AX692" t="s">
        <v>74</v>
      </c>
      <c r="AY692" t="s">
        <v>74</v>
      </c>
      <c r="AZ692" t="s">
        <v>74</v>
      </c>
      <c r="BA692" t="s">
        <v>74</v>
      </c>
      <c r="BB692" t="s">
        <v>74</v>
      </c>
      <c r="BC692" t="s">
        <v>74</v>
      </c>
      <c r="BD692">
        <v>8844151</v>
      </c>
      <c r="BE692" t="s">
        <v>13833</v>
      </c>
      <c r="BF692" t="str">
        <f>HYPERLINK("http://dx.doi.org/10.1155/2020/8844151","http://dx.doi.org/10.1155/2020/8844151")</f>
        <v>http://dx.doi.org/10.1155/2020/8844151</v>
      </c>
      <c r="BG692" t="s">
        <v>74</v>
      </c>
      <c r="BH692" t="s">
        <v>74</v>
      </c>
      <c r="BI692">
        <v>6</v>
      </c>
      <c r="BJ692" t="s">
        <v>13834</v>
      </c>
      <c r="BK692" t="s">
        <v>100</v>
      </c>
      <c r="BL692" t="s">
        <v>5356</v>
      </c>
      <c r="BM692" t="s">
        <v>13835</v>
      </c>
      <c r="BN692">
        <v>32952559</v>
      </c>
      <c r="BO692" t="s">
        <v>2113</v>
      </c>
      <c r="BP692" t="s">
        <v>74</v>
      </c>
      <c r="BQ692" t="s">
        <v>74</v>
      </c>
      <c r="BR692" t="s">
        <v>104</v>
      </c>
      <c r="BS692" t="s">
        <v>13836</v>
      </c>
      <c r="BT692" t="str">
        <f>HYPERLINK("https%3A%2F%2Fwww.webofscience.com%2Fwos%2Fwoscc%2Ffull-record%2FWOS:000571862300003","View Full Record in Web of Science")</f>
        <v>View Full Record in Web of Science</v>
      </c>
    </row>
    <row r="693" spans="1:72" x14ac:dyDescent="0.15">
      <c r="A693" t="s">
        <v>72</v>
      </c>
      <c r="B693" t="s">
        <v>13837</v>
      </c>
      <c r="C693" t="s">
        <v>74</v>
      </c>
      <c r="D693" t="s">
        <v>74</v>
      </c>
      <c r="E693" t="s">
        <v>74</v>
      </c>
      <c r="F693" t="s">
        <v>13838</v>
      </c>
      <c r="G693" t="s">
        <v>74</v>
      </c>
      <c r="H693" t="s">
        <v>74</v>
      </c>
      <c r="I693" t="s">
        <v>13839</v>
      </c>
      <c r="J693" t="s">
        <v>13840</v>
      </c>
      <c r="K693" t="s">
        <v>74</v>
      </c>
      <c r="L693" t="s">
        <v>74</v>
      </c>
      <c r="M693" t="s">
        <v>78</v>
      </c>
      <c r="N693" t="s">
        <v>79</v>
      </c>
      <c r="O693" t="s">
        <v>74</v>
      </c>
      <c r="P693" t="s">
        <v>74</v>
      </c>
      <c r="Q693" t="s">
        <v>74</v>
      </c>
      <c r="R693" t="s">
        <v>74</v>
      </c>
      <c r="S693" t="s">
        <v>74</v>
      </c>
      <c r="T693" t="s">
        <v>13841</v>
      </c>
      <c r="U693" t="s">
        <v>13842</v>
      </c>
      <c r="V693" t="s">
        <v>13843</v>
      </c>
      <c r="W693" t="s">
        <v>13844</v>
      </c>
      <c r="X693" t="s">
        <v>13845</v>
      </c>
      <c r="Y693" t="s">
        <v>13846</v>
      </c>
      <c r="Z693" t="s">
        <v>13847</v>
      </c>
      <c r="AA693" t="s">
        <v>13848</v>
      </c>
      <c r="AB693" t="s">
        <v>74</v>
      </c>
      <c r="AC693" t="s">
        <v>13849</v>
      </c>
      <c r="AD693" t="s">
        <v>13850</v>
      </c>
      <c r="AE693" t="s">
        <v>13851</v>
      </c>
      <c r="AF693" t="s">
        <v>74</v>
      </c>
      <c r="AG693">
        <v>65</v>
      </c>
      <c r="AH693">
        <v>3</v>
      </c>
      <c r="AI693">
        <v>3</v>
      </c>
      <c r="AJ693">
        <v>1</v>
      </c>
      <c r="AK693">
        <v>20</v>
      </c>
      <c r="AL693" t="s">
        <v>13852</v>
      </c>
      <c r="AM693" t="s">
        <v>13853</v>
      </c>
      <c r="AN693" t="s">
        <v>13854</v>
      </c>
      <c r="AO693" t="s">
        <v>13855</v>
      </c>
      <c r="AP693" t="s">
        <v>13856</v>
      </c>
      <c r="AQ693" t="s">
        <v>74</v>
      </c>
      <c r="AR693" t="s">
        <v>13857</v>
      </c>
      <c r="AS693" t="s">
        <v>13858</v>
      </c>
      <c r="AT693" t="s">
        <v>11892</v>
      </c>
      <c r="AU693">
        <v>2020</v>
      </c>
      <c r="AV693">
        <v>36</v>
      </c>
      <c r="AW693">
        <v>5</v>
      </c>
      <c r="AX693" t="s">
        <v>74</v>
      </c>
      <c r="AY693" t="s">
        <v>74</v>
      </c>
      <c r="AZ693" t="s">
        <v>74</v>
      </c>
      <c r="BA693" t="s">
        <v>74</v>
      </c>
      <c r="BB693">
        <v>1029</v>
      </c>
      <c r="BC693">
        <v>1039</v>
      </c>
      <c r="BD693" t="s">
        <v>74</v>
      </c>
      <c r="BE693" t="s">
        <v>13859</v>
      </c>
      <c r="BF693" t="str">
        <f>HYPERLINK("http://dx.doi.org/10.2112/JCOASTRES-D-19-00127.1","http://dx.doi.org/10.2112/JCOASTRES-D-19-00127.1")</f>
        <v>http://dx.doi.org/10.2112/JCOASTRES-D-19-00127.1</v>
      </c>
      <c r="BG693" t="s">
        <v>74</v>
      </c>
      <c r="BH693" t="s">
        <v>74</v>
      </c>
      <c r="BI693">
        <v>11</v>
      </c>
      <c r="BJ693" t="s">
        <v>8415</v>
      </c>
      <c r="BK693" t="s">
        <v>100</v>
      </c>
      <c r="BL693" t="s">
        <v>8416</v>
      </c>
      <c r="BM693" t="s">
        <v>13860</v>
      </c>
      <c r="BN693" t="s">
        <v>74</v>
      </c>
      <c r="BO693" t="s">
        <v>701</v>
      </c>
      <c r="BP693" t="s">
        <v>74</v>
      </c>
      <c r="BQ693" t="s">
        <v>74</v>
      </c>
      <c r="BR693" t="s">
        <v>104</v>
      </c>
      <c r="BS693" t="s">
        <v>13861</v>
      </c>
      <c r="BT693" t="str">
        <f>HYPERLINK("https%3A%2F%2Fwww.webofscience.com%2Fwos%2Fwoscc%2Ffull-record%2FWOS:000571455700011","View Full Record in Web of Science")</f>
        <v>View Full Record in Web of Science</v>
      </c>
    </row>
    <row r="694" spans="1:72" x14ac:dyDescent="0.15">
      <c r="A694" t="s">
        <v>72</v>
      </c>
      <c r="B694" t="s">
        <v>13862</v>
      </c>
      <c r="C694" t="s">
        <v>74</v>
      </c>
      <c r="D694" t="s">
        <v>74</v>
      </c>
      <c r="E694" t="s">
        <v>74</v>
      </c>
      <c r="F694" t="s">
        <v>13863</v>
      </c>
      <c r="G694" t="s">
        <v>74</v>
      </c>
      <c r="H694" t="s">
        <v>74</v>
      </c>
      <c r="I694" t="s">
        <v>13864</v>
      </c>
      <c r="J694" t="s">
        <v>8099</v>
      </c>
      <c r="K694" t="s">
        <v>74</v>
      </c>
      <c r="L694" t="s">
        <v>74</v>
      </c>
      <c r="M694" t="s">
        <v>78</v>
      </c>
      <c r="N694" t="s">
        <v>79</v>
      </c>
      <c r="O694" t="s">
        <v>74</v>
      </c>
      <c r="P694" t="s">
        <v>74</v>
      </c>
      <c r="Q694" t="s">
        <v>74</v>
      </c>
      <c r="R694" t="s">
        <v>74</v>
      </c>
      <c r="S694" t="s">
        <v>74</v>
      </c>
      <c r="T694" t="s">
        <v>13865</v>
      </c>
      <c r="U694" t="s">
        <v>13866</v>
      </c>
      <c r="V694" t="s">
        <v>13867</v>
      </c>
      <c r="W694" t="s">
        <v>13868</v>
      </c>
      <c r="X694" t="s">
        <v>13869</v>
      </c>
      <c r="Y694" t="s">
        <v>13870</v>
      </c>
      <c r="Z694" t="s">
        <v>13871</v>
      </c>
      <c r="AA694" t="s">
        <v>13872</v>
      </c>
      <c r="AB694" t="s">
        <v>13873</v>
      </c>
      <c r="AC694" t="s">
        <v>13874</v>
      </c>
      <c r="AD694" t="s">
        <v>13875</v>
      </c>
      <c r="AE694" t="s">
        <v>13876</v>
      </c>
      <c r="AF694" t="s">
        <v>74</v>
      </c>
      <c r="AG694">
        <v>68</v>
      </c>
      <c r="AH694">
        <v>5</v>
      </c>
      <c r="AI694">
        <v>8</v>
      </c>
      <c r="AJ694">
        <v>4</v>
      </c>
      <c r="AK694">
        <v>71</v>
      </c>
      <c r="AL694" t="s">
        <v>1572</v>
      </c>
      <c r="AM694" t="s">
        <v>1407</v>
      </c>
      <c r="AN694" t="s">
        <v>1573</v>
      </c>
      <c r="AO694" t="s">
        <v>8112</v>
      </c>
      <c r="AP694" t="s">
        <v>8113</v>
      </c>
      <c r="AQ694" t="s">
        <v>74</v>
      </c>
      <c r="AR694" t="s">
        <v>8114</v>
      </c>
      <c r="AS694" t="s">
        <v>8115</v>
      </c>
      <c r="AT694" t="s">
        <v>11892</v>
      </c>
      <c r="AU694">
        <v>2020</v>
      </c>
      <c r="AV694">
        <v>160</v>
      </c>
      <c r="AW694" t="s">
        <v>74</v>
      </c>
      <c r="AX694" t="s">
        <v>74</v>
      </c>
      <c r="AY694" t="s">
        <v>74</v>
      </c>
      <c r="AZ694" t="s">
        <v>74</v>
      </c>
      <c r="BA694" t="s">
        <v>74</v>
      </c>
      <c r="BB694" t="s">
        <v>74</v>
      </c>
      <c r="BC694" t="s">
        <v>74</v>
      </c>
      <c r="BD694">
        <v>104965</v>
      </c>
      <c r="BE694" t="s">
        <v>13877</v>
      </c>
      <c r="BF694" t="str">
        <f>HYPERLINK("http://dx.doi.org/10.1016/j.marenvres.2020.104965","http://dx.doi.org/10.1016/j.marenvres.2020.104965")</f>
        <v>http://dx.doi.org/10.1016/j.marenvres.2020.104965</v>
      </c>
      <c r="BG694" t="s">
        <v>74</v>
      </c>
      <c r="BH694" t="s">
        <v>74</v>
      </c>
      <c r="BI694">
        <v>10</v>
      </c>
      <c r="BJ694" t="s">
        <v>8117</v>
      </c>
      <c r="BK694" t="s">
        <v>100</v>
      </c>
      <c r="BL694" t="s">
        <v>8118</v>
      </c>
      <c r="BM694" t="s">
        <v>13878</v>
      </c>
      <c r="BN694">
        <v>32291249</v>
      </c>
      <c r="BO694" t="s">
        <v>74</v>
      </c>
      <c r="BP694" t="s">
        <v>74</v>
      </c>
      <c r="BQ694" t="s">
        <v>74</v>
      </c>
      <c r="BR694" t="s">
        <v>104</v>
      </c>
      <c r="BS694" t="s">
        <v>13879</v>
      </c>
      <c r="BT694" t="str">
        <f>HYPERLINK("https%3A%2F%2Fwww.webofscience.com%2Fwos%2Fwoscc%2Ffull-record%2FWOS:000571185300010","View Full Record in Web of Science")</f>
        <v>View Full Record in Web of Science</v>
      </c>
    </row>
    <row r="695" spans="1:72" x14ac:dyDescent="0.15">
      <c r="A695" t="s">
        <v>72</v>
      </c>
      <c r="B695" t="s">
        <v>13880</v>
      </c>
      <c r="C695" t="s">
        <v>74</v>
      </c>
      <c r="D695" t="s">
        <v>74</v>
      </c>
      <c r="E695" t="s">
        <v>74</v>
      </c>
      <c r="F695" t="s">
        <v>13881</v>
      </c>
      <c r="G695" t="s">
        <v>74</v>
      </c>
      <c r="H695" t="s">
        <v>74</v>
      </c>
      <c r="I695" t="s">
        <v>13882</v>
      </c>
      <c r="J695" t="s">
        <v>13883</v>
      </c>
      <c r="K695" t="s">
        <v>74</v>
      </c>
      <c r="L695" t="s">
        <v>74</v>
      </c>
      <c r="M695" t="s">
        <v>78</v>
      </c>
      <c r="N695" t="s">
        <v>79</v>
      </c>
      <c r="O695" t="s">
        <v>74</v>
      </c>
      <c r="P695" t="s">
        <v>74</v>
      </c>
      <c r="Q695" t="s">
        <v>74</v>
      </c>
      <c r="R695" t="s">
        <v>74</v>
      </c>
      <c r="S695" t="s">
        <v>74</v>
      </c>
      <c r="T695" t="s">
        <v>13884</v>
      </c>
      <c r="U695" t="s">
        <v>13885</v>
      </c>
      <c r="V695" t="s">
        <v>13886</v>
      </c>
      <c r="W695" t="s">
        <v>13887</v>
      </c>
      <c r="X695" t="s">
        <v>13888</v>
      </c>
      <c r="Y695" t="s">
        <v>13889</v>
      </c>
      <c r="Z695" t="s">
        <v>13890</v>
      </c>
      <c r="AA695" t="s">
        <v>13891</v>
      </c>
      <c r="AB695" t="s">
        <v>13892</v>
      </c>
      <c r="AC695" t="s">
        <v>2330</v>
      </c>
      <c r="AD695" t="s">
        <v>2331</v>
      </c>
      <c r="AE695" t="s">
        <v>13893</v>
      </c>
      <c r="AF695" t="s">
        <v>74</v>
      </c>
      <c r="AG695">
        <v>92</v>
      </c>
      <c r="AH695">
        <v>29</v>
      </c>
      <c r="AI695">
        <v>31</v>
      </c>
      <c r="AJ695">
        <v>4</v>
      </c>
      <c r="AK695">
        <v>23</v>
      </c>
      <c r="AL695" t="s">
        <v>2085</v>
      </c>
      <c r="AM695" t="s">
        <v>2086</v>
      </c>
      <c r="AN695" t="s">
        <v>2087</v>
      </c>
      <c r="AO695" t="s">
        <v>74</v>
      </c>
      <c r="AP695" t="s">
        <v>13894</v>
      </c>
      <c r="AQ695" t="s">
        <v>74</v>
      </c>
      <c r="AR695" t="s">
        <v>13895</v>
      </c>
      <c r="AS695" t="s">
        <v>13896</v>
      </c>
      <c r="AT695" t="s">
        <v>11892</v>
      </c>
      <c r="AU695">
        <v>2020</v>
      </c>
      <c r="AV695">
        <v>21</v>
      </c>
      <c r="AW695">
        <v>17</v>
      </c>
      <c r="AX695" t="s">
        <v>74</v>
      </c>
      <c r="AY695" t="s">
        <v>74</v>
      </c>
      <c r="AZ695" t="s">
        <v>74</v>
      </c>
      <c r="BA695" t="s">
        <v>74</v>
      </c>
      <c r="BB695" t="s">
        <v>74</v>
      </c>
      <c r="BC695" t="s">
        <v>74</v>
      </c>
      <c r="BD695">
        <v>6138</v>
      </c>
      <c r="BE695" t="s">
        <v>13897</v>
      </c>
      <c r="BF695" t="str">
        <f>HYPERLINK("http://dx.doi.org/10.3390/ijms21176138","http://dx.doi.org/10.3390/ijms21176138")</f>
        <v>http://dx.doi.org/10.3390/ijms21176138</v>
      </c>
      <c r="BG695" t="s">
        <v>74</v>
      </c>
      <c r="BH695" t="s">
        <v>74</v>
      </c>
      <c r="BI695">
        <v>21</v>
      </c>
      <c r="BJ695" t="s">
        <v>7664</v>
      </c>
      <c r="BK695" t="s">
        <v>100</v>
      </c>
      <c r="BL695" t="s">
        <v>2649</v>
      </c>
      <c r="BM695" t="s">
        <v>13898</v>
      </c>
      <c r="BN695">
        <v>32858859</v>
      </c>
      <c r="BO695" t="s">
        <v>5105</v>
      </c>
      <c r="BP695" t="s">
        <v>74</v>
      </c>
      <c r="BQ695" t="s">
        <v>74</v>
      </c>
      <c r="BR695" t="s">
        <v>104</v>
      </c>
      <c r="BS695" t="s">
        <v>13899</v>
      </c>
      <c r="BT695" t="str">
        <f>HYPERLINK("https%3A%2F%2Fwww.webofscience.com%2Fwos%2Fwoscc%2Ffull-record%2FWOS:000570390400001","View Full Record in Web of Science")</f>
        <v>View Full Record in Web of Science</v>
      </c>
    </row>
    <row r="696" spans="1:72" x14ac:dyDescent="0.15">
      <c r="A696" t="s">
        <v>72</v>
      </c>
      <c r="B696" t="s">
        <v>13900</v>
      </c>
      <c r="C696" t="s">
        <v>74</v>
      </c>
      <c r="D696" t="s">
        <v>74</v>
      </c>
      <c r="E696" t="s">
        <v>74</v>
      </c>
      <c r="F696" t="s">
        <v>13901</v>
      </c>
      <c r="G696" t="s">
        <v>74</v>
      </c>
      <c r="H696" t="s">
        <v>74</v>
      </c>
      <c r="I696" t="s">
        <v>13902</v>
      </c>
      <c r="J696" t="s">
        <v>7648</v>
      </c>
      <c r="K696" t="s">
        <v>74</v>
      </c>
      <c r="L696" t="s">
        <v>74</v>
      </c>
      <c r="M696" t="s">
        <v>78</v>
      </c>
      <c r="N696" t="s">
        <v>79</v>
      </c>
      <c r="O696" t="s">
        <v>74</v>
      </c>
      <c r="P696" t="s">
        <v>74</v>
      </c>
      <c r="Q696" t="s">
        <v>74</v>
      </c>
      <c r="R696" t="s">
        <v>74</v>
      </c>
      <c r="S696" t="s">
        <v>74</v>
      </c>
      <c r="T696" t="s">
        <v>13903</v>
      </c>
      <c r="U696" t="s">
        <v>13904</v>
      </c>
      <c r="V696" t="s">
        <v>13905</v>
      </c>
      <c r="W696" t="s">
        <v>13906</v>
      </c>
      <c r="X696" t="s">
        <v>13907</v>
      </c>
      <c r="Y696" t="s">
        <v>13908</v>
      </c>
      <c r="Z696" t="s">
        <v>13909</v>
      </c>
      <c r="AA696" t="s">
        <v>13910</v>
      </c>
      <c r="AB696" t="s">
        <v>13911</v>
      </c>
      <c r="AC696" t="s">
        <v>13912</v>
      </c>
      <c r="AD696" t="s">
        <v>13913</v>
      </c>
      <c r="AE696" t="s">
        <v>13914</v>
      </c>
      <c r="AF696" t="s">
        <v>74</v>
      </c>
      <c r="AG696">
        <v>61</v>
      </c>
      <c r="AH696">
        <v>23</v>
      </c>
      <c r="AI696">
        <v>24</v>
      </c>
      <c r="AJ696">
        <v>1</v>
      </c>
      <c r="AK696">
        <v>6</v>
      </c>
      <c r="AL696" t="s">
        <v>2085</v>
      </c>
      <c r="AM696" t="s">
        <v>2086</v>
      </c>
      <c r="AN696" t="s">
        <v>2087</v>
      </c>
      <c r="AO696" t="s">
        <v>74</v>
      </c>
      <c r="AP696" t="s">
        <v>7661</v>
      </c>
      <c r="AQ696" t="s">
        <v>74</v>
      </c>
      <c r="AR696" t="s">
        <v>7648</v>
      </c>
      <c r="AS696" t="s">
        <v>7662</v>
      </c>
      <c r="AT696" t="s">
        <v>11892</v>
      </c>
      <c r="AU696">
        <v>2020</v>
      </c>
      <c r="AV696">
        <v>25</v>
      </c>
      <c r="AW696">
        <v>17</v>
      </c>
      <c r="AX696" t="s">
        <v>74</v>
      </c>
      <c r="AY696" t="s">
        <v>74</v>
      </c>
      <c r="AZ696" t="s">
        <v>74</v>
      </c>
      <c r="BA696" t="s">
        <v>74</v>
      </c>
      <c r="BB696" t="s">
        <v>74</v>
      </c>
      <c r="BC696" t="s">
        <v>74</v>
      </c>
      <c r="BD696">
        <v>3878</v>
      </c>
      <c r="BE696" t="s">
        <v>13915</v>
      </c>
      <c r="BF696" t="str">
        <f>HYPERLINK("http://dx.doi.org/10.3390/molecules25173878","http://dx.doi.org/10.3390/molecules25173878")</f>
        <v>http://dx.doi.org/10.3390/molecules25173878</v>
      </c>
      <c r="BG696" t="s">
        <v>74</v>
      </c>
      <c r="BH696" t="s">
        <v>74</v>
      </c>
      <c r="BI696">
        <v>15</v>
      </c>
      <c r="BJ696" t="s">
        <v>7664</v>
      </c>
      <c r="BK696" t="s">
        <v>100</v>
      </c>
      <c r="BL696" t="s">
        <v>2649</v>
      </c>
      <c r="BM696" t="s">
        <v>13916</v>
      </c>
      <c r="BN696">
        <v>32858796</v>
      </c>
      <c r="BO696" t="s">
        <v>5850</v>
      </c>
      <c r="BP696" t="s">
        <v>74</v>
      </c>
      <c r="BQ696" t="s">
        <v>74</v>
      </c>
      <c r="BR696" t="s">
        <v>104</v>
      </c>
      <c r="BS696" t="s">
        <v>13917</v>
      </c>
      <c r="BT696" t="str">
        <f>HYPERLINK("https%3A%2F%2Fwww.webofscience.com%2Fwos%2Fwoscc%2Ffull-record%2FWOS:000570370000001","View Full Record in Web of Science")</f>
        <v>View Full Record in Web of Science</v>
      </c>
    </row>
    <row r="697" spans="1:72" x14ac:dyDescent="0.15">
      <c r="A697" t="s">
        <v>72</v>
      </c>
      <c r="B697" t="s">
        <v>13918</v>
      </c>
      <c r="C697" t="s">
        <v>74</v>
      </c>
      <c r="D697" t="s">
        <v>74</v>
      </c>
      <c r="E697" t="s">
        <v>74</v>
      </c>
      <c r="F697" t="s">
        <v>13919</v>
      </c>
      <c r="G697" t="s">
        <v>74</v>
      </c>
      <c r="H697" t="s">
        <v>74</v>
      </c>
      <c r="I697" t="s">
        <v>13920</v>
      </c>
      <c r="J697" t="s">
        <v>7648</v>
      </c>
      <c r="K697" t="s">
        <v>74</v>
      </c>
      <c r="L697" t="s">
        <v>74</v>
      </c>
      <c r="M697" t="s">
        <v>78</v>
      </c>
      <c r="N697" t="s">
        <v>79</v>
      </c>
      <c r="O697" t="s">
        <v>74</v>
      </c>
      <c r="P697" t="s">
        <v>74</v>
      </c>
      <c r="Q697" t="s">
        <v>74</v>
      </c>
      <c r="R697" t="s">
        <v>74</v>
      </c>
      <c r="S697" t="s">
        <v>74</v>
      </c>
      <c r="T697" t="s">
        <v>13921</v>
      </c>
      <c r="U697" t="s">
        <v>13922</v>
      </c>
      <c r="V697" t="s">
        <v>13923</v>
      </c>
      <c r="W697" t="s">
        <v>13924</v>
      </c>
      <c r="X697" t="s">
        <v>13925</v>
      </c>
      <c r="Y697" t="s">
        <v>13926</v>
      </c>
      <c r="Z697" t="s">
        <v>13927</v>
      </c>
      <c r="AA697" t="s">
        <v>13928</v>
      </c>
      <c r="AB697" t="s">
        <v>13929</v>
      </c>
      <c r="AC697" t="s">
        <v>13930</v>
      </c>
      <c r="AD697" t="s">
        <v>13931</v>
      </c>
      <c r="AE697" t="s">
        <v>13932</v>
      </c>
      <c r="AF697" t="s">
        <v>74</v>
      </c>
      <c r="AG697">
        <v>81</v>
      </c>
      <c r="AH697">
        <v>9</v>
      </c>
      <c r="AI697">
        <v>9</v>
      </c>
      <c r="AJ697">
        <v>4</v>
      </c>
      <c r="AK697">
        <v>18</v>
      </c>
      <c r="AL697" t="s">
        <v>2085</v>
      </c>
      <c r="AM697" t="s">
        <v>2086</v>
      </c>
      <c r="AN697" t="s">
        <v>2087</v>
      </c>
      <c r="AO697" t="s">
        <v>74</v>
      </c>
      <c r="AP697" t="s">
        <v>7661</v>
      </c>
      <c r="AQ697" t="s">
        <v>74</v>
      </c>
      <c r="AR697" t="s">
        <v>7648</v>
      </c>
      <c r="AS697" t="s">
        <v>7662</v>
      </c>
      <c r="AT697" t="s">
        <v>11892</v>
      </c>
      <c r="AU697">
        <v>2020</v>
      </c>
      <c r="AV697">
        <v>25</v>
      </c>
      <c r="AW697">
        <v>17</v>
      </c>
      <c r="AX697" t="s">
        <v>74</v>
      </c>
      <c r="AY697" t="s">
        <v>74</v>
      </c>
      <c r="AZ697" t="s">
        <v>74</v>
      </c>
      <c r="BA697" t="s">
        <v>74</v>
      </c>
      <c r="BB697" t="s">
        <v>74</v>
      </c>
      <c r="BC697" t="s">
        <v>74</v>
      </c>
      <c r="BD697">
        <v>3971</v>
      </c>
      <c r="BE697" t="s">
        <v>13933</v>
      </c>
      <c r="BF697" t="str">
        <f>HYPERLINK("http://dx.doi.org/10.3390/molecules25173971","http://dx.doi.org/10.3390/molecules25173971")</f>
        <v>http://dx.doi.org/10.3390/molecules25173971</v>
      </c>
      <c r="BG697" t="s">
        <v>74</v>
      </c>
      <c r="BH697" t="s">
        <v>74</v>
      </c>
      <c r="BI697">
        <v>20</v>
      </c>
      <c r="BJ697" t="s">
        <v>7664</v>
      </c>
      <c r="BK697" t="s">
        <v>100</v>
      </c>
      <c r="BL697" t="s">
        <v>2649</v>
      </c>
      <c r="BM697" t="s">
        <v>13934</v>
      </c>
      <c r="BN697">
        <v>32878154</v>
      </c>
      <c r="BO697" t="s">
        <v>332</v>
      </c>
      <c r="BP697" t="s">
        <v>74</v>
      </c>
      <c r="BQ697" t="s">
        <v>74</v>
      </c>
      <c r="BR697" t="s">
        <v>104</v>
      </c>
      <c r="BS697" t="s">
        <v>13935</v>
      </c>
      <c r="BT697" t="str">
        <f>HYPERLINK("https%3A%2F%2Fwww.webofscience.com%2Fwos%2Fwoscc%2Ffull-record%2FWOS:000570119100001","View Full Record in Web of Science")</f>
        <v>View Full Record in Web of Science</v>
      </c>
    </row>
    <row r="698" spans="1:72" x14ac:dyDescent="0.15">
      <c r="A698" t="s">
        <v>72</v>
      </c>
      <c r="B698" t="s">
        <v>13936</v>
      </c>
      <c r="C698" t="s">
        <v>74</v>
      </c>
      <c r="D698" t="s">
        <v>74</v>
      </c>
      <c r="E698" t="s">
        <v>74</v>
      </c>
      <c r="F698" t="s">
        <v>13937</v>
      </c>
      <c r="G698" t="s">
        <v>74</v>
      </c>
      <c r="H698" t="s">
        <v>74</v>
      </c>
      <c r="I698" t="s">
        <v>13938</v>
      </c>
      <c r="J698" t="s">
        <v>2074</v>
      </c>
      <c r="K698" t="s">
        <v>74</v>
      </c>
      <c r="L698" t="s">
        <v>74</v>
      </c>
      <c r="M698" t="s">
        <v>78</v>
      </c>
      <c r="N698" t="s">
        <v>79</v>
      </c>
      <c r="O698" t="s">
        <v>74</v>
      </c>
      <c r="P698" t="s">
        <v>74</v>
      </c>
      <c r="Q698" t="s">
        <v>74</v>
      </c>
      <c r="R698" t="s">
        <v>74</v>
      </c>
      <c r="S698" t="s">
        <v>74</v>
      </c>
      <c r="T698" t="s">
        <v>13939</v>
      </c>
      <c r="U698" t="s">
        <v>13940</v>
      </c>
      <c r="V698" t="s">
        <v>13941</v>
      </c>
      <c r="W698" t="s">
        <v>13942</v>
      </c>
      <c r="X698" t="s">
        <v>13943</v>
      </c>
      <c r="Y698" t="s">
        <v>13944</v>
      </c>
      <c r="Z698" t="s">
        <v>13945</v>
      </c>
      <c r="AA698" t="s">
        <v>13946</v>
      </c>
      <c r="AB698" t="s">
        <v>13947</v>
      </c>
      <c r="AC698" t="s">
        <v>13948</v>
      </c>
      <c r="AD698" t="s">
        <v>13949</v>
      </c>
      <c r="AE698" t="s">
        <v>13950</v>
      </c>
      <c r="AF698" t="s">
        <v>74</v>
      </c>
      <c r="AG698">
        <v>34</v>
      </c>
      <c r="AH698">
        <v>2</v>
      </c>
      <c r="AI698">
        <v>2</v>
      </c>
      <c r="AJ698">
        <v>0</v>
      </c>
      <c r="AK698">
        <v>5</v>
      </c>
      <c r="AL698" t="s">
        <v>2085</v>
      </c>
      <c r="AM698" t="s">
        <v>2086</v>
      </c>
      <c r="AN698" t="s">
        <v>2087</v>
      </c>
      <c r="AO698" t="s">
        <v>74</v>
      </c>
      <c r="AP698" t="s">
        <v>2088</v>
      </c>
      <c r="AQ698" t="s">
        <v>74</v>
      </c>
      <c r="AR698" t="s">
        <v>2089</v>
      </c>
      <c r="AS698" t="s">
        <v>2090</v>
      </c>
      <c r="AT698" t="s">
        <v>11892</v>
      </c>
      <c r="AU698">
        <v>2020</v>
      </c>
      <c r="AV698">
        <v>12</v>
      </c>
      <c r="AW698">
        <v>17</v>
      </c>
      <c r="AX698" t="s">
        <v>74</v>
      </c>
      <c r="AY698" t="s">
        <v>74</v>
      </c>
      <c r="AZ698" t="s">
        <v>74</v>
      </c>
      <c r="BA698" t="s">
        <v>74</v>
      </c>
      <c r="BB698" t="s">
        <v>74</v>
      </c>
      <c r="BC698" t="s">
        <v>74</v>
      </c>
      <c r="BD698">
        <v>2750</v>
      </c>
      <c r="BE698" t="s">
        <v>13951</v>
      </c>
      <c r="BF698" t="str">
        <f>HYPERLINK("http://dx.doi.org/10.3390/rs12172750","http://dx.doi.org/10.3390/rs12172750")</f>
        <v>http://dx.doi.org/10.3390/rs12172750</v>
      </c>
      <c r="BG698" t="s">
        <v>74</v>
      </c>
      <c r="BH698" t="s">
        <v>74</v>
      </c>
      <c r="BI698">
        <v>16</v>
      </c>
      <c r="BJ698" t="s">
        <v>2092</v>
      </c>
      <c r="BK698" t="s">
        <v>100</v>
      </c>
      <c r="BL698" t="s">
        <v>2093</v>
      </c>
      <c r="BM698" t="s">
        <v>13952</v>
      </c>
      <c r="BN698" t="s">
        <v>74</v>
      </c>
      <c r="BO698" t="s">
        <v>332</v>
      </c>
      <c r="BP698" t="s">
        <v>74</v>
      </c>
      <c r="BQ698" t="s">
        <v>74</v>
      </c>
      <c r="BR698" t="s">
        <v>104</v>
      </c>
      <c r="BS698" t="s">
        <v>13953</v>
      </c>
      <c r="BT698" t="str">
        <f>HYPERLINK("https%3A%2F%2Fwww.webofscience.com%2Fwos%2Fwoscc%2Ffull-record%2FWOS:000570353300001","View Full Record in Web of Science")</f>
        <v>View Full Record in Web of Science</v>
      </c>
    </row>
    <row r="699" spans="1:72" x14ac:dyDescent="0.15">
      <c r="A699" t="s">
        <v>72</v>
      </c>
      <c r="B699" t="s">
        <v>13954</v>
      </c>
      <c r="C699" t="s">
        <v>74</v>
      </c>
      <c r="D699" t="s">
        <v>74</v>
      </c>
      <c r="E699" t="s">
        <v>74</v>
      </c>
      <c r="F699" t="s">
        <v>13955</v>
      </c>
      <c r="G699" t="s">
        <v>74</v>
      </c>
      <c r="H699" t="s">
        <v>74</v>
      </c>
      <c r="I699" t="s">
        <v>13956</v>
      </c>
      <c r="J699" t="s">
        <v>1605</v>
      </c>
      <c r="K699" t="s">
        <v>74</v>
      </c>
      <c r="L699" t="s">
        <v>74</v>
      </c>
      <c r="M699" t="s">
        <v>78</v>
      </c>
      <c r="N699" t="s">
        <v>79</v>
      </c>
      <c r="O699" t="s">
        <v>74</v>
      </c>
      <c r="P699" t="s">
        <v>74</v>
      </c>
      <c r="Q699" t="s">
        <v>74</v>
      </c>
      <c r="R699" t="s">
        <v>74</v>
      </c>
      <c r="S699" t="s">
        <v>74</v>
      </c>
      <c r="T699" t="s">
        <v>13957</v>
      </c>
      <c r="U699" t="s">
        <v>13958</v>
      </c>
      <c r="V699" t="s">
        <v>13959</v>
      </c>
      <c r="W699" t="s">
        <v>13960</v>
      </c>
      <c r="X699" t="s">
        <v>13961</v>
      </c>
      <c r="Y699" t="s">
        <v>13962</v>
      </c>
      <c r="Z699" t="s">
        <v>13963</v>
      </c>
      <c r="AA699" t="s">
        <v>11995</v>
      </c>
      <c r="AB699" t="s">
        <v>11996</v>
      </c>
      <c r="AC699" t="s">
        <v>13964</v>
      </c>
      <c r="AD699" t="s">
        <v>13965</v>
      </c>
      <c r="AE699" t="s">
        <v>13966</v>
      </c>
      <c r="AF699" t="s">
        <v>74</v>
      </c>
      <c r="AG699">
        <v>164</v>
      </c>
      <c r="AH699">
        <v>5</v>
      </c>
      <c r="AI699">
        <v>5</v>
      </c>
      <c r="AJ699">
        <v>2</v>
      </c>
      <c r="AK699">
        <v>16</v>
      </c>
      <c r="AL699" t="s">
        <v>1522</v>
      </c>
      <c r="AM699" t="s">
        <v>1407</v>
      </c>
      <c r="AN699" t="s">
        <v>1523</v>
      </c>
      <c r="AO699" t="s">
        <v>1618</v>
      </c>
      <c r="AP699" t="s">
        <v>1619</v>
      </c>
      <c r="AQ699" t="s">
        <v>74</v>
      </c>
      <c r="AR699" t="s">
        <v>1620</v>
      </c>
      <c r="AS699" t="s">
        <v>1621</v>
      </c>
      <c r="AT699" t="s">
        <v>11892</v>
      </c>
      <c r="AU699">
        <v>2020</v>
      </c>
      <c r="AV699">
        <v>163</v>
      </c>
      <c r="AW699" t="s">
        <v>74</v>
      </c>
      <c r="AX699" t="s">
        <v>74</v>
      </c>
      <c r="AY699" t="s">
        <v>74</v>
      </c>
      <c r="AZ699" t="s">
        <v>74</v>
      </c>
      <c r="BA699" t="s">
        <v>74</v>
      </c>
      <c r="BB699" t="s">
        <v>74</v>
      </c>
      <c r="BC699" t="s">
        <v>74</v>
      </c>
      <c r="BD699">
        <v>103340</v>
      </c>
      <c r="BE699" t="s">
        <v>13967</v>
      </c>
      <c r="BF699" t="str">
        <f>HYPERLINK("http://dx.doi.org/10.1016/j.dsr.2020.103340","http://dx.doi.org/10.1016/j.dsr.2020.103340")</f>
        <v>http://dx.doi.org/10.1016/j.dsr.2020.103340</v>
      </c>
      <c r="BG699" t="s">
        <v>74</v>
      </c>
      <c r="BH699" t="s">
        <v>74</v>
      </c>
      <c r="BI699">
        <v>16</v>
      </c>
      <c r="BJ699" t="s">
        <v>1283</v>
      </c>
      <c r="BK699" t="s">
        <v>100</v>
      </c>
      <c r="BL699" t="s">
        <v>1283</v>
      </c>
      <c r="BM699" t="s">
        <v>13968</v>
      </c>
      <c r="BN699" t="s">
        <v>74</v>
      </c>
      <c r="BO699" t="s">
        <v>74</v>
      </c>
      <c r="BP699" t="s">
        <v>74</v>
      </c>
      <c r="BQ699" t="s">
        <v>74</v>
      </c>
      <c r="BR699" t="s">
        <v>104</v>
      </c>
      <c r="BS699" t="s">
        <v>13969</v>
      </c>
      <c r="BT699" t="str">
        <f>HYPERLINK("https%3A%2F%2Fwww.webofscience.com%2Fwos%2Fwoscc%2Ffull-record%2FWOS:000569132900004","View Full Record in Web of Science")</f>
        <v>View Full Record in Web of Science</v>
      </c>
    </row>
    <row r="700" spans="1:72" x14ac:dyDescent="0.15">
      <c r="A700" t="s">
        <v>72</v>
      </c>
      <c r="B700" t="s">
        <v>13970</v>
      </c>
      <c r="C700" t="s">
        <v>74</v>
      </c>
      <c r="D700" t="s">
        <v>74</v>
      </c>
      <c r="E700" t="s">
        <v>74</v>
      </c>
      <c r="F700" t="s">
        <v>13971</v>
      </c>
      <c r="G700" t="s">
        <v>74</v>
      </c>
      <c r="H700" t="s">
        <v>74</v>
      </c>
      <c r="I700" t="s">
        <v>13972</v>
      </c>
      <c r="J700" t="s">
        <v>13973</v>
      </c>
      <c r="K700" t="s">
        <v>74</v>
      </c>
      <c r="L700" t="s">
        <v>74</v>
      </c>
      <c r="M700" t="s">
        <v>78</v>
      </c>
      <c r="N700" t="s">
        <v>79</v>
      </c>
      <c r="O700" t="s">
        <v>74</v>
      </c>
      <c r="P700" t="s">
        <v>74</v>
      </c>
      <c r="Q700" t="s">
        <v>74</v>
      </c>
      <c r="R700" t="s">
        <v>74</v>
      </c>
      <c r="S700" t="s">
        <v>74</v>
      </c>
      <c r="T700" t="s">
        <v>13974</v>
      </c>
      <c r="U700" t="s">
        <v>13975</v>
      </c>
      <c r="V700" t="s">
        <v>13976</v>
      </c>
      <c r="W700" t="s">
        <v>13977</v>
      </c>
      <c r="X700" t="s">
        <v>13978</v>
      </c>
      <c r="Y700" t="s">
        <v>13979</v>
      </c>
      <c r="Z700" t="s">
        <v>13980</v>
      </c>
      <c r="AA700" t="s">
        <v>74</v>
      </c>
      <c r="AB700" t="s">
        <v>13981</v>
      </c>
      <c r="AC700" t="s">
        <v>13982</v>
      </c>
      <c r="AD700" t="s">
        <v>9009</v>
      </c>
      <c r="AE700" t="s">
        <v>13983</v>
      </c>
      <c r="AF700" t="s">
        <v>74</v>
      </c>
      <c r="AG700">
        <v>35</v>
      </c>
      <c r="AH700">
        <v>2</v>
      </c>
      <c r="AI700">
        <v>2</v>
      </c>
      <c r="AJ700">
        <v>1</v>
      </c>
      <c r="AK700">
        <v>16</v>
      </c>
      <c r="AL700" t="s">
        <v>2085</v>
      </c>
      <c r="AM700" t="s">
        <v>2086</v>
      </c>
      <c r="AN700" t="s">
        <v>2087</v>
      </c>
      <c r="AO700" t="s">
        <v>74</v>
      </c>
      <c r="AP700" t="s">
        <v>13984</v>
      </c>
      <c r="AQ700" t="s">
        <v>74</v>
      </c>
      <c r="AR700" t="s">
        <v>13973</v>
      </c>
      <c r="AS700" t="s">
        <v>13985</v>
      </c>
      <c r="AT700" t="s">
        <v>11892</v>
      </c>
      <c r="AU700">
        <v>2020</v>
      </c>
      <c r="AV700">
        <v>13</v>
      </c>
      <c r="AW700">
        <v>17</v>
      </c>
      <c r="AX700" t="s">
        <v>74</v>
      </c>
      <c r="AY700" t="s">
        <v>74</v>
      </c>
      <c r="AZ700" t="s">
        <v>74</v>
      </c>
      <c r="BA700" t="s">
        <v>74</v>
      </c>
      <c r="BB700" t="s">
        <v>74</v>
      </c>
      <c r="BC700" t="s">
        <v>74</v>
      </c>
      <c r="BD700">
        <v>4308</v>
      </c>
      <c r="BE700" t="s">
        <v>13986</v>
      </c>
      <c r="BF700" t="str">
        <f>HYPERLINK("http://dx.doi.org/10.3390/en13174308","http://dx.doi.org/10.3390/en13174308")</f>
        <v>http://dx.doi.org/10.3390/en13174308</v>
      </c>
      <c r="BG700" t="s">
        <v>74</v>
      </c>
      <c r="BH700" t="s">
        <v>74</v>
      </c>
      <c r="BI700">
        <v>17</v>
      </c>
      <c r="BJ700" t="s">
        <v>4992</v>
      </c>
      <c r="BK700" t="s">
        <v>100</v>
      </c>
      <c r="BL700" t="s">
        <v>4992</v>
      </c>
      <c r="BM700" t="s">
        <v>13987</v>
      </c>
      <c r="BN700" t="s">
        <v>74</v>
      </c>
      <c r="BO700" t="s">
        <v>2113</v>
      </c>
      <c r="BP700" t="s">
        <v>74</v>
      </c>
      <c r="BQ700" t="s">
        <v>74</v>
      </c>
      <c r="BR700" t="s">
        <v>104</v>
      </c>
      <c r="BS700" t="s">
        <v>13988</v>
      </c>
      <c r="BT700" t="str">
        <f>HYPERLINK("https%3A%2F%2Fwww.webofscience.com%2Fwos%2Fwoscc%2Ffull-record%2FWOS:000569799400001","View Full Record in Web of Science")</f>
        <v>View Full Record in Web of Science</v>
      </c>
    </row>
    <row r="701" spans="1:72" x14ac:dyDescent="0.15">
      <c r="A701" t="s">
        <v>72</v>
      </c>
      <c r="B701" t="s">
        <v>13989</v>
      </c>
      <c r="C701" t="s">
        <v>74</v>
      </c>
      <c r="D701" t="s">
        <v>74</v>
      </c>
      <c r="E701" t="s">
        <v>74</v>
      </c>
      <c r="F701" t="s">
        <v>13990</v>
      </c>
      <c r="G701" t="s">
        <v>74</v>
      </c>
      <c r="H701" t="s">
        <v>74</v>
      </c>
      <c r="I701" t="s">
        <v>13991</v>
      </c>
      <c r="J701" t="s">
        <v>13992</v>
      </c>
      <c r="K701" t="s">
        <v>74</v>
      </c>
      <c r="L701" t="s">
        <v>74</v>
      </c>
      <c r="M701" t="s">
        <v>78</v>
      </c>
      <c r="N701" t="s">
        <v>138</v>
      </c>
      <c r="O701" t="s">
        <v>74</v>
      </c>
      <c r="P701" t="s">
        <v>74</v>
      </c>
      <c r="Q701" t="s">
        <v>74</v>
      </c>
      <c r="R701" t="s">
        <v>74</v>
      </c>
      <c r="S701" t="s">
        <v>74</v>
      </c>
      <c r="T701" t="s">
        <v>13993</v>
      </c>
      <c r="U701" t="s">
        <v>13994</v>
      </c>
      <c r="V701" t="s">
        <v>13995</v>
      </c>
      <c r="W701" t="s">
        <v>13996</v>
      </c>
      <c r="X701" t="s">
        <v>13997</v>
      </c>
      <c r="Y701" t="s">
        <v>13998</v>
      </c>
      <c r="Z701" t="s">
        <v>13999</v>
      </c>
      <c r="AA701" t="s">
        <v>14000</v>
      </c>
      <c r="AB701" t="s">
        <v>14001</v>
      </c>
      <c r="AC701" t="s">
        <v>74</v>
      </c>
      <c r="AD701" t="s">
        <v>74</v>
      </c>
      <c r="AE701" t="s">
        <v>74</v>
      </c>
      <c r="AF701" t="s">
        <v>74</v>
      </c>
      <c r="AG701">
        <v>114</v>
      </c>
      <c r="AH701">
        <v>11</v>
      </c>
      <c r="AI701">
        <v>12</v>
      </c>
      <c r="AJ701">
        <v>0</v>
      </c>
      <c r="AK701">
        <v>17</v>
      </c>
      <c r="AL701" t="s">
        <v>1572</v>
      </c>
      <c r="AM701" t="s">
        <v>1407</v>
      </c>
      <c r="AN701" t="s">
        <v>1573</v>
      </c>
      <c r="AO701" t="s">
        <v>14002</v>
      </c>
      <c r="AP701" t="s">
        <v>14003</v>
      </c>
      <c r="AQ701" t="s">
        <v>74</v>
      </c>
      <c r="AR701" t="s">
        <v>14004</v>
      </c>
      <c r="AS701" t="s">
        <v>14005</v>
      </c>
      <c r="AT701" t="s">
        <v>11892</v>
      </c>
      <c r="AU701">
        <v>2020</v>
      </c>
      <c r="AV701">
        <v>50</v>
      </c>
      <c r="AW701" t="s">
        <v>14006</v>
      </c>
      <c r="AX701" t="s">
        <v>74</v>
      </c>
      <c r="AY701" t="s">
        <v>74</v>
      </c>
      <c r="AZ701" t="s">
        <v>74</v>
      </c>
      <c r="BA701" t="s">
        <v>74</v>
      </c>
      <c r="BB701">
        <v>743</v>
      </c>
      <c r="BC701">
        <v>753</v>
      </c>
      <c r="BD701" t="s">
        <v>74</v>
      </c>
      <c r="BE701" t="s">
        <v>14007</v>
      </c>
      <c r="BF701" t="str">
        <f>HYPERLINK("http://dx.doi.org/10.1016/j.ijpara.2020.04.008","http://dx.doi.org/10.1016/j.ijpara.2020.04.008")</f>
        <v>http://dx.doi.org/10.1016/j.ijpara.2020.04.008</v>
      </c>
      <c r="BG701" t="s">
        <v>74</v>
      </c>
      <c r="BH701" t="s">
        <v>74</v>
      </c>
      <c r="BI701">
        <v>11</v>
      </c>
      <c r="BJ701" t="s">
        <v>14008</v>
      </c>
      <c r="BK701" t="s">
        <v>100</v>
      </c>
      <c r="BL701" t="s">
        <v>14008</v>
      </c>
      <c r="BM701" t="s">
        <v>14009</v>
      </c>
      <c r="BN701">
        <v>32619429</v>
      </c>
      <c r="BO701" t="s">
        <v>74</v>
      </c>
      <c r="BP701" t="s">
        <v>74</v>
      </c>
      <c r="BQ701" t="s">
        <v>74</v>
      </c>
      <c r="BR701" t="s">
        <v>104</v>
      </c>
      <c r="BS701" t="s">
        <v>14010</v>
      </c>
      <c r="BT701" t="str">
        <f>HYPERLINK("https%3A%2F%2Fwww.webofscience.com%2Fwos%2Fwoscc%2Ffull-record%2FWOS:000569152900003","View Full Record in Web of Science")</f>
        <v>View Full Record in Web of Science</v>
      </c>
    </row>
    <row r="702" spans="1:72" x14ac:dyDescent="0.15">
      <c r="A702" t="s">
        <v>72</v>
      </c>
      <c r="B702" t="s">
        <v>14011</v>
      </c>
      <c r="C702" t="s">
        <v>74</v>
      </c>
      <c r="D702" t="s">
        <v>74</v>
      </c>
      <c r="E702" t="s">
        <v>74</v>
      </c>
      <c r="F702" t="s">
        <v>14012</v>
      </c>
      <c r="G702" t="s">
        <v>74</v>
      </c>
      <c r="H702" t="s">
        <v>74</v>
      </c>
      <c r="I702" t="s">
        <v>14013</v>
      </c>
      <c r="J702" t="s">
        <v>13992</v>
      </c>
      <c r="K702" t="s">
        <v>74</v>
      </c>
      <c r="L702" t="s">
        <v>74</v>
      </c>
      <c r="M702" t="s">
        <v>78</v>
      </c>
      <c r="N702" t="s">
        <v>79</v>
      </c>
      <c r="O702" t="s">
        <v>74</v>
      </c>
      <c r="P702" t="s">
        <v>74</v>
      </c>
      <c r="Q702" t="s">
        <v>74</v>
      </c>
      <c r="R702" t="s">
        <v>74</v>
      </c>
      <c r="S702" t="s">
        <v>74</v>
      </c>
      <c r="T702" t="s">
        <v>14014</v>
      </c>
      <c r="U702" t="s">
        <v>14015</v>
      </c>
      <c r="V702" t="s">
        <v>14016</v>
      </c>
      <c r="W702" t="s">
        <v>14017</v>
      </c>
      <c r="X702" t="s">
        <v>14018</v>
      </c>
      <c r="Y702" t="s">
        <v>14019</v>
      </c>
      <c r="Z702" t="s">
        <v>14020</v>
      </c>
      <c r="AA702" t="s">
        <v>14021</v>
      </c>
      <c r="AB702" t="s">
        <v>14022</v>
      </c>
      <c r="AC702" t="s">
        <v>14023</v>
      </c>
      <c r="AD702" t="s">
        <v>14023</v>
      </c>
      <c r="AE702" t="s">
        <v>14024</v>
      </c>
      <c r="AF702" t="s">
        <v>74</v>
      </c>
      <c r="AG702">
        <v>93</v>
      </c>
      <c r="AH702">
        <v>3</v>
      </c>
      <c r="AI702">
        <v>3</v>
      </c>
      <c r="AJ702">
        <v>1</v>
      </c>
      <c r="AK702">
        <v>10</v>
      </c>
      <c r="AL702" t="s">
        <v>1572</v>
      </c>
      <c r="AM702" t="s">
        <v>1407</v>
      </c>
      <c r="AN702" t="s">
        <v>1573</v>
      </c>
      <c r="AO702" t="s">
        <v>14002</v>
      </c>
      <c r="AP702" t="s">
        <v>14003</v>
      </c>
      <c r="AQ702" t="s">
        <v>74</v>
      </c>
      <c r="AR702" t="s">
        <v>14004</v>
      </c>
      <c r="AS702" t="s">
        <v>14005</v>
      </c>
      <c r="AT702" t="s">
        <v>11892</v>
      </c>
      <c r="AU702">
        <v>2020</v>
      </c>
      <c r="AV702">
        <v>50</v>
      </c>
      <c r="AW702" t="s">
        <v>14006</v>
      </c>
      <c r="AX702" t="s">
        <v>74</v>
      </c>
      <c r="AY702" t="s">
        <v>74</v>
      </c>
      <c r="AZ702" t="s">
        <v>74</v>
      </c>
      <c r="BA702" t="s">
        <v>74</v>
      </c>
      <c r="BB702">
        <v>809</v>
      </c>
      <c r="BC702">
        <v>823</v>
      </c>
      <c r="BD702" t="s">
        <v>74</v>
      </c>
      <c r="BE702" t="s">
        <v>14025</v>
      </c>
      <c r="BF702" t="str">
        <f>HYPERLINK("http://dx.doi.org/10.1016/j.ijpara.2020.03.016","http://dx.doi.org/10.1016/j.ijpara.2020.03.016")</f>
        <v>http://dx.doi.org/10.1016/j.ijpara.2020.03.016</v>
      </c>
      <c r="BG702" t="s">
        <v>74</v>
      </c>
      <c r="BH702" t="s">
        <v>74</v>
      </c>
      <c r="BI702">
        <v>15</v>
      </c>
      <c r="BJ702" t="s">
        <v>14008</v>
      </c>
      <c r="BK702" t="s">
        <v>100</v>
      </c>
      <c r="BL702" t="s">
        <v>14008</v>
      </c>
      <c r="BM702" t="s">
        <v>14009</v>
      </c>
      <c r="BN702">
        <v>32569639</v>
      </c>
      <c r="BO702" t="s">
        <v>74</v>
      </c>
      <c r="BP702" t="s">
        <v>74</v>
      </c>
      <c r="BQ702" t="s">
        <v>74</v>
      </c>
      <c r="BR702" t="s">
        <v>104</v>
      </c>
      <c r="BS702" t="s">
        <v>14026</v>
      </c>
      <c r="BT702" t="str">
        <f>HYPERLINK("https%3A%2F%2Fwww.webofscience.com%2Fwos%2Fwoscc%2Ffull-record%2FWOS:000569152900009","View Full Record in Web of Science")</f>
        <v>View Full Record in Web of Science</v>
      </c>
    </row>
    <row r="703" spans="1:72" x14ac:dyDescent="0.15">
      <c r="A703" t="s">
        <v>72</v>
      </c>
      <c r="B703" t="s">
        <v>14027</v>
      </c>
      <c r="C703" t="s">
        <v>74</v>
      </c>
      <c r="D703" t="s">
        <v>74</v>
      </c>
      <c r="E703" t="s">
        <v>74</v>
      </c>
      <c r="F703" t="s">
        <v>14028</v>
      </c>
      <c r="G703" t="s">
        <v>74</v>
      </c>
      <c r="H703" t="s">
        <v>74</v>
      </c>
      <c r="I703" t="s">
        <v>14029</v>
      </c>
      <c r="J703" t="s">
        <v>2074</v>
      </c>
      <c r="K703" t="s">
        <v>74</v>
      </c>
      <c r="L703" t="s">
        <v>74</v>
      </c>
      <c r="M703" t="s">
        <v>78</v>
      </c>
      <c r="N703" t="s">
        <v>79</v>
      </c>
      <c r="O703" t="s">
        <v>74</v>
      </c>
      <c r="P703" t="s">
        <v>74</v>
      </c>
      <c r="Q703" t="s">
        <v>74</v>
      </c>
      <c r="R703" t="s">
        <v>74</v>
      </c>
      <c r="S703" t="s">
        <v>74</v>
      </c>
      <c r="T703" t="s">
        <v>14030</v>
      </c>
      <c r="U703" t="s">
        <v>14031</v>
      </c>
      <c r="V703" t="s">
        <v>14032</v>
      </c>
      <c r="W703" t="s">
        <v>14033</v>
      </c>
      <c r="X703" t="s">
        <v>14034</v>
      </c>
      <c r="Y703" t="s">
        <v>14035</v>
      </c>
      <c r="Z703" t="s">
        <v>14036</v>
      </c>
      <c r="AA703" t="s">
        <v>14037</v>
      </c>
      <c r="AB703" t="s">
        <v>14038</v>
      </c>
      <c r="AC703" t="s">
        <v>14039</v>
      </c>
      <c r="AD703" t="s">
        <v>14040</v>
      </c>
      <c r="AE703" t="s">
        <v>14041</v>
      </c>
      <c r="AF703" t="s">
        <v>74</v>
      </c>
      <c r="AG703">
        <v>36</v>
      </c>
      <c r="AH703">
        <v>11</v>
      </c>
      <c r="AI703">
        <v>14</v>
      </c>
      <c r="AJ703">
        <v>2</v>
      </c>
      <c r="AK703">
        <v>18</v>
      </c>
      <c r="AL703" t="s">
        <v>2085</v>
      </c>
      <c r="AM703" t="s">
        <v>2086</v>
      </c>
      <c r="AN703" t="s">
        <v>2087</v>
      </c>
      <c r="AO703" t="s">
        <v>74</v>
      </c>
      <c r="AP703" t="s">
        <v>2088</v>
      </c>
      <c r="AQ703" t="s">
        <v>74</v>
      </c>
      <c r="AR703" t="s">
        <v>2089</v>
      </c>
      <c r="AS703" t="s">
        <v>2090</v>
      </c>
      <c r="AT703" t="s">
        <v>11892</v>
      </c>
      <c r="AU703">
        <v>2020</v>
      </c>
      <c r="AV703">
        <v>12</v>
      </c>
      <c r="AW703">
        <v>17</v>
      </c>
      <c r="AX703" t="s">
        <v>74</v>
      </c>
      <c r="AY703" t="s">
        <v>74</v>
      </c>
      <c r="AZ703" t="s">
        <v>74</v>
      </c>
      <c r="BA703" t="s">
        <v>74</v>
      </c>
      <c r="BB703" t="s">
        <v>74</v>
      </c>
      <c r="BC703" t="s">
        <v>74</v>
      </c>
      <c r="BD703">
        <v>2848</v>
      </c>
      <c r="BE703" t="s">
        <v>14042</v>
      </c>
      <c r="BF703" t="str">
        <f>HYPERLINK("http://dx.doi.org/10.3390/rs12172848","http://dx.doi.org/10.3390/rs12172848")</f>
        <v>http://dx.doi.org/10.3390/rs12172848</v>
      </c>
      <c r="BG703" t="s">
        <v>74</v>
      </c>
      <c r="BH703" t="s">
        <v>74</v>
      </c>
      <c r="BI703">
        <v>18</v>
      </c>
      <c r="BJ703" t="s">
        <v>2092</v>
      </c>
      <c r="BK703" t="s">
        <v>100</v>
      </c>
      <c r="BL703" t="s">
        <v>2093</v>
      </c>
      <c r="BM703" t="s">
        <v>14043</v>
      </c>
      <c r="BN703" t="s">
        <v>74</v>
      </c>
      <c r="BO703" t="s">
        <v>202</v>
      </c>
      <c r="BP703" t="s">
        <v>74</v>
      </c>
      <c r="BQ703" t="s">
        <v>74</v>
      </c>
      <c r="BR703" t="s">
        <v>104</v>
      </c>
      <c r="BS703" t="s">
        <v>14044</v>
      </c>
      <c r="BT703" t="str">
        <f>HYPERLINK("https%3A%2F%2Fwww.webofscience.com%2Fwos%2Fwoscc%2Ffull-record%2FWOS:000569633700001","View Full Record in Web of Science")</f>
        <v>View Full Record in Web of Science</v>
      </c>
    </row>
    <row r="704" spans="1:72" x14ac:dyDescent="0.15">
      <c r="A704" t="s">
        <v>72</v>
      </c>
      <c r="B704" t="s">
        <v>14045</v>
      </c>
      <c r="C704" t="s">
        <v>74</v>
      </c>
      <c r="D704" t="s">
        <v>74</v>
      </c>
      <c r="E704" t="s">
        <v>74</v>
      </c>
      <c r="F704" t="s">
        <v>14046</v>
      </c>
      <c r="G704" t="s">
        <v>74</v>
      </c>
      <c r="H704" t="s">
        <v>74</v>
      </c>
      <c r="I704" t="s">
        <v>14047</v>
      </c>
      <c r="J704" t="s">
        <v>14048</v>
      </c>
      <c r="K704" t="s">
        <v>74</v>
      </c>
      <c r="L704" t="s">
        <v>74</v>
      </c>
      <c r="M704" t="s">
        <v>78</v>
      </c>
      <c r="N704" t="s">
        <v>79</v>
      </c>
      <c r="O704" t="s">
        <v>74</v>
      </c>
      <c r="P704" t="s">
        <v>74</v>
      </c>
      <c r="Q704" t="s">
        <v>74</v>
      </c>
      <c r="R704" t="s">
        <v>74</v>
      </c>
      <c r="S704" t="s">
        <v>74</v>
      </c>
      <c r="T704" t="s">
        <v>14049</v>
      </c>
      <c r="U704" t="s">
        <v>14050</v>
      </c>
      <c r="V704" t="s">
        <v>14051</v>
      </c>
      <c r="W704" t="s">
        <v>14052</v>
      </c>
      <c r="X704" t="s">
        <v>14053</v>
      </c>
      <c r="Y704" t="s">
        <v>14054</v>
      </c>
      <c r="Z704" t="s">
        <v>14055</v>
      </c>
      <c r="AA704" t="s">
        <v>14056</v>
      </c>
      <c r="AB704" t="s">
        <v>14057</v>
      </c>
      <c r="AC704" t="s">
        <v>14058</v>
      </c>
      <c r="AD704" t="s">
        <v>14059</v>
      </c>
      <c r="AE704" t="s">
        <v>14060</v>
      </c>
      <c r="AF704" t="s">
        <v>74</v>
      </c>
      <c r="AG704">
        <v>57</v>
      </c>
      <c r="AH704">
        <v>27</v>
      </c>
      <c r="AI704">
        <v>29</v>
      </c>
      <c r="AJ704">
        <v>2</v>
      </c>
      <c r="AK704">
        <v>8</v>
      </c>
      <c r="AL704" t="s">
        <v>2085</v>
      </c>
      <c r="AM704" t="s">
        <v>2086</v>
      </c>
      <c r="AN704" t="s">
        <v>2087</v>
      </c>
      <c r="AO704" t="s">
        <v>74</v>
      </c>
      <c r="AP704" t="s">
        <v>14061</v>
      </c>
      <c r="AQ704" t="s">
        <v>74</v>
      </c>
      <c r="AR704" t="s">
        <v>14062</v>
      </c>
      <c r="AS704" t="s">
        <v>14063</v>
      </c>
      <c r="AT704" t="s">
        <v>11892</v>
      </c>
      <c r="AU704">
        <v>2020</v>
      </c>
      <c r="AV704">
        <v>12</v>
      </c>
      <c r="AW704">
        <v>17</v>
      </c>
      <c r="AX704" t="s">
        <v>74</v>
      </c>
      <c r="AY704" t="s">
        <v>74</v>
      </c>
      <c r="AZ704" t="s">
        <v>74</v>
      </c>
      <c r="BA704" t="s">
        <v>74</v>
      </c>
      <c r="BB704" t="s">
        <v>74</v>
      </c>
      <c r="BC704" t="s">
        <v>74</v>
      </c>
      <c r="BD704">
        <v>6966</v>
      </c>
      <c r="BE704" t="s">
        <v>14064</v>
      </c>
      <c r="BF704" t="str">
        <f>HYPERLINK("http://dx.doi.org/10.3390/su12176966","http://dx.doi.org/10.3390/su12176966")</f>
        <v>http://dx.doi.org/10.3390/su12176966</v>
      </c>
      <c r="BG704" t="s">
        <v>74</v>
      </c>
      <c r="BH704" t="s">
        <v>74</v>
      </c>
      <c r="BI704">
        <v>14</v>
      </c>
      <c r="BJ704" t="s">
        <v>4459</v>
      </c>
      <c r="BK704" t="s">
        <v>255</v>
      </c>
      <c r="BL704" t="s">
        <v>4460</v>
      </c>
      <c r="BM704" t="s">
        <v>14065</v>
      </c>
      <c r="BN704" t="s">
        <v>74</v>
      </c>
      <c r="BO704" t="s">
        <v>5850</v>
      </c>
      <c r="BP704" t="s">
        <v>74</v>
      </c>
      <c r="BQ704" t="s">
        <v>74</v>
      </c>
      <c r="BR704" t="s">
        <v>104</v>
      </c>
      <c r="BS704" t="s">
        <v>14066</v>
      </c>
      <c r="BT704" t="str">
        <f>HYPERLINK("https%3A%2F%2Fwww.webofscience.com%2Fwos%2Fwoscc%2Ffull-record%2FWOS:000569692900001","View Full Record in Web of Science")</f>
        <v>View Full Record in Web of Science</v>
      </c>
    </row>
    <row r="705" spans="1:72" x14ac:dyDescent="0.15">
      <c r="A705" t="s">
        <v>72</v>
      </c>
      <c r="B705" t="s">
        <v>14067</v>
      </c>
      <c r="C705" t="s">
        <v>74</v>
      </c>
      <c r="D705" t="s">
        <v>74</v>
      </c>
      <c r="E705" t="s">
        <v>74</v>
      </c>
      <c r="F705" t="s">
        <v>14068</v>
      </c>
      <c r="G705" t="s">
        <v>74</v>
      </c>
      <c r="H705" t="s">
        <v>74</v>
      </c>
      <c r="I705" t="s">
        <v>14069</v>
      </c>
      <c r="J705" t="s">
        <v>14070</v>
      </c>
      <c r="K705" t="s">
        <v>74</v>
      </c>
      <c r="L705" t="s">
        <v>74</v>
      </c>
      <c r="M705" t="s">
        <v>78</v>
      </c>
      <c r="N705" t="s">
        <v>79</v>
      </c>
      <c r="O705" t="s">
        <v>74</v>
      </c>
      <c r="P705" t="s">
        <v>74</v>
      </c>
      <c r="Q705" t="s">
        <v>74</v>
      </c>
      <c r="R705" t="s">
        <v>74</v>
      </c>
      <c r="S705" t="s">
        <v>74</v>
      </c>
      <c r="T705" t="s">
        <v>14071</v>
      </c>
      <c r="U705" t="s">
        <v>14072</v>
      </c>
      <c r="V705" t="s">
        <v>14073</v>
      </c>
      <c r="W705" t="s">
        <v>14074</v>
      </c>
      <c r="X705" t="s">
        <v>14075</v>
      </c>
      <c r="Y705" t="s">
        <v>14076</v>
      </c>
      <c r="Z705" t="s">
        <v>14077</v>
      </c>
      <c r="AA705" t="s">
        <v>14078</v>
      </c>
      <c r="AB705" t="s">
        <v>14079</v>
      </c>
      <c r="AC705" t="s">
        <v>14080</v>
      </c>
      <c r="AD705" t="s">
        <v>14081</v>
      </c>
      <c r="AE705" t="s">
        <v>14082</v>
      </c>
      <c r="AF705" t="s">
        <v>74</v>
      </c>
      <c r="AG705">
        <v>55</v>
      </c>
      <c r="AH705">
        <v>6</v>
      </c>
      <c r="AI705">
        <v>6</v>
      </c>
      <c r="AJ705">
        <v>1</v>
      </c>
      <c r="AK705">
        <v>11</v>
      </c>
      <c r="AL705" t="s">
        <v>275</v>
      </c>
      <c r="AM705" t="s">
        <v>276</v>
      </c>
      <c r="AN705" t="s">
        <v>277</v>
      </c>
      <c r="AO705" t="s">
        <v>14083</v>
      </c>
      <c r="AP705" t="s">
        <v>74</v>
      </c>
      <c r="AQ705" t="s">
        <v>74</v>
      </c>
      <c r="AR705" t="s">
        <v>14084</v>
      </c>
      <c r="AS705" t="s">
        <v>14085</v>
      </c>
      <c r="AT705" t="s">
        <v>11892</v>
      </c>
      <c r="AU705">
        <v>2020</v>
      </c>
      <c r="AV705">
        <v>22</v>
      </c>
      <c r="AW705" t="s">
        <v>74</v>
      </c>
      <c r="AX705" t="s">
        <v>74</v>
      </c>
      <c r="AY705" t="s">
        <v>74</v>
      </c>
      <c r="AZ705" t="s">
        <v>74</v>
      </c>
      <c r="BA705" t="s">
        <v>74</v>
      </c>
      <c r="BB705" t="s">
        <v>74</v>
      </c>
      <c r="BC705" t="s">
        <v>74</v>
      </c>
      <c r="BD705" t="s">
        <v>14086</v>
      </c>
      <c r="BE705" t="s">
        <v>14087</v>
      </c>
      <c r="BF705" t="str">
        <f>HYPERLINK("http://dx.doi.org/10.1016/j.geodrs.2020.e00305","http://dx.doi.org/10.1016/j.geodrs.2020.e00305")</f>
        <v>http://dx.doi.org/10.1016/j.geodrs.2020.e00305</v>
      </c>
      <c r="BG705" t="s">
        <v>74</v>
      </c>
      <c r="BH705" t="s">
        <v>74</v>
      </c>
      <c r="BI705">
        <v>16</v>
      </c>
      <c r="BJ705" t="s">
        <v>14088</v>
      </c>
      <c r="BK705" t="s">
        <v>100</v>
      </c>
      <c r="BL705" t="s">
        <v>14089</v>
      </c>
      <c r="BM705" t="s">
        <v>14090</v>
      </c>
      <c r="BN705" t="s">
        <v>74</v>
      </c>
      <c r="BO705" t="s">
        <v>74</v>
      </c>
      <c r="BP705" t="s">
        <v>74</v>
      </c>
      <c r="BQ705" t="s">
        <v>74</v>
      </c>
      <c r="BR705" t="s">
        <v>104</v>
      </c>
      <c r="BS705" t="s">
        <v>14091</v>
      </c>
      <c r="BT705" t="str">
        <f>HYPERLINK("https%3A%2F%2Fwww.webofscience.com%2Fwos%2Fwoscc%2Ffull-record%2FWOS:000568759600008","View Full Record in Web of Science")</f>
        <v>View Full Record in Web of Science</v>
      </c>
    </row>
    <row r="706" spans="1:72" x14ac:dyDescent="0.15">
      <c r="A706" t="s">
        <v>72</v>
      </c>
      <c r="B706" t="s">
        <v>14092</v>
      </c>
      <c r="C706" t="s">
        <v>74</v>
      </c>
      <c r="D706" t="s">
        <v>74</v>
      </c>
      <c r="E706" t="s">
        <v>74</v>
      </c>
      <c r="F706" t="s">
        <v>14093</v>
      </c>
      <c r="G706" t="s">
        <v>74</v>
      </c>
      <c r="H706" t="s">
        <v>74</v>
      </c>
      <c r="I706" t="s">
        <v>14094</v>
      </c>
      <c r="J706" t="s">
        <v>14095</v>
      </c>
      <c r="K706" t="s">
        <v>74</v>
      </c>
      <c r="L706" t="s">
        <v>74</v>
      </c>
      <c r="M706" t="s">
        <v>78</v>
      </c>
      <c r="N706" t="s">
        <v>79</v>
      </c>
      <c r="O706" t="s">
        <v>74</v>
      </c>
      <c r="P706" t="s">
        <v>74</v>
      </c>
      <c r="Q706" t="s">
        <v>74</v>
      </c>
      <c r="R706" t="s">
        <v>74</v>
      </c>
      <c r="S706" t="s">
        <v>74</v>
      </c>
      <c r="T706" t="s">
        <v>14096</v>
      </c>
      <c r="U706" t="s">
        <v>74</v>
      </c>
      <c r="V706" t="s">
        <v>14097</v>
      </c>
      <c r="W706" t="s">
        <v>14098</v>
      </c>
      <c r="X706" t="s">
        <v>14099</v>
      </c>
      <c r="Y706" t="s">
        <v>14100</v>
      </c>
      <c r="Z706" t="s">
        <v>14101</v>
      </c>
      <c r="AA706" t="s">
        <v>74</v>
      </c>
      <c r="AB706" t="s">
        <v>74</v>
      </c>
      <c r="AC706" t="s">
        <v>14102</v>
      </c>
      <c r="AD706" t="s">
        <v>14103</v>
      </c>
      <c r="AE706" t="s">
        <v>14104</v>
      </c>
      <c r="AF706" t="s">
        <v>74</v>
      </c>
      <c r="AG706">
        <v>29</v>
      </c>
      <c r="AH706">
        <v>3</v>
      </c>
      <c r="AI706">
        <v>3</v>
      </c>
      <c r="AJ706">
        <v>0</v>
      </c>
      <c r="AK706">
        <v>4</v>
      </c>
      <c r="AL706" t="s">
        <v>1276</v>
      </c>
      <c r="AM706" t="s">
        <v>7138</v>
      </c>
      <c r="AN706" t="s">
        <v>14105</v>
      </c>
      <c r="AO706" t="s">
        <v>14106</v>
      </c>
      <c r="AP706" t="s">
        <v>14107</v>
      </c>
      <c r="AQ706" t="s">
        <v>74</v>
      </c>
      <c r="AR706" t="s">
        <v>14108</v>
      </c>
      <c r="AS706" t="s">
        <v>14109</v>
      </c>
      <c r="AT706" t="s">
        <v>11892</v>
      </c>
      <c r="AU706">
        <v>2020</v>
      </c>
      <c r="AV706">
        <v>55</v>
      </c>
      <c r="AW706">
        <v>5</v>
      </c>
      <c r="AX706" t="s">
        <v>74</v>
      </c>
      <c r="AY706" t="s">
        <v>74</v>
      </c>
      <c r="AZ706" t="s">
        <v>74</v>
      </c>
      <c r="BA706" t="s">
        <v>74</v>
      </c>
      <c r="BB706">
        <v>327</v>
      </c>
      <c r="BC706">
        <v>337</v>
      </c>
      <c r="BD706" t="s">
        <v>74</v>
      </c>
      <c r="BE706" t="s">
        <v>14110</v>
      </c>
      <c r="BF706" t="str">
        <f>HYPERLINK("http://dx.doi.org/10.1134/S0024490220040045","http://dx.doi.org/10.1134/S0024490220040045")</f>
        <v>http://dx.doi.org/10.1134/S0024490220040045</v>
      </c>
      <c r="BG706" t="s">
        <v>74</v>
      </c>
      <c r="BH706" t="s">
        <v>74</v>
      </c>
      <c r="BI706">
        <v>11</v>
      </c>
      <c r="BJ706" t="s">
        <v>14111</v>
      </c>
      <c r="BK706" t="s">
        <v>100</v>
      </c>
      <c r="BL706" t="s">
        <v>14111</v>
      </c>
      <c r="BM706" t="s">
        <v>14112</v>
      </c>
      <c r="BN706" t="s">
        <v>74</v>
      </c>
      <c r="BO706" t="s">
        <v>74</v>
      </c>
      <c r="BP706" t="s">
        <v>74</v>
      </c>
      <c r="BQ706" t="s">
        <v>74</v>
      </c>
      <c r="BR706" t="s">
        <v>104</v>
      </c>
      <c r="BS706" t="s">
        <v>14113</v>
      </c>
      <c r="BT706" t="str">
        <f>HYPERLINK("https%3A%2F%2Fwww.webofscience.com%2Fwos%2Fwoscc%2Ffull-record%2FWOS:000568830100001","View Full Record in Web of Science")</f>
        <v>View Full Record in Web of Science</v>
      </c>
    </row>
    <row r="707" spans="1:72" x14ac:dyDescent="0.15">
      <c r="A707" t="s">
        <v>72</v>
      </c>
      <c r="B707" t="s">
        <v>14114</v>
      </c>
      <c r="C707" t="s">
        <v>74</v>
      </c>
      <c r="D707" t="s">
        <v>74</v>
      </c>
      <c r="E707" t="s">
        <v>74</v>
      </c>
      <c r="F707" t="s">
        <v>14115</v>
      </c>
      <c r="G707" t="s">
        <v>74</v>
      </c>
      <c r="H707" t="s">
        <v>74</v>
      </c>
      <c r="I707" t="s">
        <v>14116</v>
      </c>
      <c r="J707" t="s">
        <v>14095</v>
      </c>
      <c r="K707" t="s">
        <v>74</v>
      </c>
      <c r="L707" t="s">
        <v>74</v>
      </c>
      <c r="M707" t="s">
        <v>78</v>
      </c>
      <c r="N707" t="s">
        <v>79</v>
      </c>
      <c r="O707" t="s">
        <v>74</v>
      </c>
      <c r="P707" t="s">
        <v>74</v>
      </c>
      <c r="Q707" t="s">
        <v>74</v>
      </c>
      <c r="R707" t="s">
        <v>74</v>
      </c>
      <c r="S707" t="s">
        <v>74</v>
      </c>
      <c r="T707" t="s">
        <v>14117</v>
      </c>
      <c r="U707" t="s">
        <v>14118</v>
      </c>
      <c r="V707" t="s">
        <v>14119</v>
      </c>
      <c r="W707" t="s">
        <v>14120</v>
      </c>
      <c r="X707" t="s">
        <v>14121</v>
      </c>
      <c r="Y707" t="s">
        <v>14122</v>
      </c>
      <c r="Z707" t="s">
        <v>14123</v>
      </c>
      <c r="AA707" t="s">
        <v>14124</v>
      </c>
      <c r="AB707" t="s">
        <v>14125</v>
      </c>
      <c r="AC707" t="s">
        <v>14126</v>
      </c>
      <c r="AD707" t="s">
        <v>14127</v>
      </c>
      <c r="AE707" t="s">
        <v>14128</v>
      </c>
      <c r="AF707" t="s">
        <v>74</v>
      </c>
      <c r="AG707">
        <v>32</v>
      </c>
      <c r="AH707">
        <v>1</v>
      </c>
      <c r="AI707">
        <v>1</v>
      </c>
      <c r="AJ707">
        <v>0</v>
      </c>
      <c r="AK707">
        <v>2</v>
      </c>
      <c r="AL707" t="s">
        <v>1276</v>
      </c>
      <c r="AM707" t="s">
        <v>7138</v>
      </c>
      <c r="AN707" t="s">
        <v>14105</v>
      </c>
      <c r="AO707" t="s">
        <v>14106</v>
      </c>
      <c r="AP707" t="s">
        <v>14107</v>
      </c>
      <c r="AQ707" t="s">
        <v>74</v>
      </c>
      <c r="AR707" t="s">
        <v>14108</v>
      </c>
      <c r="AS707" t="s">
        <v>14109</v>
      </c>
      <c r="AT707" t="s">
        <v>11892</v>
      </c>
      <c r="AU707">
        <v>2020</v>
      </c>
      <c r="AV707">
        <v>55</v>
      </c>
      <c r="AW707">
        <v>5</v>
      </c>
      <c r="AX707" t="s">
        <v>74</v>
      </c>
      <c r="AY707" t="s">
        <v>74</v>
      </c>
      <c r="AZ707" t="s">
        <v>74</v>
      </c>
      <c r="BA707" t="s">
        <v>74</v>
      </c>
      <c r="BB707">
        <v>338</v>
      </c>
      <c r="BC707">
        <v>344</v>
      </c>
      <c r="BD707" t="s">
        <v>74</v>
      </c>
      <c r="BE707" t="s">
        <v>14129</v>
      </c>
      <c r="BF707" t="str">
        <f>HYPERLINK("http://dx.doi.org/10.1134/S0024490220050028","http://dx.doi.org/10.1134/S0024490220050028")</f>
        <v>http://dx.doi.org/10.1134/S0024490220050028</v>
      </c>
      <c r="BG707" t="s">
        <v>74</v>
      </c>
      <c r="BH707" t="s">
        <v>74</v>
      </c>
      <c r="BI707">
        <v>7</v>
      </c>
      <c r="BJ707" t="s">
        <v>14111</v>
      </c>
      <c r="BK707" t="s">
        <v>100</v>
      </c>
      <c r="BL707" t="s">
        <v>14111</v>
      </c>
      <c r="BM707" t="s">
        <v>14112</v>
      </c>
      <c r="BN707" t="s">
        <v>74</v>
      </c>
      <c r="BO707" t="s">
        <v>74</v>
      </c>
      <c r="BP707" t="s">
        <v>74</v>
      </c>
      <c r="BQ707" t="s">
        <v>74</v>
      </c>
      <c r="BR707" t="s">
        <v>104</v>
      </c>
      <c r="BS707" t="s">
        <v>14130</v>
      </c>
      <c r="BT707" t="str">
        <f>HYPERLINK("https%3A%2F%2Fwww.webofscience.com%2Fwos%2Fwoscc%2Ffull-record%2FWOS:000568830100002","View Full Record in Web of Science")</f>
        <v>View Full Record in Web of Science</v>
      </c>
    </row>
    <row r="708" spans="1:72" x14ac:dyDescent="0.15">
      <c r="A708" t="s">
        <v>72</v>
      </c>
      <c r="B708" t="s">
        <v>14131</v>
      </c>
      <c r="C708" t="s">
        <v>74</v>
      </c>
      <c r="D708" t="s">
        <v>74</v>
      </c>
      <c r="E708" t="s">
        <v>74</v>
      </c>
      <c r="F708" t="s">
        <v>14132</v>
      </c>
      <c r="G708" t="s">
        <v>74</v>
      </c>
      <c r="H708" t="s">
        <v>74</v>
      </c>
      <c r="I708" t="s">
        <v>14133</v>
      </c>
      <c r="J708" t="s">
        <v>14134</v>
      </c>
      <c r="K708" t="s">
        <v>74</v>
      </c>
      <c r="L708" t="s">
        <v>74</v>
      </c>
      <c r="M708" t="s">
        <v>78</v>
      </c>
      <c r="N708" t="s">
        <v>79</v>
      </c>
      <c r="O708" t="s">
        <v>74</v>
      </c>
      <c r="P708" t="s">
        <v>74</v>
      </c>
      <c r="Q708" t="s">
        <v>74</v>
      </c>
      <c r="R708" t="s">
        <v>74</v>
      </c>
      <c r="S708" t="s">
        <v>74</v>
      </c>
      <c r="T708" t="s">
        <v>14135</v>
      </c>
      <c r="U708" t="s">
        <v>14136</v>
      </c>
      <c r="V708" t="s">
        <v>14137</v>
      </c>
      <c r="W708" t="s">
        <v>14138</v>
      </c>
      <c r="X708" t="s">
        <v>14139</v>
      </c>
      <c r="Y708" t="s">
        <v>14140</v>
      </c>
      <c r="Z708" t="s">
        <v>14141</v>
      </c>
      <c r="AA708" t="s">
        <v>74</v>
      </c>
      <c r="AB708" t="s">
        <v>74</v>
      </c>
      <c r="AC708" t="s">
        <v>14142</v>
      </c>
      <c r="AD708" t="s">
        <v>9009</v>
      </c>
      <c r="AE708" t="s">
        <v>14143</v>
      </c>
      <c r="AF708" t="s">
        <v>74</v>
      </c>
      <c r="AG708">
        <v>21</v>
      </c>
      <c r="AH708">
        <v>1</v>
      </c>
      <c r="AI708">
        <v>3</v>
      </c>
      <c r="AJ708">
        <v>1</v>
      </c>
      <c r="AK708">
        <v>13</v>
      </c>
      <c r="AL708" t="s">
        <v>2085</v>
      </c>
      <c r="AM708" t="s">
        <v>2086</v>
      </c>
      <c r="AN708" t="s">
        <v>2087</v>
      </c>
      <c r="AO708" t="s">
        <v>74</v>
      </c>
      <c r="AP708" t="s">
        <v>14144</v>
      </c>
      <c r="AQ708" t="s">
        <v>74</v>
      </c>
      <c r="AR708" t="s">
        <v>14145</v>
      </c>
      <c r="AS708" t="s">
        <v>14146</v>
      </c>
      <c r="AT708" t="s">
        <v>11892</v>
      </c>
      <c r="AU708">
        <v>2020</v>
      </c>
      <c r="AV708">
        <v>20</v>
      </c>
      <c r="AW708">
        <v>17</v>
      </c>
      <c r="AX708" t="s">
        <v>74</v>
      </c>
      <c r="AY708" t="s">
        <v>74</v>
      </c>
      <c r="AZ708" t="s">
        <v>74</v>
      </c>
      <c r="BA708" t="s">
        <v>74</v>
      </c>
      <c r="BB708" t="s">
        <v>74</v>
      </c>
      <c r="BC708" t="s">
        <v>74</v>
      </c>
      <c r="BD708">
        <v>4662</v>
      </c>
      <c r="BE708" t="s">
        <v>14147</v>
      </c>
      <c r="BF708" t="str">
        <f>HYPERLINK("http://dx.doi.org/10.3390/s20174662","http://dx.doi.org/10.3390/s20174662")</f>
        <v>http://dx.doi.org/10.3390/s20174662</v>
      </c>
      <c r="BG708" t="s">
        <v>74</v>
      </c>
      <c r="BH708" t="s">
        <v>74</v>
      </c>
      <c r="BI708">
        <v>20</v>
      </c>
      <c r="BJ708" t="s">
        <v>14148</v>
      </c>
      <c r="BK708" t="s">
        <v>100</v>
      </c>
      <c r="BL708" t="s">
        <v>14149</v>
      </c>
      <c r="BM708" t="s">
        <v>14150</v>
      </c>
      <c r="BN708">
        <v>32824950</v>
      </c>
      <c r="BO708" t="s">
        <v>2113</v>
      </c>
      <c r="BP708" t="s">
        <v>74</v>
      </c>
      <c r="BQ708" t="s">
        <v>74</v>
      </c>
      <c r="BR708" t="s">
        <v>104</v>
      </c>
      <c r="BS708" t="s">
        <v>14151</v>
      </c>
      <c r="BT708" t="str">
        <f>HYPERLINK("https%3A%2F%2Fwww.webofscience.com%2Fwos%2Fwoscc%2Ffull-record%2FWOS:000569668300001","View Full Record in Web of Science")</f>
        <v>View Full Record in Web of Science</v>
      </c>
    </row>
    <row r="709" spans="1:72" x14ac:dyDescent="0.15">
      <c r="A709" t="s">
        <v>72</v>
      </c>
      <c r="B709" t="s">
        <v>14152</v>
      </c>
      <c r="C709" t="s">
        <v>74</v>
      </c>
      <c r="D709" t="s">
        <v>74</v>
      </c>
      <c r="E709" t="s">
        <v>74</v>
      </c>
      <c r="F709" t="s">
        <v>14153</v>
      </c>
      <c r="G709" t="s">
        <v>74</v>
      </c>
      <c r="H709" t="s">
        <v>74</v>
      </c>
      <c r="I709" t="s">
        <v>14154</v>
      </c>
      <c r="J709" t="s">
        <v>14155</v>
      </c>
      <c r="K709" t="s">
        <v>74</v>
      </c>
      <c r="L709" t="s">
        <v>74</v>
      </c>
      <c r="M709" t="s">
        <v>78</v>
      </c>
      <c r="N709" t="s">
        <v>79</v>
      </c>
      <c r="O709" t="s">
        <v>74</v>
      </c>
      <c r="P709" t="s">
        <v>74</v>
      </c>
      <c r="Q709" t="s">
        <v>74</v>
      </c>
      <c r="R709" t="s">
        <v>74</v>
      </c>
      <c r="S709" t="s">
        <v>74</v>
      </c>
      <c r="T709" t="s">
        <v>14156</v>
      </c>
      <c r="U709" t="s">
        <v>14157</v>
      </c>
      <c r="V709" t="s">
        <v>14158</v>
      </c>
      <c r="W709" t="s">
        <v>14159</v>
      </c>
      <c r="X709" t="s">
        <v>14160</v>
      </c>
      <c r="Y709" t="s">
        <v>14161</v>
      </c>
      <c r="Z709" t="s">
        <v>14162</v>
      </c>
      <c r="AA709" t="s">
        <v>14163</v>
      </c>
      <c r="AB709" t="s">
        <v>14164</v>
      </c>
      <c r="AC709" t="s">
        <v>14165</v>
      </c>
      <c r="AD709" t="s">
        <v>14165</v>
      </c>
      <c r="AE709" t="s">
        <v>14166</v>
      </c>
      <c r="AF709" t="s">
        <v>74</v>
      </c>
      <c r="AG709">
        <v>30</v>
      </c>
      <c r="AH709">
        <v>1</v>
      </c>
      <c r="AI709">
        <v>1</v>
      </c>
      <c r="AJ709">
        <v>0</v>
      </c>
      <c r="AK709">
        <v>4</v>
      </c>
      <c r="AL709" t="s">
        <v>14167</v>
      </c>
      <c r="AM709" t="s">
        <v>14168</v>
      </c>
      <c r="AN709" t="s">
        <v>14169</v>
      </c>
      <c r="AO709" t="s">
        <v>14170</v>
      </c>
      <c r="AP709" t="s">
        <v>14171</v>
      </c>
      <c r="AQ709" t="s">
        <v>74</v>
      </c>
      <c r="AR709" t="s">
        <v>14172</v>
      </c>
      <c r="AS709" t="s">
        <v>14173</v>
      </c>
      <c r="AT709" t="s">
        <v>11892</v>
      </c>
      <c r="AU709">
        <v>2020</v>
      </c>
      <c r="AV709">
        <v>82</v>
      </c>
      <c r="AW709">
        <v>5</v>
      </c>
      <c r="AX709" t="s">
        <v>74</v>
      </c>
      <c r="AY709" t="s">
        <v>74</v>
      </c>
      <c r="AZ709" t="s">
        <v>74</v>
      </c>
      <c r="BA709" t="s">
        <v>74</v>
      </c>
      <c r="BB709">
        <v>165</v>
      </c>
      <c r="BC709">
        <v>171</v>
      </c>
      <c r="BD709" t="s">
        <v>74</v>
      </c>
      <c r="BE709" t="s">
        <v>14174</v>
      </c>
      <c r="BF709" t="str">
        <f>HYPERLINK("http://dx.doi.org/10.11113/jt.v82.14701","http://dx.doi.org/10.11113/jt.v82.14701")</f>
        <v>http://dx.doi.org/10.11113/jt.v82.14701</v>
      </c>
      <c r="BG709" t="s">
        <v>74</v>
      </c>
      <c r="BH709" t="s">
        <v>74</v>
      </c>
      <c r="BI709">
        <v>7</v>
      </c>
      <c r="BJ709" t="s">
        <v>7401</v>
      </c>
      <c r="BK709" t="s">
        <v>1214</v>
      </c>
      <c r="BL709" t="s">
        <v>3284</v>
      </c>
      <c r="BM709" t="s">
        <v>14175</v>
      </c>
      <c r="BN709" t="s">
        <v>74</v>
      </c>
      <c r="BO709" t="s">
        <v>202</v>
      </c>
      <c r="BP709" t="s">
        <v>74</v>
      </c>
      <c r="BQ709" t="s">
        <v>74</v>
      </c>
      <c r="BR709" t="s">
        <v>104</v>
      </c>
      <c r="BS709" t="s">
        <v>14176</v>
      </c>
      <c r="BT709" t="str">
        <f>HYPERLINK("https%3A%2F%2Fwww.webofscience.com%2Fwos%2Fwoscc%2Ffull-record%2FWOS:000568361500019","View Full Record in Web of Science")</f>
        <v>View Full Record in Web of Science</v>
      </c>
    </row>
    <row r="710" spans="1:72" x14ac:dyDescent="0.15">
      <c r="A710" t="s">
        <v>72</v>
      </c>
      <c r="B710" t="s">
        <v>14177</v>
      </c>
      <c r="C710" t="s">
        <v>74</v>
      </c>
      <c r="D710" t="s">
        <v>74</v>
      </c>
      <c r="E710" t="s">
        <v>74</v>
      </c>
      <c r="F710" t="s">
        <v>14178</v>
      </c>
      <c r="G710" t="s">
        <v>74</v>
      </c>
      <c r="H710" t="s">
        <v>74</v>
      </c>
      <c r="I710" t="s">
        <v>14179</v>
      </c>
      <c r="J710" t="s">
        <v>9765</v>
      </c>
      <c r="K710" t="s">
        <v>74</v>
      </c>
      <c r="L710" t="s">
        <v>74</v>
      </c>
      <c r="M710" t="s">
        <v>78</v>
      </c>
      <c r="N710" t="s">
        <v>79</v>
      </c>
      <c r="O710" t="s">
        <v>74</v>
      </c>
      <c r="P710" t="s">
        <v>74</v>
      </c>
      <c r="Q710" t="s">
        <v>74</v>
      </c>
      <c r="R710" t="s">
        <v>74</v>
      </c>
      <c r="S710" t="s">
        <v>74</v>
      </c>
      <c r="T710" t="s">
        <v>74</v>
      </c>
      <c r="U710" t="s">
        <v>14180</v>
      </c>
      <c r="V710" t="s">
        <v>14181</v>
      </c>
      <c r="W710" t="s">
        <v>14182</v>
      </c>
      <c r="X710" t="s">
        <v>14183</v>
      </c>
      <c r="Y710" t="s">
        <v>14184</v>
      </c>
      <c r="Z710" t="s">
        <v>14185</v>
      </c>
      <c r="AA710" t="s">
        <v>14186</v>
      </c>
      <c r="AB710" t="s">
        <v>14187</v>
      </c>
      <c r="AC710" t="s">
        <v>14188</v>
      </c>
      <c r="AD710" t="s">
        <v>14189</v>
      </c>
      <c r="AE710" t="s">
        <v>14190</v>
      </c>
      <c r="AF710" t="s">
        <v>74</v>
      </c>
      <c r="AG710">
        <v>144</v>
      </c>
      <c r="AH710">
        <v>20</v>
      </c>
      <c r="AI710">
        <v>19</v>
      </c>
      <c r="AJ710">
        <v>0</v>
      </c>
      <c r="AK710">
        <v>8</v>
      </c>
      <c r="AL710" t="s">
        <v>91</v>
      </c>
      <c r="AM710" t="s">
        <v>92</v>
      </c>
      <c r="AN710" t="s">
        <v>93</v>
      </c>
      <c r="AO710" t="s">
        <v>9777</v>
      </c>
      <c r="AP710" t="s">
        <v>9778</v>
      </c>
      <c r="AQ710" t="s">
        <v>74</v>
      </c>
      <c r="AR710" t="s">
        <v>9779</v>
      </c>
      <c r="AS710" t="s">
        <v>9780</v>
      </c>
      <c r="AT710" t="s">
        <v>12502</v>
      </c>
      <c r="AU710">
        <v>2020</v>
      </c>
      <c r="AV710">
        <v>16</v>
      </c>
      <c r="AW710">
        <v>5</v>
      </c>
      <c r="AX710" t="s">
        <v>74</v>
      </c>
      <c r="AY710" t="s">
        <v>74</v>
      </c>
      <c r="AZ710" t="s">
        <v>74</v>
      </c>
      <c r="BA710" t="s">
        <v>74</v>
      </c>
      <c r="BB710">
        <v>1667</v>
      </c>
      <c r="BC710">
        <v>1689</v>
      </c>
      <c r="BD710" t="s">
        <v>74</v>
      </c>
      <c r="BE710" t="s">
        <v>14191</v>
      </c>
      <c r="BF710" t="str">
        <f>HYPERLINK("http://dx.doi.org/10.5194/cp-16-1667-2020","http://dx.doi.org/10.5194/cp-16-1667-2020")</f>
        <v>http://dx.doi.org/10.5194/cp-16-1667-2020</v>
      </c>
      <c r="BG710" t="s">
        <v>74</v>
      </c>
      <c r="BH710" t="s">
        <v>74</v>
      </c>
      <c r="BI710">
        <v>23</v>
      </c>
      <c r="BJ710" t="s">
        <v>3614</v>
      </c>
      <c r="BK710" t="s">
        <v>100</v>
      </c>
      <c r="BL710" t="s">
        <v>3615</v>
      </c>
      <c r="BM710" t="s">
        <v>14192</v>
      </c>
      <c r="BN710" t="s">
        <v>74</v>
      </c>
      <c r="BO710" t="s">
        <v>4267</v>
      </c>
      <c r="BP710" t="s">
        <v>74</v>
      </c>
      <c r="BQ710" t="s">
        <v>74</v>
      </c>
      <c r="BR710" t="s">
        <v>104</v>
      </c>
      <c r="BS710" t="s">
        <v>14193</v>
      </c>
      <c r="BT710" t="str">
        <f>HYPERLINK("https%3A%2F%2Fwww.webofscience.com%2Fwos%2Fwoscc%2Ffull-record%2FWOS:000567769700001","View Full Record in Web of Science")</f>
        <v>View Full Record in Web of Science</v>
      </c>
    </row>
    <row r="711" spans="1:72" x14ac:dyDescent="0.15">
      <c r="A711" t="s">
        <v>72</v>
      </c>
      <c r="B711" t="s">
        <v>14194</v>
      </c>
      <c r="C711" t="s">
        <v>74</v>
      </c>
      <c r="D711" t="s">
        <v>74</v>
      </c>
      <c r="E711" t="s">
        <v>74</v>
      </c>
      <c r="F711" t="s">
        <v>14195</v>
      </c>
      <c r="G711" t="s">
        <v>74</v>
      </c>
      <c r="H711" t="s">
        <v>74</v>
      </c>
      <c r="I711" t="s">
        <v>14196</v>
      </c>
      <c r="J711" t="s">
        <v>2443</v>
      </c>
      <c r="K711" t="s">
        <v>74</v>
      </c>
      <c r="L711" t="s">
        <v>74</v>
      </c>
      <c r="M711" t="s">
        <v>78</v>
      </c>
      <c r="N711" t="s">
        <v>79</v>
      </c>
      <c r="O711" t="s">
        <v>74</v>
      </c>
      <c r="P711" t="s">
        <v>74</v>
      </c>
      <c r="Q711" t="s">
        <v>74</v>
      </c>
      <c r="R711" t="s">
        <v>74</v>
      </c>
      <c r="S711" t="s">
        <v>74</v>
      </c>
      <c r="T711" t="s">
        <v>14197</v>
      </c>
      <c r="U711" t="s">
        <v>14198</v>
      </c>
      <c r="V711" t="s">
        <v>14199</v>
      </c>
      <c r="W711" t="s">
        <v>14200</v>
      </c>
      <c r="X711" t="s">
        <v>14201</v>
      </c>
      <c r="Y711" t="s">
        <v>14202</v>
      </c>
      <c r="Z711" t="s">
        <v>14203</v>
      </c>
      <c r="AA711" t="s">
        <v>14204</v>
      </c>
      <c r="AB711" t="s">
        <v>14205</v>
      </c>
      <c r="AC711" t="s">
        <v>14206</v>
      </c>
      <c r="AD711" t="s">
        <v>14207</v>
      </c>
      <c r="AE711" t="s">
        <v>14208</v>
      </c>
      <c r="AF711" t="s">
        <v>74</v>
      </c>
      <c r="AG711">
        <v>49</v>
      </c>
      <c r="AH711">
        <v>5</v>
      </c>
      <c r="AI711">
        <v>6</v>
      </c>
      <c r="AJ711">
        <v>0</v>
      </c>
      <c r="AK711">
        <v>8</v>
      </c>
      <c r="AL711" t="s">
        <v>1406</v>
      </c>
      <c r="AM711" t="s">
        <v>1407</v>
      </c>
      <c r="AN711" t="s">
        <v>1408</v>
      </c>
      <c r="AO711" t="s">
        <v>2456</v>
      </c>
      <c r="AP711" t="s">
        <v>2457</v>
      </c>
      <c r="AQ711" t="s">
        <v>74</v>
      </c>
      <c r="AR711" t="s">
        <v>2458</v>
      </c>
      <c r="AS711" t="s">
        <v>2459</v>
      </c>
      <c r="AT711" t="s">
        <v>11892</v>
      </c>
      <c r="AU711">
        <v>2020</v>
      </c>
      <c r="AV711">
        <v>222</v>
      </c>
      <c r="AW711">
        <v>3</v>
      </c>
      <c r="AX711" t="s">
        <v>74</v>
      </c>
      <c r="AY711" t="s">
        <v>74</v>
      </c>
      <c r="AZ711" t="s">
        <v>74</v>
      </c>
      <c r="BA711" t="s">
        <v>74</v>
      </c>
      <c r="BB711">
        <v>1555</v>
      </c>
      <c r="BC711">
        <v>1569</v>
      </c>
      <c r="BD711" t="s">
        <v>74</v>
      </c>
      <c r="BE711" t="s">
        <v>14209</v>
      </c>
      <c r="BF711" t="str">
        <f>HYPERLINK("http://dx.doi.org/10.1093/gji/ggaa265","http://dx.doi.org/10.1093/gji/ggaa265")</f>
        <v>http://dx.doi.org/10.1093/gji/ggaa265</v>
      </c>
      <c r="BG711" t="s">
        <v>74</v>
      </c>
      <c r="BH711" t="s">
        <v>74</v>
      </c>
      <c r="BI711">
        <v>15</v>
      </c>
      <c r="BJ711" t="s">
        <v>1361</v>
      </c>
      <c r="BK711" t="s">
        <v>100</v>
      </c>
      <c r="BL711" t="s">
        <v>1361</v>
      </c>
      <c r="BM711" t="s">
        <v>14210</v>
      </c>
      <c r="BN711" t="s">
        <v>74</v>
      </c>
      <c r="BO711" t="s">
        <v>701</v>
      </c>
      <c r="BP711" t="s">
        <v>74</v>
      </c>
      <c r="BQ711" t="s">
        <v>74</v>
      </c>
      <c r="BR711" t="s">
        <v>104</v>
      </c>
      <c r="BS711" t="s">
        <v>14211</v>
      </c>
      <c r="BT711" t="str">
        <f>HYPERLINK("https%3A%2F%2Fwww.webofscience.com%2Fwos%2Fwoscc%2Ffull-record%2FWOS:000565895200006","View Full Record in Web of Science")</f>
        <v>View Full Record in Web of Science</v>
      </c>
    </row>
    <row r="712" spans="1:72" x14ac:dyDescent="0.15">
      <c r="A712" t="s">
        <v>72</v>
      </c>
      <c r="B712" t="s">
        <v>14212</v>
      </c>
      <c r="C712" t="s">
        <v>74</v>
      </c>
      <c r="D712" t="s">
        <v>74</v>
      </c>
      <c r="E712" t="s">
        <v>74</v>
      </c>
      <c r="F712" t="s">
        <v>14213</v>
      </c>
      <c r="G712" t="s">
        <v>74</v>
      </c>
      <c r="H712" t="s">
        <v>74</v>
      </c>
      <c r="I712" t="s">
        <v>14214</v>
      </c>
      <c r="J712" t="s">
        <v>6190</v>
      </c>
      <c r="K712" t="s">
        <v>74</v>
      </c>
      <c r="L712" t="s">
        <v>74</v>
      </c>
      <c r="M712" t="s">
        <v>78</v>
      </c>
      <c r="N712" t="s">
        <v>79</v>
      </c>
      <c r="O712" t="s">
        <v>74</v>
      </c>
      <c r="P712" t="s">
        <v>74</v>
      </c>
      <c r="Q712" t="s">
        <v>74</v>
      </c>
      <c r="R712" t="s">
        <v>74</v>
      </c>
      <c r="S712" t="s">
        <v>74</v>
      </c>
      <c r="T712" t="s">
        <v>14215</v>
      </c>
      <c r="U712" t="s">
        <v>14216</v>
      </c>
      <c r="V712" t="s">
        <v>14217</v>
      </c>
      <c r="W712" t="s">
        <v>14218</v>
      </c>
      <c r="X712" t="s">
        <v>14219</v>
      </c>
      <c r="Y712" t="s">
        <v>14220</v>
      </c>
      <c r="Z712" t="s">
        <v>14221</v>
      </c>
      <c r="AA712" t="s">
        <v>14222</v>
      </c>
      <c r="AB712" t="s">
        <v>14223</v>
      </c>
      <c r="AC712" t="s">
        <v>74</v>
      </c>
      <c r="AD712" t="s">
        <v>74</v>
      </c>
      <c r="AE712" t="s">
        <v>74</v>
      </c>
      <c r="AF712" t="s">
        <v>74</v>
      </c>
      <c r="AG712">
        <v>57</v>
      </c>
      <c r="AH712">
        <v>24</v>
      </c>
      <c r="AI712">
        <v>26</v>
      </c>
      <c r="AJ712">
        <v>6</v>
      </c>
      <c r="AK712">
        <v>37</v>
      </c>
      <c r="AL712" t="s">
        <v>219</v>
      </c>
      <c r="AM712" t="s">
        <v>220</v>
      </c>
      <c r="AN712" t="s">
        <v>221</v>
      </c>
      <c r="AO712" t="s">
        <v>6203</v>
      </c>
      <c r="AP712" t="s">
        <v>6204</v>
      </c>
      <c r="AQ712" t="s">
        <v>74</v>
      </c>
      <c r="AR712" t="s">
        <v>6205</v>
      </c>
      <c r="AS712" t="s">
        <v>6206</v>
      </c>
      <c r="AT712" t="s">
        <v>11892</v>
      </c>
      <c r="AU712">
        <v>2020</v>
      </c>
      <c r="AV712">
        <v>47</v>
      </c>
      <c r="AW712">
        <v>9</v>
      </c>
      <c r="AX712" t="s">
        <v>74</v>
      </c>
      <c r="AY712" t="s">
        <v>74</v>
      </c>
      <c r="AZ712" t="s">
        <v>74</v>
      </c>
      <c r="BA712" t="s">
        <v>74</v>
      </c>
      <c r="BB712">
        <v>1966</v>
      </c>
      <c r="BC712">
        <v>1979</v>
      </c>
      <c r="BD712" t="s">
        <v>74</v>
      </c>
      <c r="BE712" t="s">
        <v>14224</v>
      </c>
      <c r="BF712" t="str">
        <f>HYPERLINK("http://dx.doi.org/10.1111/jbi.13869","http://dx.doi.org/10.1111/jbi.13869")</f>
        <v>http://dx.doi.org/10.1111/jbi.13869</v>
      </c>
      <c r="BG712" t="s">
        <v>74</v>
      </c>
      <c r="BH712" t="s">
        <v>74</v>
      </c>
      <c r="BI712">
        <v>14</v>
      </c>
      <c r="BJ712" t="s">
        <v>4821</v>
      </c>
      <c r="BK712" t="s">
        <v>100</v>
      </c>
      <c r="BL712" t="s">
        <v>4822</v>
      </c>
      <c r="BM712" t="s">
        <v>14225</v>
      </c>
      <c r="BN712" t="s">
        <v>74</v>
      </c>
      <c r="BO712" t="s">
        <v>74</v>
      </c>
      <c r="BP712" t="s">
        <v>74</v>
      </c>
      <c r="BQ712" t="s">
        <v>74</v>
      </c>
      <c r="BR712" t="s">
        <v>104</v>
      </c>
      <c r="BS712" t="s">
        <v>14226</v>
      </c>
      <c r="BT712" t="str">
        <f>HYPERLINK("https%3A%2F%2Fwww.webofscience.com%2Fwos%2Fwoscc%2Ffull-record%2FWOS:000566557200011","View Full Record in Web of Science")</f>
        <v>View Full Record in Web of Science</v>
      </c>
    </row>
    <row r="713" spans="1:72" x14ac:dyDescent="0.15">
      <c r="A713" t="s">
        <v>72</v>
      </c>
      <c r="B713" t="s">
        <v>14227</v>
      </c>
      <c r="C713" t="s">
        <v>74</v>
      </c>
      <c r="D713" t="s">
        <v>74</v>
      </c>
      <c r="E713" t="s">
        <v>74</v>
      </c>
      <c r="F713" t="s">
        <v>14228</v>
      </c>
      <c r="G713" t="s">
        <v>74</v>
      </c>
      <c r="H713" t="s">
        <v>74</v>
      </c>
      <c r="I713" t="s">
        <v>14229</v>
      </c>
      <c r="J713" t="s">
        <v>14230</v>
      </c>
      <c r="K713" t="s">
        <v>74</v>
      </c>
      <c r="L713" t="s">
        <v>74</v>
      </c>
      <c r="M713" t="s">
        <v>78</v>
      </c>
      <c r="N713" t="s">
        <v>79</v>
      </c>
      <c r="O713" t="s">
        <v>74</v>
      </c>
      <c r="P713" t="s">
        <v>74</v>
      </c>
      <c r="Q713" t="s">
        <v>74</v>
      </c>
      <c r="R713" t="s">
        <v>74</v>
      </c>
      <c r="S713" t="s">
        <v>74</v>
      </c>
      <c r="T713" t="s">
        <v>74</v>
      </c>
      <c r="U713" t="s">
        <v>14231</v>
      </c>
      <c r="V713" t="s">
        <v>14232</v>
      </c>
      <c r="W713" t="s">
        <v>14233</v>
      </c>
      <c r="X713" t="s">
        <v>14234</v>
      </c>
      <c r="Y713" t="s">
        <v>14235</v>
      </c>
      <c r="Z713" t="s">
        <v>14236</v>
      </c>
      <c r="AA713" t="s">
        <v>14237</v>
      </c>
      <c r="AB713" t="s">
        <v>14238</v>
      </c>
      <c r="AC713" t="s">
        <v>14239</v>
      </c>
      <c r="AD713" t="s">
        <v>14239</v>
      </c>
      <c r="AE713" t="s">
        <v>14240</v>
      </c>
      <c r="AF713" t="s">
        <v>74</v>
      </c>
      <c r="AG713">
        <v>55</v>
      </c>
      <c r="AH713">
        <v>1</v>
      </c>
      <c r="AI713">
        <v>1</v>
      </c>
      <c r="AJ713">
        <v>1</v>
      </c>
      <c r="AK713">
        <v>8</v>
      </c>
      <c r="AL713" t="s">
        <v>14241</v>
      </c>
      <c r="AM713" t="s">
        <v>14242</v>
      </c>
      <c r="AN713" t="s">
        <v>14243</v>
      </c>
      <c r="AO713" t="s">
        <v>14244</v>
      </c>
      <c r="AP713" t="s">
        <v>14245</v>
      </c>
      <c r="AQ713" t="s">
        <v>74</v>
      </c>
      <c r="AR713" t="s">
        <v>14246</v>
      </c>
      <c r="AS713" t="s">
        <v>14247</v>
      </c>
      <c r="AT713" t="s">
        <v>13429</v>
      </c>
      <c r="AU713">
        <v>2020</v>
      </c>
      <c r="AV713">
        <v>132</v>
      </c>
      <c r="AW713" t="s">
        <v>14248</v>
      </c>
      <c r="AX713" t="s">
        <v>74</v>
      </c>
      <c r="AY713" t="s">
        <v>74</v>
      </c>
      <c r="AZ713" t="s">
        <v>74</v>
      </c>
      <c r="BA713" t="s">
        <v>74</v>
      </c>
      <c r="BB713">
        <v>1931</v>
      </c>
      <c r="BC713">
        <v>1952</v>
      </c>
      <c r="BD713" t="s">
        <v>74</v>
      </c>
      <c r="BE713" t="s">
        <v>14249</v>
      </c>
      <c r="BF713" t="str">
        <f>HYPERLINK("http://dx.doi.org/10.1130/B35189.1","http://dx.doi.org/10.1130/B35189.1")</f>
        <v>http://dx.doi.org/10.1130/B35189.1</v>
      </c>
      <c r="BG713" t="s">
        <v>74</v>
      </c>
      <c r="BH713" t="s">
        <v>74</v>
      </c>
      <c r="BI713">
        <v>22</v>
      </c>
      <c r="BJ713" t="s">
        <v>534</v>
      </c>
      <c r="BK713" t="s">
        <v>100</v>
      </c>
      <c r="BL713" t="s">
        <v>535</v>
      </c>
      <c r="BM713" t="s">
        <v>14250</v>
      </c>
      <c r="BN713" t="s">
        <v>74</v>
      </c>
      <c r="BO713" t="s">
        <v>74</v>
      </c>
      <c r="BP713" t="s">
        <v>74</v>
      </c>
      <c r="BQ713" t="s">
        <v>74</v>
      </c>
      <c r="BR713" t="s">
        <v>104</v>
      </c>
      <c r="BS713" t="s">
        <v>14251</v>
      </c>
      <c r="BT713" t="str">
        <f>HYPERLINK("https%3A%2F%2Fwww.webofscience.com%2Fwos%2Fwoscc%2Ffull-record%2FWOS:000565754100009","View Full Record in Web of Science")</f>
        <v>View Full Record in Web of Science</v>
      </c>
    </row>
    <row r="714" spans="1:72" x14ac:dyDescent="0.15">
      <c r="A714" t="s">
        <v>72</v>
      </c>
      <c r="B714" t="s">
        <v>14252</v>
      </c>
      <c r="C714" t="s">
        <v>74</v>
      </c>
      <c r="D714" t="s">
        <v>74</v>
      </c>
      <c r="E714" t="s">
        <v>74</v>
      </c>
      <c r="F714" t="s">
        <v>14253</v>
      </c>
      <c r="G714" t="s">
        <v>74</v>
      </c>
      <c r="H714" t="s">
        <v>74</v>
      </c>
      <c r="I714" t="s">
        <v>14254</v>
      </c>
      <c r="J714" t="s">
        <v>3136</v>
      </c>
      <c r="K714" t="s">
        <v>74</v>
      </c>
      <c r="L714" t="s">
        <v>74</v>
      </c>
      <c r="M714" t="s">
        <v>78</v>
      </c>
      <c r="N714" t="s">
        <v>79</v>
      </c>
      <c r="O714" t="s">
        <v>74</v>
      </c>
      <c r="P714" t="s">
        <v>74</v>
      </c>
      <c r="Q714" t="s">
        <v>74</v>
      </c>
      <c r="R714" t="s">
        <v>74</v>
      </c>
      <c r="S714" t="s">
        <v>74</v>
      </c>
      <c r="T714" t="s">
        <v>74</v>
      </c>
      <c r="U714" t="s">
        <v>14255</v>
      </c>
      <c r="V714" t="s">
        <v>14256</v>
      </c>
      <c r="W714" t="s">
        <v>14257</v>
      </c>
      <c r="X714" t="s">
        <v>14258</v>
      </c>
      <c r="Y714" t="s">
        <v>14259</v>
      </c>
      <c r="Z714" t="s">
        <v>14260</v>
      </c>
      <c r="AA714" t="s">
        <v>74</v>
      </c>
      <c r="AB714" t="s">
        <v>14261</v>
      </c>
      <c r="AC714" t="s">
        <v>14262</v>
      </c>
      <c r="AD714" t="s">
        <v>14263</v>
      </c>
      <c r="AE714" t="s">
        <v>14264</v>
      </c>
      <c r="AF714" t="s">
        <v>74</v>
      </c>
      <c r="AG714">
        <v>62</v>
      </c>
      <c r="AH714">
        <v>3</v>
      </c>
      <c r="AI714">
        <v>3</v>
      </c>
      <c r="AJ714">
        <v>0</v>
      </c>
      <c r="AK714">
        <v>3</v>
      </c>
      <c r="AL714" t="s">
        <v>3145</v>
      </c>
      <c r="AM714" t="s">
        <v>483</v>
      </c>
      <c r="AN714" t="s">
        <v>3146</v>
      </c>
      <c r="AO714" t="s">
        <v>3147</v>
      </c>
      <c r="AP714" t="s">
        <v>3148</v>
      </c>
      <c r="AQ714" t="s">
        <v>74</v>
      </c>
      <c r="AR714" t="s">
        <v>3149</v>
      </c>
      <c r="AS714" t="s">
        <v>3150</v>
      </c>
      <c r="AT714" t="s">
        <v>11892</v>
      </c>
      <c r="AU714">
        <v>2020</v>
      </c>
      <c r="AV714">
        <v>94</v>
      </c>
      <c r="AW714">
        <v>5</v>
      </c>
      <c r="AX714" t="s">
        <v>74</v>
      </c>
      <c r="AY714" t="s">
        <v>74</v>
      </c>
      <c r="AZ714" t="s">
        <v>74</v>
      </c>
      <c r="BA714" t="s">
        <v>74</v>
      </c>
      <c r="BB714">
        <v>799</v>
      </c>
      <c r="BC714">
        <v>818</v>
      </c>
      <c r="BD714" t="s">
        <v>14265</v>
      </c>
      <c r="BE714" t="s">
        <v>14266</v>
      </c>
      <c r="BF714" t="str">
        <f>HYPERLINK("http://dx.doi.org/10.1017/jpa.2020.30","http://dx.doi.org/10.1017/jpa.2020.30")</f>
        <v>http://dx.doi.org/10.1017/jpa.2020.30</v>
      </c>
      <c r="BG714" t="s">
        <v>74</v>
      </c>
      <c r="BH714" t="s">
        <v>74</v>
      </c>
      <c r="BI714">
        <v>20</v>
      </c>
      <c r="BJ714" t="s">
        <v>1057</v>
      </c>
      <c r="BK714" t="s">
        <v>100</v>
      </c>
      <c r="BL714" t="s">
        <v>1057</v>
      </c>
      <c r="BM714" t="s">
        <v>14267</v>
      </c>
      <c r="BN714" t="s">
        <v>74</v>
      </c>
      <c r="BO714" t="s">
        <v>701</v>
      </c>
      <c r="BP714" t="s">
        <v>74</v>
      </c>
      <c r="BQ714" t="s">
        <v>74</v>
      </c>
      <c r="BR714" t="s">
        <v>104</v>
      </c>
      <c r="BS714" t="s">
        <v>14268</v>
      </c>
      <c r="BT714" t="str">
        <f>HYPERLINK("https%3A%2F%2Fwww.webofscience.com%2Fwos%2Fwoscc%2Ffull-record%2FWOS:000561371500001","View Full Record in Web of Science")</f>
        <v>View Full Record in Web of Science</v>
      </c>
    </row>
    <row r="715" spans="1:72" x14ac:dyDescent="0.15">
      <c r="A715" t="s">
        <v>72</v>
      </c>
      <c r="B715" t="s">
        <v>14269</v>
      </c>
      <c r="C715" t="s">
        <v>74</v>
      </c>
      <c r="D715" t="s">
        <v>74</v>
      </c>
      <c r="E715" t="s">
        <v>74</v>
      </c>
      <c r="F715" t="s">
        <v>14270</v>
      </c>
      <c r="G715" t="s">
        <v>74</v>
      </c>
      <c r="H715" t="s">
        <v>74</v>
      </c>
      <c r="I715" t="s">
        <v>14271</v>
      </c>
      <c r="J715" t="s">
        <v>1559</v>
      </c>
      <c r="K715" t="s">
        <v>74</v>
      </c>
      <c r="L715" t="s">
        <v>74</v>
      </c>
      <c r="M715" t="s">
        <v>78</v>
      </c>
      <c r="N715" t="s">
        <v>79</v>
      </c>
      <c r="O715" t="s">
        <v>74</v>
      </c>
      <c r="P715" t="s">
        <v>74</v>
      </c>
      <c r="Q715" t="s">
        <v>74</v>
      </c>
      <c r="R715" t="s">
        <v>74</v>
      </c>
      <c r="S715" t="s">
        <v>74</v>
      </c>
      <c r="T715" t="s">
        <v>14272</v>
      </c>
      <c r="U715" t="s">
        <v>14273</v>
      </c>
      <c r="V715" t="s">
        <v>14274</v>
      </c>
      <c r="W715" t="s">
        <v>14275</v>
      </c>
      <c r="X715" t="s">
        <v>14276</v>
      </c>
      <c r="Y715" t="s">
        <v>14277</v>
      </c>
      <c r="Z715" t="s">
        <v>14278</v>
      </c>
      <c r="AA715" t="s">
        <v>14279</v>
      </c>
      <c r="AB715" t="s">
        <v>14280</v>
      </c>
      <c r="AC715" t="s">
        <v>14281</v>
      </c>
      <c r="AD715" t="s">
        <v>14281</v>
      </c>
      <c r="AE715" t="s">
        <v>14282</v>
      </c>
      <c r="AF715" t="s">
        <v>74</v>
      </c>
      <c r="AG715">
        <v>58</v>
      </c>
      <c r="AH715">
        <v>4</v>
      </c>
      <c r="AI715">
        <v>4</v>
      </c>
      <c r="AJ715">
        <v>2</v>
      </c>
      <c r="AK715">
        <v>11</v>
      </c>
      <c r="AL715" t="s">
        <v>1572</v>
      </c>
      <c r="AM715" t="s">
        <v>1407</v>
      </c>
      <c r="AN715" t="s">
        <v>1573</v>
      </c>
      <c r="AO715" t="s">
        <v>1574</v>
      </c>
      <c r="AP715" t="s">
        <v>1575</v>
      </c>
      <c r="AQ715" t="s">
        <v>74</v>
      </c>
      <c r="AR715" t="s">
        <v>1576</v>
      </c>
      <c r="AS715" t="s">
        <v>1577</v>
      </c>
      <c r="AT715" t="s">
        <v>11892</v>
      </c>
      <c r="AU715">
        <v>2020</v>
      </c>
      <c r="AV715">
        <v>119</v>
      </c>
      <c r="AW715" t="s">
        <v>74</v>
      </c>
      <c r="AX715" t="s">
        <v>74</v>
      </c>
      <c r="AY715" t="s">
        <v>74</v>
      </c>
      <c r="AZ715" t="s">
        <v>74</v>
      </c>
      <c r="BA715" t="s">
        <v>74</v>
      </c>
      <c r="BB715" t="s">
        <v>74</v>
      </c>
      <c r="BC715" t="s">
        <v>74</v>
      </c>
      <c r="BD715">
        <v>104051</v>
      </c>
      <c r="BE715" t="s">
        <v>14283</v>
      </c>
      <c r="BF715" t="str">
        <f>HYPERLINK("http://dx.doi.org/10.1016/j.marpol.2020.104051","http://dx.doi.org/10.1016/j.marpol.2020.104051")</f>
        <v>http://dx.doi.org/10.1016/j.marpol.2020.104051</v>
      </c>
      <c r="BG715" t="s">
        <v>74</v>
      </c>
      <c r="BH715" t="s">
        <v>74</v>
      </c>
      <c r="BI715">
        <v>10</v>
      </c>
      <c r="BJ715" t="s">
        <v>1579</v>
      </c>
      <c r="BK715" t="s">
        <v>1580</v>
      </c>
      <c r="BL715" t="s">
        <v>1581</v>
      </c>
      <c r="BM715" t="s">
        <v>14284</v>
      </c>
      <c r="BN715" t="s">
        <v>74</v>
      </c>
      <c r="BO715" t="s">
        <v>701</v>
      </c>
      <c r="BP715" t="s">
        <v>74</v>
      </c>
      <c r="BQ715" t="s">
        <v>74</v>
      </c>
      <c r="BR715" t="s">
        <v>104</v>
      </c>
      <c r="BS715" t="s">
        <v>14285</v>
      </c>
      <c r="BT715" t="str">
        <f>HYPERLINK("https%3A%2F%2Fwww.webofscience.com%2Fwos%2Fwoscc%2Ffull-record%2FWOS:000564689000002","View Full Record in Web of Science")</f>
        <v>View Full Record in Web of Science</v>
      </c>
    </row>
    <row r="716" spans="1:72" x14ac:dyDescent="0.15">
      <c r="A716" t="s">
        <v>72</v>
      </c>
      <c r="B716" t="s">
        <v>14286</v>
      </c>
      <c r="C716" t="s">
        <v>74</v>
      </c>
      <c r="D716" t="s">
        <v>74</v>
      </c>
      <c r="E716" t="s">
        <v>74</v>
      </c>
      <c r="F716" t="s">
        <v>14287</v>
      </c>
      <c r="G716" t="s">
        <v>74</v>
      </c>
      <c r="H716" t="s">
        <v>74</v>
      </c>
      <c r="I716" t="s">
        <v>14288</v>
      </c>
      <c r="J716" t="s">
        <v>780</v>
      </c>
      <c r="K716" t="s">
        <v>74</v>
      </c>
      <c r="L716" t="s">
        <v>74</v>
      </c>
      <c r="M716" t="s">
        <v>78</v>
      </c>
      <c r="N716" t="s">
        <v>79</v>
      </c>
      <c r="O716" t="s">
        <v>74</v>
      </c>
      <c r="P716" t="s">
        <v>74</v>
      </c>
      <c r="Q716" t="s">
        <v>74</v>
      </c>
      <c r="R716" t="s">
        <v>74</v>
      </c>
      <c r="S716" t="s">
        <v>74</v>
      </c>
      <c r="T716" t="s">
        <v>14289</v>
      </c>
      <c r="U716" t="s">
        <v>14290</v>
      </c>
      <c r="V716" t="s">
        <v>14291</v>
      </c>
      <c r="W716" t="s">
        <v>14292</v>
      </c>
      <c r="X716" t="s">
        <v>14293</v>
      </c>
      <c r="Y716" t="s">
        <v>14294</v>
      </c>
      <c r="Z716" t="s">
        <v>14295</v>
      </c>
      <c r="AA716" t="s">
        <v>14296</v>
      </c>
      <c r="AB716" t="s">
        <v>14297</v>
      </c>
      <c r="AC716" t="s">
        <v>14298</v>
      </c>
      <c r="AD716" t="s">
        <v>14299</v>
      </c>
      <c r="AE716" t="s">
        <v>14300</v>
      </c>
      <c r="AF716" t="s">
        <v>74</v>
      </c>
      <c r="AG716">
        <v>86</v>
      </c>
      <c r="AH716">
        <v>7</v>
      </c>
      <c r="AI716">
        <v>9</v>
      </c>
      <c r="AJ716">
        <v>2</v>
      </c>
      <c r="AK716">
        <v>47</v>
      </c>
      <c r="AL716" t="s">
        <v>219</v>
      </c>
      <c r="AM716" t="s">
        <v>220</v>
      </c>
      <c r="AN716" t="s">
        <v>221</v>
      </c>
      <c r="AO716" t="s">
        <v>793</v>
      </c>
      <c r="AP716" t="s">
        <v>794</v>
      </c>
      <c r="AQ716" t="s">
        <v>74</v>
      </c>
      <c r="AR716" t="s">
        <v>795</v>
      </c>
      <c r="AS716" t="s">
        <v>796</v>
      </c>
      <c r="AT716" t="s">
        <v>252</v>
      </c>
      <c r="AU716">
        <v>2021</v>
      </c>
      <c r="AV716">
        <v>41</v>
      </c>
      <c r="AW716" t="s">
        <v>74</v>
      </c>
      <c r="AX716" t="s">
        <v>74</v>
      </c>
      <c r="AY716">
        <v>1</v>
      </c>
      <c r="AZ716" t="s">
        <v>74</v>
      </c>
      <c r="BA716" t="s">
        <v>74</v>
      </c>
      <c r="BB716" t="s">
        <v>14301</v>
      </c>
      <c r="BC716" t="s">
        <v>14302</v>
      </c>
      <c r="BD716" t="s">
        <v>74</v>
      </c>
      <c r="BE716" t="s">
        <v>14303</v>
      </c>
      <c r="BF716" t="str">
        <f>HYPERLINK("http://dx.doi.org/10.1002/joc.6722","http://dx.doi.org/10.1002/joc.6722")</f>
        <v>http://dx.doi.org/10.1002/joc.6722</v>
      </c>
      <c r="BG716" t="s">
        <v>74</v>
      </c>
      <c r="BH716" t="s">
        <v>9526</v>
      </c>
      <c r="BI716">
        <v>18</v>
      </c>
      <c r="BJ716" t="s">
        <v>800</v>
      </c>
      <c r="BK716" t="s">
        <v>100</v>
      </c>
      <c r="BL716" t="s">
        <v>800</v>
      </c>
      <c r="BM716" t="s">
        <v>801</v>
      </c>
      <c r="BN716" t="s">
        <v>74</v>
      </c>
      <c r="BO716" t="s">
        <v>74</v>
      </c>
      <c r="BP716" t="s">
        <v>74</v>
      </c>
      <c r="BQ716" t="s">
        <v>74</v>
      </c>
      <c r="BR716" t="s">
        <v>104</v>
      </c>
      <c r="BS716" t="s">
        <v>14304</v>
      </c>
      <c r="BT716" t="str">
        <f>HYPERLINK("https%3A%2F%2Fwww.webofscience.com%2Fwos%2Fwoscc%2Ffull-record%2FWOS:000564377000001","View Full Record in Web of Science")</f>
        <v>View Full Record in Web of Science</v>
      </c>
    </row>
    <row r="717" spans="1:72" x14ac:dyDescent="0.15">
      <c r="A717" t="s">
        <v>72</v>
      </c>
      <c r="B717" t="s">
        <v>14305</v>
      </c>
      <c r="C717" t="s">
        <v>74</v>
      </c>
      <c r="D717" t="s">
        <v>74</v>
      </c>
      <c r="E717" t="s">
        <v>74</v>
      </c>
      <c r="F717" t="s">
        <v>14306</v>
      </c>
      <c r="G717" t="s">
        <v>74</v>
      </c>
      <c r="H717" t="s">
        <v>74</v>
      </c>
      <c r="I717" t="s">
        <v>14307</v>
      </c>
      <c r="J717" t="s">
        <v>2888</v>
      </c>
      <c r="K717" t="s">
        <v>74</v>
      </c>
      <c r="L717" t="s">
        <v>74</v>
      </c>
      <c r="M717" t="s">
        <v>78</v>
      </c>
      <c r="N717" t="s">
        <v>79</v>
      </c>
      <c r="O717" t="s">
        <v>74</v>
      </c>
      <c r="P717" t="s">
        <v>74</v>
      </c>
      <c r="Q717" t="s">
        <v>74</v>
      </c>
      <c r="R717" t="s">
        <v>74</v>
      </c>
      <c r="S717" t="s">
        <v>74</v>
      </c>
      <c r="T717" t="s">
        <v>14308</v>
      </c>
      <c r="U717" t="s">
        <v>14309</v>
      </c>
      <c r="V717" t="s">
        <v>14310</v>
      </c>
      <c r="W717" t="s">
        <v>14311</v>
      </c>
      <c r="X717" t="s">
        <v>14312</v>
      </c>
      <c r="Y717" t="s">
        <v>14313</v>
      </c>
      <c r="Z717" t="s">
        <v>14314</v>
      </c>
      <c r="AA717" t="s">
        <v>14315</v>
      </c>
      <c r="AB717" t="s">
        <v>14316</v>
      </c>
      <c r="AC717" t="s">
        <v>14317</v>
      </c>
      <c r="AD717" t="s">
        <v>14318</v>
      </c>
      <c r="AE717" t="s">
        <v>14319</v>
      </c>
      <c r="AF717" t="s">
        <v>74</v>
      </c>
      <c r="AG717">
        <v>91</v>
      </c>
      <c r="AH717">
        <v>7</v>
      </c>
      <c r="AI717">
        <v>7</v>
      </c>
      <c r="AJ717">
        <v>1</v>
      </c>
      <c r="AK717">
        <v>26</v>
      </c>
      <c r="AL717" t="s">
        <v>275</v>
      </c>
      <c r="AM717" t="s">
        <v>276</v>
      </c>
      <c r="AN717" t="s">
        <v>277</v>
      </c>
      <c r="AO717" t="s">
        <v>2901</v>
      </c>
      <c r="AP717" t="s">
        <v>2902</v>
      </c>
      <c r="AQ717" t="s">
        <v>74</v>
      </c>
      <c r="AR717" t="s">
        <v>2903</v>
      </c>
      <c r="AS717" t="s">
        <v>2904</v>
      </c>
      <c r="AT717" t="s">
        <v>13429</v>
      </c>
      <c r="AU717">
        <v>2020</v>
      </c>
      <c r="AV717">
        <v>530</v>
      </c>
      <c r="AW717" t="s">
        <v>74</v>
      </c>
      <c r="AX717" t="s">
        <v>74</v>
      </c>
      <c r="AY717" t="s">
        <v>74</v>
      </c>
      <c r="AZ717" t="s">
        <v>74</v>
      </c>
      <c r="BA717" t="s">
        <v>74</v>
      </c>
      <c r="BB717" t="s">
        <v>74</v>
      </c>
      <c r="BC717" t="s">
        <v>74</v>
      </c>
      <c r="BD717">
        <v>151412</v>
      </c>
      <c r="BE717" t="s">
        <v>14320</v>
      </c>
      <c r="BF717" t="str">
        <f>HYPERLINK("http://dx.doi.org/10.1016/j.jembe.2020.151412","http://dx.doi.org/10.1016/j.jembe.2020.151412")</f>
        <v>http://dx.doi.org/10.1016/j.jembe.2020.151412</v>
      </c>
      <c r="BG717" t="s">
        <v>74</v>
      </c>
      <c r="BH717" t="s">
        <v>74</v>
      </c>
      <c r="BI717">
        <v>14</v>
      </c>
      <c r="BJ717" t="s">
        <v>1477</v>
      </c>
      <c r="BK717" t="s">
        <v>100</v>
      </c>
      <c r="BL717" t="s">
        <v>919</v>
      </c>
      <c r="BM717" t="s">
        <v>14321</v>
      </c>
      <c r="BN717" t="s">
        <v>74</v>
      </c>
      <c r="BO717" t="s">
        <v>1188</v>
      </c>
      <c r="BP717" t="s">
        <v>74</v>
      </c>
      <c r="BQ717" t="s">
        <v>74</v>
      </c>
      <c r="BR717" t="s">
        <v>104</v>
      </c>
      <c r="BS717" t="s">
        <v>14322</v>
      </c>
      <c r="BT717" t="str">
        <f>HYPERLINK("https%3A%2F%2Fwww.webofscience.com%2Fwos%2Fwoscc%2Ffull-record%2FWOS:000562582100018","View Full Record in Web of Science")</f>
        <v>View Full Record in Web of Science</v>
      </c>
    </row>
    <row r="718" spans="1:72" x14ac:dyDescent="0.15">
      <c r="A718" t="s">
        <v>72</v>
      </c>
      <c r="B718" t="s">
        <v>14323</v>
      </c>
      <c r="C718" t="s">
        <v>74</v>
      </c>
      <c r="D718" t="s">
        <v>74</v>
      </c>
      <c r="E718" t="s">
        <v>74</v>
      </c>
      <c r="F718" t="s">
        <v>14324</v>
      </c>
      <c r="G718" t="s">
        <v>74</v>
      </c>
      <c r="H718" t="s">
        <v>74</v>
      </c>
      <c r="I718" t="s">
        <v>14325</v>
      </c>
      <c r="J718" t="s">
        <v>14326</v>
      </c>
      <c r="K718" t="s">
        <v>74</v>
      </c>
      <c r="L718" t="s">
        <v>74</v>
      </c>
      <c r="M718" t="s">
        <v>78</v>
      </c>
      <c r="N718" t="s">
        <v>79</v>
      </c>
      <c r="O718" t="s">
        <v>74</v>
      </c>
      <c r="P718" t="s">
        <v>74</v>
      </c>
      <c r="Q718" t="s">
        <v>74</v>
      </c>
      <c r="R718" t="s">
        <v>74</v>
      </c>
      <c r="S718" t="s">
        <v>74</v>
      </c>
      <c r="T718" t="s">
        <v>14327</v>
      </c>
      <c r="U718" t="s">
        <v>14328</v>
      </c>
      <c r="V718" t="s">
        <v>14329</v>
      </c>
      <c r="W718" t="s">
        <v>14330</v>
      </c>
      <c r="X718" t="s">
        <v>14331</v>
      </c>
      <c r="Y718" t="s">
        <v>14332</v>
      </c>
      <c r="Z718" t="s">
        <v>14333</v>
      </c>
      <c r="AA718" t="s">
        <v>14334</v>
      </c>
      <c r="AB718" t="s">
        <v>14335</v>
      </c>
      <c r="AC718" t="s">
        <v>14336</v>
      </c>
      <c r="AD718" t="s">
        <v>14337</v>
      </c>
      <c r="AE718" t="s">
        <v>14338</v>
      </c>
      <c r="AF718" t="s">
        <v>74</v>
      </c>
      <c r="AG718">
        <v>109</v>
      </c>
      <c r="AH718">
        <v>21</v>
      </c>
      <c r="AI718">
        <v>23</v>
      </c>
      <c r="AJ718">
        <v>13</v>
      </c>
      <c r="AK718">
        <v>77</v>
      </c>
      <c r="AL718" t="s">
        <v>275</v>
      </c>
      <c r="AM718" t="s">
        <v>276</v>
      </c>
      <c r="AN718" t="s">
        <v>277</v>
      </c>
      <c r="AO718" t="s">
        <v>14339</v>
      </c>
      <c r="AP718" t="s">
        <v>74</v>
      </c>
      <c r="AQ718" t="s">
        <v>74</v>
      </c>
      <c r="AR718" t="s">
        <v>14340</v>
      </c>
      <c r="AS718" t="s">
        <v>14341</v>
      </c>
      <c r="AT718" t="s">
        <v>11892</v>
      </c>
      <c r="AU718">
        <v>2020</v>
      </c>
      <c r="AV718">
        <v>33</v>
      </c>
      <c r="AW718" t="s">
        <v>74</v>
      </c>
      <c r="AX718" t="s">
        <v>74</v>
      </c>
      <c r="AY718" t="s">
        <v>74</v>
      </c>
      <c r="AZ718" t="s">
        <v>74</v>
      </c>
      <c r="BA718" t="s">
        <v>74</v>
      </c>
      <c r="BB718" t="s">
        <v>74</v>
      </c>
      <c r="BC718" t="s">
        <v>74</v>
      </c>
      <c r="BD718">
        <v>100654</v>
      </c>
      <c r="BE718" t="s">
        <v>14342</v>
      </c>
      <c r="BF718" t="str">
        <f>HYPERLINK("http://dx.doi.org/10.1016/j.uclim.2020.100654","http://dx.doi.org/10.1016/j.uclim.2020.100654")</f>
        <v>http://dx.doi.org/10.1016/j.uclim.2020.100654</v>
      </c>
      <c r="BG718" t="s">
        <v>74</v>
      </c>
      <c r="BH718" t="s">
        <v>74</v>
      </c>
      <c r="BI718">
        <v>20</v>
      </c>
      <c r="BJ718" t="s">
        <v>1027</v>
      </c>
      <c r="BK718" t="s">
        <v>100</v>
      </c>
      <c r="BL718" t="s">
        <v>1028</v>
      </c>
      <c r="BM718" t="s">
        <v>14343</v>
      </c>
      <c r="BN718" t="s">
        <v>74</v>
      </c>
      <c r="BO718" t="s">
        <v>1825</v>
      </c>
      <c r="BP718" t="s">
        <v>74</v>
      </c>
      <c r="BQ718" t="s">
        <v>74</v>
      </c>
      <c r="BR718" t="s">
        <v>104</v>
      </c>
      <c r="BS718" t="s">
        <v>14344</v>
      </c>
      <c r="BT718" t="str">
        <f>HYPERLINK("https%3A%2F%2Fwww.webofscience.com%2Fwos%2Fwoscc%2Ffull-record%2FWOS:000561893900007","View Full Record in Web of Science")</f>
        <v>View Full Record in Web of Science</v>
      </c>
    </row>
    <row r="719" spans="1:72" x14ac:dyDescent="0.15">
      <c r="A719" t="s">
        <v>72</v>
      </c>
      <c r="B719" t="s">
        <v>14345</v>
      </c>
      <c r="C719" t="s">
        <v>74</v>
      </c>
      <c r="D719" t="s">
        <v>74</v>
      </c>
      <c r="E719" t="s">
        <v>74</v>
      </c>
      <c r="F719" t="s">
        <v>14346</v>
      </c>
      <c r="G719" t="s">
        <v>74</v>
      </c>
      <c r="H719" t="s">
        <v>74</v>
      </c>
      <c r="I719" t="s">
        <v>14347</v>
      </c>
      <c r="J719" t="s">
        <v>14348</v>
      </c>
      <c r="K719" t="s">
        <v>74</v>
      </c>
      <c r="L719" t="s">
        <v>74</v>
      </c>
      <c r="M719" t="s">
        <v>78</v>
      </c>
      <c r="N719" t="s">
        <v>79</v>
      </c>
      <c r="O719" t="s">
        <v>74</v>
      </c>
      <c r="P719" t="s">
        <v>74</v>
      </c>
      <c r="Q719" t="s">
        <v>74</v>
      </c>
      <c r="R719" t="s">
        <v>74</v>
      </c>
      <c r="S719" t="s">
        <v>74</v>
      </c>
      <c r="T719" t="s">
        <v>14349</v>
      </c>
      <c r="U719" t="s">
        <v>14350</v>
      </c>
      <c r="V719" t="s">
        <v>14351</v>
      </c>
      <c r="W719" t="s">
        <v>14352</v>
      </c>
      <c r="X719" t="s">
        <v>14353</v>
      </c>
      <c r="Y719" t="s">
        <v>14354</v>
      </c>
      <c r="Z719" t="s">
        <v>14355</v>
      </c>
      <c r="AA719" t="s">
        <v>14356</v>
      </c>
      <c r="AB719" t="s">
        <v>14357</v>
      </c>
      <c r="AC719" t="s">
        <v>14358</v>
      </c>
      <c r="AD719" t="s">
        <v>14359</v>
      </c>
      <c r="AE719" t="s">
        <v>14360</v>
      </c>
      <c r="AF719" t="s">
        <v>74</v>
      </c>
      <c r="AG719">
        <v>87</v>
      </c>
      <c r="AH719">
        <v>30</v>
      </c>
      <c r="AI719">
        <v>32</v>
      </c>
      <c r="AJ719">
        <v>0</v>
      </c>
      <c r="AK719">
        <v>23</v>
      </c>
      <c r="AL719" t="s">
        <v>2724</v>
      </c>
      <c r="AM719" t="s">
        <v>2725</v>
      </c>
      <c r="AN719" t="s">
        <v>2726</v>
      </c>
      <c r="AO719" t="s">
        <v>14361</v>
      </c>
      <c r="AP719" t="s">
        <v>14362</v>
      </c>
      <c r="AQ719" t="s">
        <v>74</v>
      </c>
      <c r="AR719" t="s">
        <v>14363</v>
      </c>
      <c r="AS719" t="s">
        <v>14364</v>
      </c>
      <c r="AT719" t="s">
        <v>11892</v>
      </c>
      <c r="AU719">
        <v>2020</v>
      </c>
      <c r="AV719">
        <v>160</v>
      </c>
      <c r="AW719">
        <v>3</v>
      </c>
      <c r="AX719" t="s">
        <v>74</v>
      </c>
      <c r="AY719" t="s">
        <v>74</v>
      </c>
      <c r="AZ719" t="s">
        <v>74</v>
      </c>
      <c r="BA719" t="s">
        <v>74</v>
      </c>
      <c r="BB719" t="s">
        <v>74</v>
      </c>
      <c r="BC719" t="s">
        <v>74</v>
      </c>
      <c r="BD719">
        <v>117</v>
      </c>
      <c r="BE719" t="s">
        <v>14365</v>
      </c>
      <c r="BF719" t="str">
        <f>HYPERLINK("http://dx.doi.org/10.3847/1538-3881/aba4b3","http://dx.doi.org/10.3847/1538-3881/aba4b3")</f>
        <v>http://dx.doi.org/10.3847/1538-3881/aba4b3</v>
      </c>
      <c r="BG719" t="s">
        <v>74</v>
      </c>
      <c r="BH719" t="s">
        <v>74</v>
      </c>
      <c r="BI719">
        <v>12</v>
      </c>
      <c r="BJ719" t="s">
        <v>1849</v>
      </c>
      <c r="BK719" t="s">
        <v>100</v>
      </c>
      <c r="BL719" t="s">
        <v>1849</v>
      </c>
      <c r="BM719" t="s">
        <v>14366</v>
      </c>
      <c r="BN719" t="s">
        <v>74</v>
      </c>
      <c r="BO719" t="s">
        <v>14367</v>
      </c>
      <c r="BP719" t="s">
        <v>74</v>
      </c>
      <c r="BQ719" t="s">
        <v>74</v>
      </c>
      <c r="BR719" t="s">
        <v>104</v>
      </c>
      <c r="BS719" t="s">
        <v>14368</v>
      </c>
      <c r="BT719" t="str">
        <f>HYPERLINK("https%3A%2F%2Fwww.webofscience.com%2Fwos%2Fwoscc%2Ffull-record%2FWOS:000561609200001","View Full Record in Web of Science")</f>
        <v>View Full Record in Web of Science</v>
      </c>
    </row>
    <row r="720" spans="1:72" x14ac:dyDescent="0.15">
      <c r="A720" t="s">
        <v>72</v>
      </c>
      <c r="B720" t="s">
        <v>14369</v>
      </c>
      <c r="C720" t="s">
        <v>74</v>
      </c>
      <c r="D720" t="s">
        <v>74</v>
      </c>
      <c r="E720" t="s">
        <v>74</v>
      </c>
      <c r="F720" t="s">
        <v>14370</v>
      </c>
      <c r="G720" t="s">
        <v>74</v>
      </c>
      <c r="H720" t="s">
        <v>74</v>
      </c>
      <c r="I720" t="s">
        <v>14371</v>
      </c>
      <c r="J720" t="s">
        <v>14372</v>
      </c>
      <c r="K720" t="s">
        <v>74</v>
      </c>
      <c r="L720" t="s">
        <v>74</v>
      </c>
      <c r="M720" t="s">
        <v>78</v>
      </c>
      <c r="N720" t="s">
        <v>79</v>
      </c>
      <c r="O720" t="s">
        <v>74</v>
      </c>
      <c r="P720" t="s">
        <v>74</v>
      </c>
      <c r="Q720" t="s">
        <v>74</v>
      </c>
      <c r="R720" t="s">
        <v>74</v>
      </c>
      <c r="S720" t="s">
        <v>74</v>
      </c>
      <c r="T720" t="s">
        <v>14373</v>
      </c>
      <c r="U720" t="s">
        <v>74</v>
      </c>
      <c r="V720" t="s">
        <v>14374</v>
      </c>
      <c r="W720" t="s">
        <v>14375</v>
      </c>
      <c r="X720" t="s">
        <v>14376</v>
      </c>
      <c r="Y720" t="s">
        <v>14377</v>
      </c>
      <c r="Z720" t="s">
        <v>14378</v>
      </c>
      <c r="AA720" t="s">
        <v>14379</v>
      </c>
      <c r="AB720" t="s">
        <v>14380</v>
      </c>
      <c r="AC720" t="s">
        <v>74</v>
      </c>
      <c r="AD720" t="s">
        <v>74</v>
      </c>
      <c r="AE720" t="s">
        <v>74</v>
      </c>
      <c r="AF720" t="s">
        <v>74</v>
      </c>
      <c r="AG720">
        <v>41</v>
      </c>
      <c r="AH720">
        <v>6</v>
      </c>
      <c r="AI720">
        <v>6</v>
      </c>
      <c r="AJ720">
        <v>1</v>
      </c>
      <c r="AK720">
        <v>2</v>
      </c>
      <c r="AL720" t="s">
        <v>275</v>
      </c>
      <c r="AM720" t="s">
        <v>276</v>
      </c>
      <c r="AN720" t="s">
        <v>277</v>
      </c>
      <c r="AO720" t="s">
        <v>14381</v>
      </c>
      <c r="AP720" t="s">
        <v>74</v>
      </c>
      <c r="AQ720" t="s">
        <v>74</v>
      </c>
      <c r="AR720" t="s">
        <v>14382</v>
      </c>
      <c r="AS720" t="s">
        <v>14383</v>
      </c>
      <c r="AT720" t="s">
        <v>11892</v>
      </c>
      <c r="AU720">
        <v>2020</v>
      </c>
      <c r="AV720">
        <v>1</v>
      </c>
      <c r="AW720" t="s">
        <v>74</v>
      </c>
      <c r="AX720" t="s">
        <v>74</v>
      </c>
      <c r="AY720" t="s">
        <v>74</v>
      </c>
      <c r="AZ720" t="s">
        <v>74</v>
      </c>
      <c r="BA720" t="s">
        <v>74</v>
      </c>
      <c r="BB720">
        <v>44</v>
      </c>
      <c r="BC720">
        <v>52</v>
      </c>
      <c r="BD720" t="s">
        <v>74</v>
      </c>
      <c r="BE720" t="s">
        <v>14384</v>
      </c>
      <c r="BF720" t="str">
        <f>HYPERLINK("http://dx.doi.org/10.1016/j.crmicr.2020.06.002","http://dx.doi.org/10.1016/j.crmicr.2020.06.002")</f>
        <v>http://dx.doi.org/10.1016/j.crmicr.2020.06.002</v>
      </c>
      <c r="BG720" t="s">
        <v>74</v>
      </c>
      <c r="BH720" t="s">
        <v>74</v>
      </c>
      <c r="BI720">
        <v>9</v>
      </c>
      <c r="BJ720" t="s">
        <v>229</v>
      </c>
      <c r="BK720" t="s">
        <v>1214</v>
      </c>
      <c r="BL720" t="s">
        <v>229</v>
      </c>
      <c r="BM720" t="s">
        <v>14385</v>
      </c>
      <c r="BN720">
        <v>34841301</v>
      </c>
      <c r="BO720" t="s">
        <v>332</v>
      </c>
      <c r="BP720" t="s">
        <v>74</v>
      </c>
      <c r="BQ720" t="s">
        <v>74</v>
      </c>
      <c r="BR720" t="s">
        <v>104</v>
      </c>
      <c r="BS720" t="s">
        <v>14386</v>
      </c>
      <c r="BT720" t="str">
        <f>HYPERLINK("https%3A%2F%2Fwww.webofscience.com%2Fwos%2Fwoscc%2Ffull-record%2FWOS:001006819200007","View Full Record in Web of Science")</f>
        <v>View Full Record in Web of Science</v>
      </c>
    </row>
    <row r="721" spans="1:72" x14ac:dyDescent="0.15">
      <c r="A721" t="s">
        <v>72</v>
      </c>
      <c r="B721" t="s">
        <v>14387</v>
      </c>
      <c r="C721" t="s">
        <v>74</v>
      </c>
      <c r="D721" t="s">
        <v>74</v>
      </c>
      <c r="E721" t="s">
        <v>74</v>
      </c>
      <c r="F721" t="s">
        <v>14388</v>
      </c>
      <c r="G721" t="s">
        <v>74</v>
      </c>
      <c r="H721" t="s">
        <v>74</v>
      </c>
      <c r="I721" t="s">
        <v>14389</v>
      </c>
      <c r="J721" t="s">
        <v>3351</v>
      </c>
      <c r="K721" t="s">
        <v>74</v>
      </c>
      <c r="L721" t="s">
        <v>74</v>
      </c>
      <c r="M721" t="s">
        <v>78</v>
      </c>
      <c r="N721" t="s">
        <v>79</v>
      </c>
      <c r="O721" t="s">
        <v>74</v>
      </c>
      <c r="P721" t="s">
        <v>74</v>
      </c>
      <c r="Q721" t="s">
        <v>74</v>
      </c>
      <c r="R721" t="s">
        <v>74</v>
      </c>
      <c r="S721" t="s">
        <v>74</v>
      </c>
      <c r="T721" t="s">
        <v>14390</v>
      </c>
      <c r="U721" t="s">
        <v>14391</v>
      </c>
      <c r="V721" t="s">
        <v>14392</v>
      </c>
      <c r="W721" t="s">
        <v>14393</v>
      </c>
      <c r="X721" t="s">
        <v>14394</v>
      </c>
      <c r="Y721" t="s">
        <v>14395</v>
      </c>
      <c r="Z721" t="s">
        <v>14396</v>
      </c>
      <c r="AA721" t="s">
        <v>14397</v>
      </c>
      <c r="AB721" t="s">
        <v>14398</v>
      </c>
      <c r="AC721" t="s">
        <v>14399</v>
      </c>
      <c r="AD721" t="s">
        <v>14400</v>
      </c>
      <c r="AE721" t="s">
        <v>14401</v>
      </c>
      <c r="AF721" t="s">
        <v>74</v>
      </c>
      <c r="AG721">
        <v>59</v>
      </c>
      <c r="AH721">
        <v>16</v>
      </c>
      <c r="AI721">
        <v>17</v>
      </c>
      <c r="AJ721">
        <v>3</v>
      </c>
      <c r="AK721">
        <v>26</v>
      </c>
      <c r="AL721" t="s">
        <v>275</v>
      </c>
      <c r="AM721" t="s">
        <v>276</v>
      </c>
      <c r="AN721" t="s">
        <v>277</v>
      </c>
      <c r="AO721" t="s">
        <v>3364</v>
      </c>
      <c r="AP721" t="s">
        <v>3365</v>
      </c>
      <c r="AQ721" t="s">
        <v>74</v>
      </c>
      <c r="AR721" t="s">
        <v>3366</v>
      </c>
      <c r="AS721" t="s">
        <v>3367</v>
      </c>
      <c r="AT721" t="s">
        <v>12502</v>
      </c>
      <c r="AU721">
        <v>2020</v>
      </c>
      <c r="AV721">
        <v>545</v>
      </c>
      <c r="AW721" t="s">
        <v>74</v>
      </c>
      <c r="AX721" t="s">
        <v>74</v>
      </c>
      <c r="AY721" t="s">
        <v>74</v>
      </c>
      <c r="AZ721" t="s">
        <v>74</v>
      </c>
      <c r="BA721" t="s">
        <v>74</v>
      </c>
      <c r="BB721" t="s">
        <v>74</v>
      </c>
      <c r="BC721" t="s">
        <v>74</v>
      </c>
      <c r="BD721">
        <v>116412</v>
      </c>
      <c r="BE721" t="s">
        <v>14402</v>
      </c>
      <c r="BF721" t="str">
        <f>HYPERLINK("http://dx.doi.org/10.1016/j.epsl.2020.116412","http://dx.doi.org/10.1016/j.epsl.2020.116412")</f>
        <v>http://dx.doi.org/10.1016/j.epsl.2020.116412</v>
      </c>
      <c r="BG721" t="s">
        <v>74</v>
      </c>
      <c r="BH721" t="s">
        <v>74</v>
      </c>
      <c r="BI721">
        <v>13</v>
      </c>
      <c r="BJ721" t="s">
        <v>1361</v>
      </c>
      <c r="BK721" t="s">
        <v>100</v>
      </c>
      <c r="BL721" t="s">
        <v>1361</v>
      </c>
      <c r="BM721" t="s">
        <v>14403</v>
      </c>
      <c r="BN721" t="s">
        <v>74</v>
      </c>
      <c r="BO721" t="s">
        <v>4267</v>
      </c>
      <c r="BP721" t="s">
        <v>74</v>
      </c>
      <c r="BQ721" t="s">
        <v>74</v>
      </c>
      <c r="BR721" t="s">
        <v>104</v>
      </c>
      <c r="BS721" t="s">
        <v>14404</v>
      </c>
      <c r="BT721" t="str">
        <f>HYPERLINK("https%3A%2F%2Fwww.webofscience.com%2Fwos%2Fwoscc%2Ffull-record%2FWOS:000549183200012","View Full Record in Web of Science")</f>
        <v>View Full Record in Web of Science</v>
      </c>
    </row>
    <row r="722" spans="1:72" x14ac:dyDescent="0.15">
      <c r="A722" t="s">
        <v>72</v>
      </c>
      <c r="B722" t="s">
        <v>14405</v>
      </c>
      <c r="C722" t="s">
        <v>74</v>
      </c>
      <c r="D722" t="s">
        <v>74</v>
      </c>
      <c r="E722" t="s">
        <v>74</v>
      </c>
      <c r="F722" t="s">
        <v>14406</v>
      </c>
      <c r="G722" t="s">
        <v>74</v>
      </c>
      <c r="H722" t="s">
        <v>74</v>
      </c>
      <c r="I722" t="s">
        <v>14407</v>
      </c>
      <c r="J722" t="s">
        <v>14408</v>
      </c>
      <c r="K722" t="s">
        <v>74</v>
      </c>
      <c r="L722" t="s">
        <v>74</v>
      </c>
      <c r="M722" t="s">
        <v>78</v>
      </c>
      <c r="N722" t="s">
        <v>79</v>
      </c>
      <c r="O722" t="s">
        <v>74</v>
      </c>
      <c r="P722" t="s">
        <v>74</v>
      </c>
      <c r="Q722" t="s">
        <v>74</v>
      </c>
      <c r="R722" t="s">
        <v>74</v>
      </c>
      <c r="S722" t="s">
        <v>74</v>
      </c>
      <c r="T722" t="s">
        <v>14409</v>
      </c>
      <c r="U722" t="s">
        <v>14410</v>
      </c>
      <c r="V722" t="s">
        <v>14411</v>
      </c>
      <c r="W722" t="s">
        <v>14412</v>
      </c>
      <c r="X722" t="s">
        <v>14413</v>
      </c>
      <c r="Y722" t="s">
        <v>14414</v>
      </c>
      <c r="Z722" t="s">
        <v>14415</v>
      </c>
      <c r="AA722" t="s">
        <v>14416</v>
      </c>
      <c r="AB722" t="s">
        <v>14417</v>
      </c>
      <c r="AC722" t="s">
        <v>14418</v>
      </c>
      <c r="AD722" t="s">
        <v>14419</v>
      </c>
      <c r="AE722" t="s">
        <v>14420</v>
      </c>
      <c r="AF722" t="s">
        <v>74</v>
      </c>
      <c r="AG722">
        <v>40</v>
      </c>
      <c r="AH722">
        <v>14</v>
      </c>
      <c r="AI722">
        <v>14</v>
      </c>
      <c r="AJ722">
        <v>0</v>
      </c>
      <c r="AK722">
        <v>2</v>
      </c>
      <c r="AL722" t="s">
        <v>2085</v>
      </c>
      <c r="AM722" t="s">
        <v>2086</v>
      </c>
      <c r="AN722" t="s">
        <v>2087</v>
      </c>
      <c r="AO722" t="s">
        <v>14421</v>
      </c>
      <c r="AP722" t="s">
        <v>74</v>
      </c>
      <c r="AQ722" t="s">
        <v>74</v>
      </c>
      <c r="AR722" t="s">
        <v>14422</v>
      </c>
      <c r="AS722" t="s">
        <v>14423</v>
      </c>
      <c r="AT722" t="s">
        <v>11892</v>
      </c>
      <c r="AU722">
        <v>2020</v>
      </c>
      <c r="AV722">
        <v>3</v>
      </c>
      <c r="AW722">
        <v>3</v>
      </c>
      <c r="AX722" t="s">
        <v>74</v>
      </c>
      <c r="AY722" t="s">
        <v>74</v>
      </c>
      <c r="AZ722" t="s">
        <v>74</v>
      </c>
      <c r="BA722" t="s">
        <v>74</v>
      </c>
      <c r="BB722" t="s">
        <v>74</v>
      </c>
      <c r="BC722" t="s">
        <v>74</v>
      </c>
      <c r="BD722">
        <v>40</v>
      </c>
      <c r="BE722" t="s">
        <v>14424</v>
      </c>
      <c r="BF722" t="str">
        <f>HYPERLINK("http://dx.doi.org/10.3390/fire3030040","http://dx.doi.org/10.3390/fire3030040")</f>
        <v>http://dx.doi.org/10.3390/fire3030040</v>
      </c>
      <c r="BG722" t="s">
        <v>74</v>
      </c>
      <c r="BH722" t="s">
        <v>74</v>
      </c>
      <c r="BI722">
        <v>12</v>
      </c>
      <c r="BJ722" t="s">
        <v>14425</v>
      </c>
      <c r="BK722" t="s">
        <v>100</v>
      </c>
      <c r="BL722" t="s">
        <v>14426</v>
      </c>
      <c r="BM722" t="s">
        <v>14427</v>
      </c>
      <c r="BN722" t="s">
        <v>74</v>
      </c>
      <c r="BO722" t="s">
        <v>332</v>
      </c>
      <c r="BP722" t="s">
        <v>74</v>
      </c>
      <c r="BQ722" t="s">
        <v>74</v>
      </c>
      <c r="BR722" t="s">
        <v>104</v>
      </c>
      <c r="BS722" t="s">
        <v>14428</v>
      </c>
      <c r="BT722" t="str">
        <f>HYPERLINK("https%3A%2F%2Fwww.webofscience.com%2Fwos%2Fwoscc%2Ffull-record%2FWOS:000697569800015","View Full Record in Web of Science")</f>
        <v>View Full Record in Web of Science</v>
      </c>
    </row>
    <row r="723" spans="1:72" x14ac:dyDescent="0.15">
      <c r="A723" t="s">
        <v>72</v>
      </c>
      <c r="B723" t="s">
        <v>14429</v>
      </c>
      <c r="C723" t="s">
        <v>74</v>
      </c>
      <c r="D723" t="s">
        <v>74</v>
      </c>
      <c r="E723" t="s">
        <v>74</v>
      </c>
      <c r="F723" t="s">
        <v>14430</v>
      </c>
      <c r="G723" t="s">
        <v>74</v>
      </c>
      <c r="H723" t="s">
        <v>74</v>
      </c>
      <c r="I723" t="s">
        <v>14431</v>
      </c>
      <c r="J723" t="s">
        <v>14432</v>
      </c>
      <c r="K723" t="s">
        <v>74</v>
      </c>
      <c r="L723" t="s">
        <v>74</v>
      </c>
      <c r="M723" t="s">
        <v>78</v>
      </c>
      <c r="N723" t="s">
        <v>79</v>
      </c>
      <c r="O723" t="s">
        <v>74</v>
      </c>
      <c r="P723" t="s">
        <v>74</v>
      </c>
      <c r="Q723" t="s">
        <v>74</v>
      </c>
      <c r="R723" t="s">
        <v>74</v>
      </c>
      <c r="S723" t="s">
        <v>74</v>
      </c>
      <c r="T723" t="s">
        <v>14433</v>
      </c>
      <c r="U723" t="s">
        <v>14434</v>
      </c>
      <c r="V723" t="s">
        <v>14435</v>
      </c>
      <c r="W723" t="s">
        <v>14436</v>
      </c>
      <c r="X723" t="s">
        <v>14437</v>
      </c>
      <c r="Y723" t="s">
        <v>14438</v>
      </c>
      <c r="Z723" t="s">
        <v>14439</v>
      </c>
      <c r="AA723" t="s">
        <v>14440</v>
      </c>
      <c r="AB723" t="s">
        <v>14441</v>
      </c>
      <c r="AC723" t="s">
        <v>14442</v>
      </c>
      <c r="AD723" t="s">
        <v>14443</v>
      </c>
      <c r="AE723" t="s">
        <v>14444</v>
      </c>
      <c r="AF723" t="s">
        <v>74</v>
      </c>
      <c r="AG723">
        <v>53</v>
      </c>
      <c r="AH723">
        <v>10</v>
      </c>
      <c r="AI723">
        <v>10</v>
      </c>
      <c r="AJ723">
        <v>0</v>
      </c>
      <c r="AK723">
        <v>8</v>
      </c>
      <c r="AL723" t="s">
        <v>2085</v>
      </c>
      <c r="AM723" t="s">
        <v>2086</v>
      </c>
      <c r="AN723" t="s">
        <v>2087</v>
      </c>
      <c r="AO723" t="s">
        <v>74</v>
      </c>
      <c r="AP723" t="s">
        <v>14445</v>
      </c>
      <c r="AQ723" t="s">
        <v>74</v>
      </c>
      <c r="AR723" t="s">
        <v>14432</v>
      </c>
      <c r="AS723" t="s">
        <v>14446</v>
      </c>
      <c r="AT723" t="s">
        <v>11892</v>
      </c>
      <c r="AU723">
        <v>2020</v>
      </c>
      <c r="AV723">
        <v>5</v>
      </c>
      <c r="AW723">
        <v>3</v>
      </c>
      <c r="AX723" t="s">
        <v>74</v>
      </c>
      <c r="AY723" t="s">
        <v>74</v>
      </c>
      <c r="AZ723" t="s">
        <v>74</v>
      </c>
      <c r="BA723" t="s">
        <v>74</v>
      </c>
      <c r="BB723" t="s">
        <v>74</v>
      </c>
      <c r="BC723" t="s">
        <v>74</v>
      </c>
      <c r="BD723">
        <v>145</v>
      </c>
      <c r="BE723" t="s">
        <v>14447</v>
      </c>
      <c r="BF723" t="str">
        <f>HYPERLINK("http://dx.doi.org/10.3390/fluids5030145","http://dx.doi.org/10.3390/fluids5030145")</f>
        <v>http://dx.doi.org/10.3390/fluids5030145</v>
      </c>
      <c r="BG723" t="s">
        <v>74</v>
      </c>
      <c r="BH723" t="s">
        <v>74</v>
      </c>
      <c r="BI723">
        <v>23</v>
      </c>
      <c r="BJ723" t="s">
        <v>14448</v>
      </c>
      <c r="BK723" t="s">
        <v>1214</v>
      </c>
      <c r="BL723" t="s">
        <v>14449</v>
      </c>
      <c r="BM723" t="s">
        <v>14450</v>
      </c>
      <c r="BN723" t="s">
        <v>74</v>
      </c>
      <c r="BO723" t="s">
        <v>11522</v>
      </c>
      <c r="BP723" t="s">
        <v>74</v>
      </c>
      <c r="BQ723" t="s">
        <v>74</v>
      </c>
      <c r="BR723" t="s">
        <v>104</v>
      </c>
      <c r="BS723" t="s">
        <v>14451</v>
      </c>
      <c r="BT723" t="str">
        <f>HYPERLINK("https%3A%2F%2Fwww.webofscience.com%2Fwos%2Fwoscc%2Ffull-record%2FWOS:000580244900001","View Full Record in Web of Science")</f>
        <v>View Full Record in Web of Science</v>
      </c>
    </row>
    <row r="724" spans="1:72" x14ac:dyDescent="0.15">
      <c r="A724" t="s">
        <v>72</v>
      </c>
      <c r="B724" t="s">
        <v>14452</v>
      </c>
      <c r="C724" t="s">
        <v>74</v>
      </c>
      <c r="D724" t="s">
        <v>74</v>
      </c>
      <c r="E724" t="s">
        <v>74</v>
      </c>
      <c r="F724" t="s">
        <v>14453</v>
      </c>
      <c r="G724" t="s">
        <v>74</v>
      </c>
      <c r="H724" t="s">
        <v>74</v>
      </c>
      <c r="I724" t="s">
        <v>14454</v>
      </c>
      <c r="J724" t="s">
        <v>1985</v>
      </c>
      <c r="K724" t="s">
        <v>74</v>
      </c>
      <c r="L724" t="s">
        <v>74</v>
      </c>
      <c r="M724" t="s">
        <v>78</v>
      </c>
      <c r="N724" t="s">
        <v>79</v>
      </c>
      <c r="O724" t="s">
        <v>74</v>
      </c>
      <c r="P724" t="s">
        <v>74</v>
      </c>
      <c r="Q724" t="s">
        <v>74</v>
      </c>
      <c r="R724" t="s">
        <v>74</v>
      </c>
      <c r="S724" t="s">
        <v>74</v>
      </c>
      <c r="T724" t="s">
        <v>74</v>
      </c>
      <c r="U724" t="s">
        <v>14455</v>
      </c>
      <c r="V724" t="s">
        <v>14456</v>
      </c>
      <c r="W724" t="s">
        <v>14457</v>
      </c>
      <c r="X724" t="s">
        <v>14458</v>
      </c>
      <c r="Y724" t="s">
        <v>14459</v>
      </c>
      <c r="Z724" t="s">
        <v>14460</v>
      </c>
      <c r="AA724" t="s">
        <v>14461</v>
      </c>
      <c r="AB724" t="s">
        <v>14462</v>
      </c>
      <c r="AC724" t="s">
        <v>14463</v>
      </c>
      <c r="AD724" t="s">
        <v>14464</v>
      </c>
      <c r="AE724" t="s">
        <v>14465</v>
      </c>
      <c r="AF724" t="s">
        <v>74</v>
      </c>
      <c r="AG724">
        <v>60</v>
      </c>
      <c r="AH724">
        <v>17</v>
      </c>
      <c r="AI724">
        <v>18</v>
      </c>
      <c r="AJ724">
        <v>2</v>
      </c>
      <c r="AK724">
        <v>14</v>
      </c>
      <c r="AL724" t="s">
        <v>1710</v>
      </c>
      <c r="AM724" t="s">
        <v>609</v>
      </c>
      <c r="AN724" t="s">
        <v>1711</v>
      </c>
      <c r="AO724" t="s">
        <v>1998</v>
      </c>
      <c r="AP724" t="s">
        <v>1999</v>
      </c>
      <c r="AQ724" t="s">
        <v>74</v>
      </c>
      <c r="AR724" t="s">
        <v>2000</v>
      </c>
      <c r="AS724" t="s">
        <v>2001</v>
      </c>
      <c r="AT724" t="s">
        <v>11892</v>
      </c>
      <c r="AU724">
        <v>2020</v>
      </c>
      <c r="AV724">
        <v>34</v>
      </c>
      <c r="AW724">
        <v>9</v>
      </c>
      <c r="AX724" t="s">
        <v>74</v>
      </c>
      <c r="AY724" t="s">
        <v>74</v>
      </c>
      <c r="AZ724" t="s">
        <v>74</v>
      </c>
      <c r="BA724" t="s">
        <v>74</v>
      </c>
      <c r="BB724" t="s">
        <v>74</v>
      </c>
      <c r="BC724" t="s">
        <v>74</v>
      </c>
      <c r="BD724" t="s">
        <v>14466</v>
      </c>
      <c r="BE724" t="s">
        <v>14467</v>
      </c>
      <c r="BF724" t="str">
        <f>HYPERLINK("http://dx.doi.org/10.1029/2020GB006669","http://dx.doi.org/10.1029/2020GB006669")</f>
        <v>http://dx.doi.org/10.1029/2020GB006669</v>
      </c>
      <c r="BG724" t="s">
        <v>74</v>
      </c>
      <c r="BH724" t="s">
        <v>74</v>
      </c>
      <c r="BI724">
        <v>15</v>
      </c>
      <c r="BJ724" t="s">
        <v>846</v>
      </c>
      <c r="BK724" t="s">
        <v>100</v>
      </c>
      <c r="BL724" t="s">
        <v>847</v>
      </c>
      <c r="BM724" t="s">
        <v>13573</v>
      </c>
      <c r="BN724" t="s">
        <v>74</v>
      </c>
      <c r="BO724" t="s">
        <v>1188</v>
      </c>
      <c r="BP724" t="s">
        <v>74</v>
      </c>
      <c r="BQ724" t="s">
        <v>74</v>
      </c>
      <c r="BR724" t="s">
        <v>104</v>
      </c>
      <c r="BS724" t="s">
        <v>14468</v>
      </c>
      <c r="BT724" t="str">
        <f>HYPERLINK("https%3A%2F%2Fwww.webofscience.com%2Fwos%2Fwoscc%2Ffull-record%2FWOS:000576406900019","View Full Record in Web of Science")</f>
        <v>View Full Record in Web of Science</v>
      </c>
    </row>
    <row r="725" spans="1:72" x14ac:dyDescent="0.15">
      <c r="A725" t="s">
        <v>72</v>
      </c>
      <c r="B725" t="s">
        <v>14469</v>
      </c>
      <c r="C725" t="s">
        <v>74</v>
      </c>
      <c r="D725" t="s">
        <v>74</v>
      </c>
      <c r="E725" t="s">
        <v>74</v>
      </c>
      <c r="F725" t="s">
        <v>14470</v>
      </c>
      <c r="G725" t="s">
        <v>74</v>
      </c>
      <c r="H725" t="s">
        <v>74</v>
      </c>
      <c r="I725" t="s">
        <v>14471</v>
      </c>
      <c r="J725" t="s">
        <v>12767</v>
      </c>
      <c r="K725" t="s">
        <v>74</v>
      </c>
      <c r="L725" t="s">
        <v>74</v>
      </c>
      <c r="M725" t="s">
        <v>78</v>
      </c>
      <c r="N725" t="s">
        <v>79</v>
      </c>
      <c r="O725" t="s">
        <v>74</v>
      </c>
      <c r="P725" t="s">
        <v>74</v>
      </c>
      <c r="Q725" t="s">
        <v>74</v>
      </c>
      <c r="R725" t="s">
        <v>74</v>
      </c>
      <c r="S725" t="s">
        <v>74</v>
      </c>
      <c r="T725" t="s">
        <v>14472</v>
      </c>
      <c r="U725" t="s">
        <v>14473</v>
      </c>
      <c r="V725" t="s">
        <v>14474</v>
      </c>
      <c r="W725" t="s">
        <v>14475</v>
      </c>
      <c r="X725" t="s">
        <v>14476</v>
      </c>
      <c r="Y725" t="s">
        <v>14477</v>
      </c>
      <c r="Z725" t="s">
        <v>14478</v>
      </c>
      <c r="AA725" t="s">
        <v>14479</v>
      </c>
      <c r="AB725" t="s">
        <v>14480</v>
      </c>
      <c r="AC725" t="s">
        <v>14481</v>
      </c>
      <c r="AD725" t="s">
        <v>14482</v>
      </c>
      <c r="AE725" t="s">
        <v>14483</v>
      </c>
      <c r="AF725" t="s">
        <v>74</v>
      </c>
      <c r="AG725">
        <v>86</v>
      </c>
      <c r="AH725">
        <v>27</v>
      </c>
      <c r="AI725">
        <v>27</v>
      </c>
      <c r="AJ725">
        <v>7</v>
      </c>
      <c r="AK725">
        <v>29</v>
      </c>
      <c r="AL725" t="s">
        <v>275</v>
      </c>
      <c r="AM725" t="s">
        <v>276</v>
      </c>
      <c r="AN725" t="s">
        <v>277</v>
      </c>
      <c r="AO725" t="s">
        <v>12780</v>
      </c>
      <c r="AP725" t="s">
        <v>12781</v>
      </c>
      <c r="AQ725" t="s">
        <v>74</v>
      </c>
      <c r="AR725" t="s">
        <v>12767</v>
      </c>
      <c r="AS725" t="s">
        <v>12782</v>
      </c>
      <c r="AT725" t="s">
        <v>11892</v>
      </c>
      <c r="AU725">
        <v>2020</v>
      </c>
      <c r="AV725">
        <v>98</v>
      </c>
      <c r="AW725" t="s">
        <v>74</v>
      </c>
      <c r="AX725" t="s">
        <v>74</v>
      </c>
      <c r="AY725" t="s">
        <v>74</v>
      </c>
      <c r="AZ725" t="s">
        <v>74</v>
      </c>
      <c r="BA725" t="s">
        <v>74</v>
      </c>
      <c r="BB725" t="s">
        <v>74</v>
      </c>
      <c r="BC725" t="s">
        <v>74</v>
      </c>
      <c r="BD725">
        <v>101892</v>
      </c>
      <c r="BE725" t="s">
        <v>14484</v>
      </c>
      <c r="BF725" t="str">
        <f>HYPERLINK("http://dx.doi.org/10.1016/j.hal.2020.101892","http://dx.doi.org/10.1016/j.hal.2020.101892")</f>
        <v>http://dx.doi.org/10.1016/j.hal.2020.101892</v>
      </c>
      <c r="BG725" t="s">
        <v>74</v>
      </c>
      <c r="BH725" t="s">
        <v>74</v>
      </c>
      <c r="BI725">
        <v>15</v>
      </c>
      <c r="BJ725" t="s">
        <v>9597</v>
      </c>
      <c r="BK725" t="s">
        <v>100</v>
      </c>
      <c r="BL725" t="s">
        <v>9597</v>
      </c>
      <c r="BM725" t="s">
        <v>12784</v>
      </c>
      <c r="BN725">
        <v>33129450</v>
      </c>
      <c r="BO725" t="s">
        <v>1259</v>
      </c>
      <c r="BP725" t="s">
        <v>74</v>
      </c>
      <c r="BQ725" t="s">
        <v>74</v>
      </c>
      <c r="BR725" t="s">
        <v>104</v>
      </c>
      <c r="BS725" t="s">
        <v>14485</v>
      </c>
      <c r="BT725" t="str">
        <f>HYPERLINK("https%3A%2F%2Fwww.webofscience.com%2Fwos%2Fwoscc%2Ffull-record%2FWOS:000583196800009","View Full Record in Web of Science")</f>
        <v>View Full Record in Web of Science</v>
      </c>
    </row>
    <row r="726" spans="1:72" x14ac:dyDescent="0.15">
      <c r="A726" t="s">
        <v>72</v>
      </c>
      <c r="B726" t="s">
        <v>14486</v>
      </c>
      <c r="C726" t="s">
        <v>74</v>
      </c>
      <c r="D726" t="s">
        <v>74</v>
      </c>
      <c r="E726" t="s">
        <v>74</v>
      </c>
      <c r="F726" t="s">
        <v>14487</v>
      </c>
      <c r="G726" t="s">
        <v>74</v>
      </c>
      <c r="H726" t="s">
        <v>74</v>
      </c>
      <c r="I726" t="s">
        <v>14488</v>
      </c>
      <c r="J726" t="s">
        <v>13883</v>
      </c>
      <c r="K726" t="s">
        <v>74</v>
      </c>
      <c r="L726" t="s">
        <v>74</v>
      </c>
      <c r="M726" t="s">
        <v>78</v>
      </c>
      <c r="N726" t="s">
        <v>79</v>
      </c>
      <c r="O726" t="s">
        <v>74</v>
      </c>
      <c r="P726" t="s">
        <v>74</v>
      </c>
      <c r="Q726" t="s">
        <v>74</v>
      </c>
      <c r="R726" t="s">
        <v>74</v>
      </c>
      <c r="S726" t="s">
        <v>74</v>
      </c>
      <c r="T726" t="s">
        <v>14489</v>
      </c>
      <c r="U726" t="s">
        <v>14490</v>
      </c>
      <c r="V726" t="s">
        <v>14491</v>
      </c>
      <c r="W726" t="s">
        <v>14492</v>
      </c>
      <c r="X726" t="s">
        <v>11274</v>
      </c>
      <c r="Y726" t="s">
        <v>14493</v>
      </c>
      <c r="Z726" t="s">
        <v>14494</v>
      </c>
      <c r="AA726" t="s">
        <v>14495</v>
      </c>
      <c r="AB726" t="s">
        <v>14496</v>
      </c>
      <c r="AC726" t="s">
        <v>7887</v>
      </c>
      <c r="AD726" t="s">
        <v>7888</v>
      </c>
      <c r="AE726" t="s">
        <v>7889</v>
      </c>
      <c r="AF726" t="s">
        <v>74</v>
      </c>
      <c r="AG726">
        <v>69</v>
      </c>
      <c r="AH726">
        <v>5</v>
      </c>
      <c r="AI726">
        <v>6</v>
      </c>
      <c r="AJ726">
        <v>1</v>
      </c>
      <c r="AK726">
        <v>17</v>
      </c>
      <c r="AL726" t="s">
        <v>2085</v>
      </c>
      <c r="AM726" t="s">
        <v>2086</v>
      </c>
      <c r="AN726" t="s">
        <v>2087</v>
      </c>
      <c r="AO726" t="s">
        <v>74</v>
      </c>
      <c r="AP726" t="s">
        <v>13894</v>
      </c>
      <c r="AQ726" t="s">
        <v>74</v>
      </c>
      <c r="AR726" t="s">
        <v>13895</v>
      </c>
      <c r="AS726" t="s">
        <v>13896</v>
      </c>
      <c r="AT726" t="s">
        <v>11892</v>
      </c>
      <c r="AU726">
        <v>2020</v>
      </c>
      <c r="AV726">
        <v>21</v>
      </c>
      <c r="AW726">
        <v>18</v>
      </c>
      <c r="AX726" t="s">
        <v>74</v>
      </c>
      <c r="AY726" t="s">
        <v>74</v>
      </c>
      <c r="AZ726" t="s">
        <v>74</v>
      </c>
      <c r="BA726" t="s">
        <v>74</v>
      </c>
      <c r="BB726" t="s">
        <v>74</v>
      </c>
      <c r="BC726" t="s">
        <v>74</v>
      </c>
      <c r="BD726">
        <v>6967</v>
      </c>
      <c r="BE726" t="s">
        <v>14497</v>
      </c>
      <c r="BF726" t="str">
        <f>HYPERLINK("http://dx.doi.org/10.3390/ijms21186967","http://dx.doi.org/10.3390/ijms21186967")</f>
        <v>http://dx.doi.org/10.3390/ijms21186967</v>
      </c>
      <c r="BG726" t="s">
        <v>74</v>
      </c>
      <c r="BH726" t="s">
        <v>74</v>
      </c>
      <c r="BI726">
        <v>20</v>
      </c>
      <c r="BJ726" t="s">
        <v>7664</v>
      </c>
      <c r="BK726" t="s">
        <v>100</v>
      </c>
      <c r="BL726" t="s">
        <v>2649</v>
      </c>
      <c r="BM726" t="s">
        <v>14498</v>
      </c>
      <c r="BN726">
        <v>32971953</v>
      </c>
      <c r="BO726" t="s">
        <v>332</v>
      </c>
      <c r="BP726" t="s">
        <v>74</v>
      </c>
      <c r="BQ726" t="s">
        <v>74</v>
      </c>
      <c r="BR726" t="s">
        <v>104</v>
      </c>
      <c r="BS726" t="s">
        <v>14499</v>
      </c>
      <c r="BT726" t="str">
        <f>HYPERLINK("https%3A%2F%2Fwww.webofscience.com%2Fwos%2Fwoscc%2Ffull-record%2FWOS:000581324600001","View Full Record in Web of Science")</f>
        <v>View Full Record in Web of Science</v>
      </c>
    </row>
    <row r="727" spans="1:72" x14ac:dyDescent="0.15">
      <c r="A727" t="s">
        <v>72</v>
      </c>
      <c r="B727" t="s">
        <v>14500</v>
      </c>
      <c r="C727" t="s">
        <v>74</v>
      </c>
      <c r="D727" t="s">
        <v>74</v>
      </c>
      <c r="E727" t="s">
        <v>74</v>
      </c>
      <c r="F727" t="s">
        <v>14501</v>
      </c>
      <c r="G727" t="s">
        <v>74</v>
      </c>
      <c r="H727" t="s">
        <v>74</v>
      </c>
      <c r="I727" t="s">
        <v>14502</v>
      </c>
      <c r="J727" t="s">
        <v>2888</v>
      </c>
      <c r="K727" t="s">
        <v>74</v>
      </c>
      <c r="L727" t="s">
        <v>74</v>
      </c>
      <c r="M727" t="s">
        <v>78</v>
      </c>
      <c r="N727" t="s">
        <v>79</v>
      </c>
      <c r="O727" t="s">
        <v>74</v>
      </c>
      <c r="P727" t="s">
        <v>74</v>
      </c>
      <c r="Q727" t="s">
        <v>74</v>
      </c>
      <c r="R727" t="s">
        <v>74</v>
      </c>
      <c r="S727" t="s">
        <v>74</v>
      </c>
      <c r="T727" t="s">
        <v>14503</v>
      </c>
      <c r="U727" t="s">
        <v>14504</v>
      </c>
      <c r="V727" t="s">
        <v>14505</v>
      </c>
      <c r="W727" t="s">
        <v>14506</v>
      </c>
      <c r="X727" t="s">
        <v>14507</v>
      </c>
      <c r="Y727" t="s">
        <v>14508</v>
      </c>
      <c r="Z727" t="s">
        <v>14509</v>
      </c>
      <c r="AA727" t="s">
        <v>74</v>
      </c>
      <c r="AB727" t="s">
        <v>2897</v>
      </c>
      <c r="AC727" t="s">
        <v>14510</v>
      </c>
      <c r="AD727" t="s">
        <v>14511</v>
      </c>
      <c r="AE727" t="s">
        <v>14512</v>
      </c>
      <c r="AF727" t="s">
        <v>74</v>
      </c>
      <c r="AG727">
        <v>94</v>
      </c>
      <c r="AH727">
        <v>15</v>
      </c>
      <c r="AI727">
        <v>16</v>
      </c>
      <c r="AJ727">
        <v>5</v>
      </c>
      <c r="AK727">
        <v>245</v>
      </c>
      <c r="AL727" t="s">
        <v>275</v>
      </c>
      <c r="AM727" t="s">
        <v>276</v>
      </c>
      <c r="AN727" t="s">
        <v>277</v>
      </c>
      <c r="AO727" t="s">
        <v>2901</v>
      </c>
      <c r="AP727" t="s">
        <v>2902</v>
      </c>
      <c r="AQ727" t="s">
        <v>74</v>
      </c>
      <c r="AR727" t="s">
        <v>2903</v>
      </c>
      <c r="AS727" t="s">
        <v>2904</v>
      </c>
      <c r="AT727" t="s">
        <v>13429</v>
      </c>
      <c r="AU727">
        <v>2020</v>
      </c>
      <c r="AV727">
        <v>530</v>
      </c>
      <c r="AW727" t="s">
        <v>74</v>
      </c>
      <c r="AX727" t="s">
        <v>74</v>
      </c>
      <c r="AY727" t="s">
        <v>74</v>
      </c>
      <c r="AZ727" t="s">
        <v>74</v>
      </c>
      <c r="BA727" t="s">
        <v>74</v>
      </c>
      <c r="BB727" t="s">
        <v>74</v>
      </c>
      <c r="BC727" t="s">
        <v>74</v>
      </c>
      <c r="BD727">
        <v>151400</v>
      </c>
      <c r="BE727" t="s">
        <v>14513</v>
      </c>
      <c r="BF727" t="str">
        <f>HYPERLINK("http://dx.doi.org/10.1016/j.jembe.2020.151400","http://dx.doi.org/10.1016/j.jembe.2020.151400")</f>
        <v>http://dx.doi.org/10.1016/j.jembe.2020.151400</v>
      </c>
      <c r="BG727" t="s">
        <v>74</v>
      </c>
      <c r="BH727" t="s">
        <v>74</v>
      </c>
      <c r="BI727">
        <v>11</v>
      </c>
      <c r="BJ727" t="s">
        <v>1477</v>
      </c>
      <c r="BK727" t="s">
        <v>100</v>
      </c>
      <c r="BL727" t="s">
        <v>919</v>
      </c>
      <c r="BM727" t="s">
        <v>14321</v>
      </c>
      <c r="BN727" t="s">
        <v>74</v>
      </c>
      <c r="BO727" t="s">
        <v>74</v>
      </c>
      <c r="BP727" t="s">
        <v>74</v>
      </c>
      <c r="BQ727" t="s">
        <v>74</v>
      </c>
      <c r="BR727" t="s">
        <v>104</v>
      </c>
      <c r="BS727" t="s">
        <v>14514</v>
      </c>
      <c r="BT727" t="str">
        <f>HYPERLINK("https%3A%2F%2Fwww.webofscience.com%2Fwos%2Fwoscc%2Ffull-record%2FWOS:000562582100004","View Full Record in Web of Science")</f>
        <v>View Full Record in Web of Science</v>
      </c>
    </row>
    <row r="728" spans="1:72" x14ac:dyDescent="0.15">
      <c r="A728" t="s">
        <v>72</v>
      </c>
      <c r="B728" t="s">
        <v>14515</v>
      </c>
      <c r="C728" t="s">
        <v>74</v>
      </c>
      <c r="D728" t="s">
        <v>74</v>
      </c>
      <c r="E728" t="s">
        <v>74</v>
      </c>
      <c r="F728" t="s">
        <v>14516</v>
      </c>
      <c r="G728" t="s">
        <v>74</v>
      </c>
      <c r="H728" t="s">
        <v>14517</v>
      </c>
      <c r="I728" t="s">
        <v>14518</v>
      </c>
      <c r="J728" t="s">
        <v>14519</v>
      </c>
      <c r="K728" t="s">
        <v>74</v>
      </c>
      <c r="L728" t="s">
        <v>74</v>
      </c>
      <c r="M728" t="s">
        <v>78</v>
      </c>
      <c r="N728" t="s">
        <v>79</v>
      </c>
      <c r="O728" t="s">
        <v>74</v>
      </c>
      <c r="P728" t="s">
        <v>74</v>
      </c>
      <c r="Q728" t="s">
        <v>74</v>
      </c>
      <c r="R728" t="s">
        <v>74</v>
      </c>
      <c r="S728" t="s">
        <v>74</v>
      </c>
      <c r="T728" t="s">
        <v>14520</v>
      </c>
      <c r="U728" t="s">
        <v>74</v>
      </c>
      <c r="V728" t="s">
        <v>14521</v>
      </c>
      <c r="W728" t="s">
        <v>14522</v>
      </c>
      <c r="X728" t="s">
        <v>14523</v>
      </c>
      <c r="Y728" t="s">
        <v>14524</v>
      </c>
      <c r="Z728" t="s">
        <v>14525</v>
      </c>
      <c r="AA728" t="s">
        <v>14526</v>
      </c>
      <c r="AB728" t="s">
        <v>14527</v>
      </c>
      <c r="AC728" t="s">
        <v>14528</v>
      </c>
      <c r="AD728" t="s">
        <v>14529</v>
      </c>
      <c r="AE728" t="s">
        <v>14530</v>
      </c>
      <c r="AF728" t="s">
        <v>74</v>
      </c>
      <c r="AG728">
        <v>34</v>
      </c>
      <c r="AH728">
        <v>17</v>
      </c>
      <c r="AI728">
        <v>18</v>
      </c>
      <c r="AJ728">
        <v>0</v>
      </c>
      <c r="AK728">
        <v>0</v>
      </c>
      <c r="AL728" t="s">
        <v>2724</v>
      </c>
      <c r="AM728" t="s">
        <v>2725</v>
      </c>
      <c r="AN728" t="s">
        <v>2726</v>
      </c>
      <c r="AO728" t="s">
        <v>14531</v>
      </c>
      <c r="AP728" t="s">
        <v>74</v>
      </c>
      <c r="AQ728" t="s">
        <v>74</v>
      </c>
      <c r="AR728" t="s">
        <v>14532</v>
      </c>
      <c r="AS728" t="s">
        <v>14533</v>
      </c>
      <c r="AT728" t="s">
        <v>11892</v>
      </c>
      <c r="AU728">
        <v>2020</v>
      </c>
      <c r="AV728">
        <v>15</v>
      </c>
      <c r="AW728">
        <v>9</v>
      </c>
      <c r="AX728" t="s">
        <v>74</v>
      </c>
      <c r="AY728" t="s">
        <v>74</v>
      </c>
      <c r="AZ728" t="s">
        <v>74</v>
      </c>
      <c r="BA728" t="s">
        <v>74</v>
      </c>
      <c r="BB728" t="s">
        <v>74</v>
      </c>
      <c r="BC728" t="s">
        <v>74</v>
      </c>
      <c r="BD728" t="s">
        <v>14534</v>
      </c>
      <c r="BE728" t="s">
        <v>14535</v>
      </c>
      <c r="BF728" t="str">
        <f>HYPERLINK("http://dx.doi.org/10.1088/1748-0221/15/09/P09039","http://dx.doi.org/10.1088/1748-0221/15/09/P09039")</f>
        <v>http://dx.doi.org/10.1088/1748-0221/15/09/P09039</v>
      </c>
      <c r="BG728" t="s">
        <v>74</v>
      </c>
      <c r="BH728" t="s">
        <v>74</v>
      </c>
      <c r="BI728">
        <v>23</v>
      </c>
      <c r="BJ728" t="s">
        <v>14536</v>
      </c>
      <c r="BK728" t="s">
        <v>100</v>
      </c>
      <c r="BL728" t="s">
        <v>14536</v>
      </c>
      <c r="BM728" t="s">
        <v>14537</v>
      </c>
      <c r="BN728" t="s">
        <v>74</v>
      </c>
      <c r="BO728" t="s">
        <v>1794</v>
      </c>
      <c r="BP728" t="s">
        <v>74</v>
      </c>
      <c r="BQ728" t="s">
        <v>74</v>
      </c>
      <c r="BR728" t="s">
        <v>104</v>
      </c>
      <c r="BS728" t="s">
        <v>14538</v>
      </c>
      <c r="BT728" t="str">
        <f>HYPERLINK("https%3A%2F%2Fwww.webofscience.com%2Fwos%2Fwoscc%2Ffull-record%2FWOS:000577273400039","View Full Record in Web of Science")</f>
        <v>View Full Record in Web of Science</v>
      </c>
    </row>
    <row r="729" spans="1:72" x14ac:dyDescent="0.15">
      <c r="A729" t="s">
        <v>72</v>
      </c>
      <c r="B729" t="s">
        <v>14539</v>
      </c>
      <c r="C729" t="s">
        <v>74</v>
      </c>
      <c r="D729" t="s">
        <v>74</v>
      </c>
      <c r="E729" t="s">
        <v>74</v>
      </c>
      <c r="F729" t="s">
        <v>14540</v>
      </c>
      <c r="G729" t="s">
        <v>74</v>
      </c>
      <c r="H729" t="s">
        <v>74</v>
      </c>
      <c r="I729" t="s">
        <v>14541</v>
      </c>
      <c r="J729" t="s">
        <v>8716</v>
      </c>
      <c r="K729" t="s">
        <v>74</v>
      </c>
      <c r="L729" t="s">
        <v>74</v>
      </c>
      <c r="M729" t="s">
        <v>78</v>
      </c>
      <c r="N729" t="s">
        <v>79</v>
      </c>
      <c r="O729" t="s">
        <v>74</v>
      </c>
      <c r="P729" t="s">
        <v>74</v>
      </c>
      <c r="Q729" t="s">
        <v>74</v>
      </c>
      <c r="R729" t="s">
        <v>74</v>
      </c>
      <c r="S729" t="s">
        <v>74</v>
      </c>
      <c r="T729" t="s">
        <v>14542</v>
      </c>
      <c r="U729" t="s">
        <v>14543</v>
      </c>
      <c r="V729" t="s">
        <v>14544</v>
      </c>
      <c r="W729" t="s">
        <v>14545</v>
      </c>
      <c r="X729" t="s">
        <v>14546</v>
      </c>
      <c r="Y729" t="s">
        <v>3231</v>
      </c>
      <c r="Z729" t="s">
        <v>3232</v>
      </c>
      <c r="AA729" t="s">
        <v>14547</v>
      </c>
      <c r="AB729" t="s">
        <v>14548</v>
      </c>
      <c r="AC729" t="s">
        <v>14549</v>
      </c>
      <c r="AD729" t="s">
        <v>4156</v>
      </c>
      <c r="AE729" t="s">
        <v>14550</v>
      </c>
      <c r="AF729" t="s">
        <v>74</v>
      </c>
      <c r="AG729">
        <v>75</v>
      </c>
      <c r="AH729">
        <v>7</v>
      </c>
      <c r="AI729">
        <v>7</v>
      </c>
      <c r="AJ729">
        <v>0</v>
      </c>
      <c r="AK729">
        <v>5</v>
      </c>
      <c r="AL729" t="s">
        <v>275</v>
      </c>
      <c r="AM729" t="s">
        <v>276</v>
      </c>
      <c r="AN729" t="s">
        <v>277</v>
      </c>
      <c r="AO729" t="s">
        <v>8729</v>
      </c>
      <c r="AP729" t="s">
        <v>8730</v>
      </c>
      <c r="AQ729" t="s">
        <v>74</v>
      </c>
      <c r="AR729" t="s">
        <v>8731</v>
      </c>
      <c r="AS729" t="s">
        <v>8732</v>
      </c>
      <c r="AT729" t="s">
        <v>12502</v>
      </c>
      <c r="AU729">
        <v>2020</v>
      </c>
      <c r="AV729">
        <v>401</v>
      </c>
      <c r="AW729" t="s">
        <v>74</v>
      </c>
      <c r="AX729" t="s">
        <v>74</v>
      </c>
      <c r="AY729" t="s">
        <v>74</v>
      </c>
      <c r="AZ729" t="s">
        <v>74</v>
      </c>
      <c r="BA729" t="s">
        <v>74</v>
      </c>
      <c r="BB729" t="s">
        <v>74</v>
      </c>
      <c r="BC729" t="s">
        <v>74</v>
      </c>
      <c r="BD729">
        <v>106969</v>
      </c>
      <c r="BE729" t="s">
        <v>14551</v>
      </c>
      <c r="BF729" t="str">
        <f>HYPERLINK("http://dx.doi.org/10.1016/j.jvolgeores.2020.106969","http://dx.doi.org/10.1016/j.jvolgeores.2020.106969")</f>
        <v>http://dx.doi.org/10.1016/j.jvolgeores.2020.106969</v>
      </c>
      <c r="BG729" t="s">
        <v>74</v>
      </c>
      <c r="BH729" t="s">
        <v>74</v>
      </c>
      <c r="BI729">
        <v>19</v>
      </c>
      <c r="BJ729" t="s">
        <v>534</v>
      </c>
      <c r="BK729" t="s">
        <v>100</v>
      </c>
      <c r="BL729" t="s">
        <v>535</v>
      </c>
      <c r="BM729" t="s">
        <v>14552</v>
      </c>
      <c r="BN729" t="s">
        <v>74</v>
      </c>
      <c r="BO729" t="s">
        <v>74</v>
      </c>
      <c r="BP729" t="s">
        <v>74</v>
      </c>
      <c r="BQ729" t="s">
        <v>74</v>
      </c>
      <c r="BR729" t="s">
        <v>104</v>
      </c>
      <c r="BS729" t="s">
        <v>14553</v>
      </c>
      <c r="BT729" t="str">
        <f>HYPERLINK("https%3A%2F%2Fwww.webofscience.com%2Fwos%2Fwoscc%2Ffull-record%2FWOS:000556376900032","View Full Record in Web of Science")</f>
        <v>View Full Record in Web of Science</v>
      </c>
    </row>
    <row r="730" spans="1:72" x14ac:dyDescent="0.15">
      <c r="A730" t="s">
        <v>72</v>
      </c>
      <c r="B730" t="s">
        <v>14554</v>
      </c>
      <c r="C730" t="s">
        <v>74</v>
      </c>
      <c r="D730" t="s">
        <v>74</v>
      </c>
      <c r="E730" t="s">
        <v>74</v>
      </c>
      <c r="F730" t="s">
        <v>14555</v>
      </c>
      <c r="G730" t="s">
        <v>74</v>
      </c>
      <c r="H730" t="s">
        <v>74</v>
      </c>
      <c r="I730" t="s">
        <v>14556</v>
      </c>
      <c r="J730" t="s">
        <v>14557</v>
      </c>
      <c r="K730" t="s">
        <v>74</v>
      </c>
      <c r="L730" t="s">
        <v>74</v>
      </c>
      <c r="M730" t="s">
        <v>78</v>
      </c>
      <c r="N730" t="s">
        <v>79</v>
      </c>
      <c r="O730" t="s">
        <v>74</v>
      </c>
      <c r="P730" t="s">
        <v>74</v>
      </c>
      <c r="Q730" t="s">
        <v>74</v>
      </c>
      <c r="R730" t="s">
        <v>74</v>
      </c>
      <c r="S730" t="s">
        <v>74</v>
      </c>
      <c r="T730" t="s">
        <v>14558</v>
      </c>
      <c r="U730" t="s">
        <v>14559</v>
      </c>
      <c r="V730" t="s">
        <v>14560</v>
      </c>
      <c r="W730" t="s">
        <v>14561</v>
      </c>
      <c r="X730" t="s">
        <v>14562</v>
      </c>
      <c r="Y730" t="s">
        <v>14563</v>
      </c>
      <c r="Z730" t="s">
        <v>14564</v>
      </c>
      <c r="AA730" t="s">
        <v>14565</v>
      </c>
      <c r="AB730" t="s">
        <v>14566</v>
      </c>
      <c r="AC730" t="s">
        <v>14567</v>
      </c>
      <c r="AD730" t="s">
        <v>14568</v>
      </c>
      <c r="AE730" t="s">
        <v>14569</v>
      </c>
      <c r="AF730" t="s">
        <v>74</v>
      </c>
      <c r="AG730">
        <v>146</v>
      </c>
      <c r="AH730">
        <v>62</v>
      </c>
      <c r="AI730">
        <v>63</v>
      </c>
      <c r="AJ730">
        <v>3</v>
      </c>
      <c r="AK730">
        <v>29</v>
      </c>
      <c r="AL730" t="s">
        <v>1406</v>
      </c>
      <c r="AM730" t="s">
        <v>1407</v>
      </c>
      <c r="AN730" t="s">
        <v>1408</v>
      </c>
      <c r="AO730" t="s">
        <v>14570</v>
      </c>
      <c r="AP730" t="s">
        <v>14571</v>
      </c>
      <c r="AQ730" t="s">
        <v>74</v>
      </c>
      <c r="AR730" t="s">
        <v>14572</v>
      </c>
      <c r="AS730" t="s">
        <v>14573</v>
      </c>
      <c r="AT730" t="s">
        <v>11892</v>
      </c>
      <c r="AU730">
        <v>2020</v>
      </c>
      <c r="AV730">
        <v>37</v>
      </c>
      <c r="AW730">
        <v>9</v>
      </c>
      <c r="AX730" t="s">
        <v>74</v>
      </c>
      <c r="AY730" t="s">
        <v>74</v>
      </c>
      <c r="AZ730" t="s">
        <v>74</v>
      </c>
      <c r="BA730" t="s">
        <v>74</v>
      </c>
      <c r="BB730">
        <v>2661</v>
      </c>
      <c r="BC730">
        <v>2678</v>
      </c>
      <c r="BD730" t="s">
        <v>74</v>
      </c>
      <c r="BE730" t="s">
        <v>14574</v>
      </c>
      <c r="BF730" t="str">
        <f>HYPERLINK("http://dx.doi.org/10.1093/molbev/msaa120","http://dx.doi.org/10.1093/molbev/msaa120")</f>
        <v>http://dx.doi.org/10.1093/molbev/msaa120</v>
      </c>
      <c r="BG730" t="s">
        <v>74</v>
      </c>
      <c r="BH730" t="s">
        <v>74</v>
      </c>
      <c r="BI730">
        <v>18</v>
      </c>
      <c r="BJ730" t="s">
        <v>14575</v>
      </c>
      <c r="BK730" t="s">
        <v>100</v>
      </c>
      <c r="BL730" t="s">
        <v>14575</v>
      </c>
      <c r="BM730" t="s">
        <v>14576</v>
      </c>
      <c r="BN730">
        <v>32413142</v>
      </c>
      <c r="BO730" t="s">
        <v>14577</v>
      </c>
      <c r="BP730" t="s">
        <v>74</v>
      </c>
      <c r="BQ730" t="s">
        <v>74</v>
      </c>
      <c r="BR730" t="s">
        <v>104</v>
      </c>
      <c r="BS730" t="s">
        <v>14578</v>
      </c>
      <c r="BT730" t="str">
        <f>HYPERLINK("https%3A%2F%2Fwww.webofscience.com%2Fwos%2Fwoscc%2Ffull-record%2FWOS:000574386500016","View Full Record in Web of Science")</f>
        <v>View Full Record in Web of Science</v>
      </c>
    </row>
    <row r="731" spans="1:72" x14ac:dyDescent="0.15">
      <c r="A731" t="s">
        <v>72</v>
      </c>
      <c r="B731" t="s">
        <v>14579</v>
      </c>
      <c r="C731" t="s">
        <v>74</v>
      </c>
      <c r="D731" t="s">
        <v>74</v>
      </c>
      <c r="E731" t="s">
        <v>74</v>
      </c>
      <c r="F731" t="s">
        <v>14580</v>
      </c>
      <c r="G731" t="s">
        <v>74</v>
      </c>
      <c r="H731" t="s">
        <v>74</v>
      </c>
      <c r="I731" t="s">
        <v>14581</v>
      </c>
      <c r="J731" t="s">
        <v>14582</v>
      </c>
      <c r="K731" t="s">
        <v>74</v>
      </c>
      <c r="L731" t="s">
        <v>74</v>
      </c>
      <c r="M731" t="s">
        <v>78</v>
      </c>
      <c r="N731" t="s">
        <v>79</v>
      </c>
      <c r="O731" t="s">
        <v>74</v>
      </c>
      <c r="P731" t="s">
        <v>74</v>
      </c>
      <c r="Q731" t="s">
        <v>74</v>
      </c>
      <c r="R731" t="s">
        <v>74</v>
      </c>
      <c r="S731" t="s">
        <v>74</v>
      </c>
      <c r="T731" t="s">
        <v>14583</v>
      </c>
      <c r="U731" t="s">
        <v>14584</v>
      </c>
      <c r="V731" t="s">
        <v>14585</v>
      </c>
      <c r="W731" t="s">
        <v>14586</v>
      </c>
      <c r="X731" t="s">
        <v>14587</v>
      </c>
      <c r="Y731" t="s">
        <v>14588</v>
      </c>
      <c r="Z731" t="s">
        <v>14589</v>
      </c>
      <c r="AA731" t="s">
        <v>14590</v>
      </c>
      <c r="AB731" t="s">
        <v>14591</v>
      </c>
      <c r="AC731" t="s">
        <v>14592</v>
      </c>
      <c r="AD731" t="s">
        <v>14593</v>
      </c>
      <c r="AE731" t="s">
        <v>14594</v>
      </c>
      <c r="AF731" t="s">
        <v>74</v>
      </c>
      <c r="AG731">
        <v>97</v>
      </c>
      <c r="AH731">
        <v>34</v>
      </c>
      <c r="AI731">
        <v>35</v>
      </c>
      <c r="AJ731">
        <v>26</v>
      </c>
      <c r="AK731">
        <v>191</v>
      </c>
      <c r="AL731" t="s">
        <v>219</v>
      </c>
      <c r="AM731" t="s">
        <v>220</v>
      </c>
      <c r="AN731" t="s">
        <v>221</v>
      </c>
      <c r="AO731" t="s">
        <v>14595</v>
      </c>
      <c r="AP731" t="s">
        <v>14596</v>
      </c>
      <c r="AQ731" t="s">
        <v>74</v>
      </c>
      <c r="AR731" t="s">
        <v>14597</v>
      </c>
      <c r="AS731" t="s">
        <v>14598</v>
      </c>
      <c r="AT731" t="s">
        <v>226</v>
      </c>
      <c r="AU731">
        <v>2021</v>
      </c>
      <c r="AV731">
        <v>30</v>
      </c>
      <c r="AW731">
        <v>13</v>
      </c>
      <c r="AX731" t="s">
        <v>74</v>
      </c>
      <c r="AY731" t="s">
        <v>74</v>
      </c>
      <c r="AZ731" t="s">
        <v>489</v>
      </c>
      <c r="BA731" t="s">
        <v>74</v>
      </c>
      <c r="BB731">
        <v>3140</v>
      </c>
      <c r="BC731">
        <v>3157</v>
      </c>
      <c r="BD731" t="s">
        <v>74</v>
      </c>
      <c r="BE731" t="s">
        <v>14599</v>
      </c>
      <c r="BF731" t="str">
        <f>HYPERLINK("http://dx.doi.org/10.1111/mec.15587","http://dx.doi.org/10.1111/mec.15587")</f>
        <v>http://dx.doi.org/10.1111/mec.15587</v>
      </c>
      <c r="BG731" t="s">
        <v>74</v>
      </c>
      <c r="BH731" t="s">
        <v>9526</v>
      </c>
      <c r="BI731">
        <v>18</v>
      </c>
      <c r="BJ731" t="s">
        <v>2599</v>
      </c>
      <c r="BK731" t="s">
        <v>100</v>
      </c>
      <c r="BL731" t="s">
        <v>2600</v>
      </c>
      <c r="BM731" t="s">
        <v>14600</v>
      </c>
      <c r="BN731">
        <v>32767849</v>
      </c>
      <c r="BO731" t="s">
        <v>376</v>
      </c>
      <c r="BP731" t="s">
        <v>74</v>
      </c>
      <c r="BQ731" t="s">
        <v>74</v>
      </c>
      <c r="BR731" t="s">
        <v>104</v>
      </c>
      <c r="BS731" t="s">
        <v>14601</v>
      </c>
      <c r="BT731" t="str">
        <f>HYPERLINK("https%3A%2F%2Fwww.webofscience.com%2Fwos%2Fwoscc%2Ffull-record%2FWOS:000564348700001","View Full Record in Web of Science")</f>
        <v>View Full Record in Web of Science</v>
      </c>
    </row>
    <row r="732" spans="1:72" x14ac:dyDescent="0.15">
      <c r="A732" t="s">
        <v>72</v>
      </c>
      <c r="B732" t="s">
        <v>14602</v>
      </c>
      <c r="C732" t="s">
        <v>74</v>
      </c>
      <c r="D732" t="s">
        <v>74</v>
      </c>
      <c r="E732" t="s">
        <v>74</v>
      </c>
      <c r="F732" t="s">
        <v>14603</v>
      </c>
      <c r="G732" t="s">
        <v>74</v>
      </c>
      <c r="H732" t="s">
        <v>74</v>
      </c>
      <c r="I732" t="s">
        <v>14604</v>
      </c>
      <c r="J732" t="s">
        <v>14605</v>
      </c>
      <c r="K732" t="s">
        <v>74</v>
      </c>
      <c r="L732" t="s">
        <v>74</v>
      </c>
      <c r="M732" t="s">
        <v>78</v>
      </c>
      <c r="N732" t="s">
        <v>79</v>
      </c>
      <c r="O732" t="s">
        <v>74</v>
      </c>
      <c r="P732" t="s">
        <v>74</v>
      </c>
      <c r="Q732" t="s">
        <v>74</v>
      </c>
      <c r="R732" t="s">
        <v>74</v>
      </c>
      <c r="S732" t="s">
        <v>74</v>
      </c>
      <c r="T732" t="s">
        <v>74</v>
      </c>
      <c r="U732" t="s">
        <v>14606</v>
      </c>
      <c r="V732" t="s">
        <v>14607</v>
      </c>
      <c r="W732" t="s">
        <v>14608</v>
      </c>
      <c r="X732" t="s">
        <v>14609</v>
      </c>
      <c r="Y732" t="s">
        <v>14610</v>
      </c>
      <c r="Z732" t="s">
        <v>14611</v>
      </c>
      <c r="AA732" t="s">
        <v>14612</v>
      </c>
      <c r="AB732" t="s">
        <v>14613</v>
      </c>
      <c r="AC732" t="s">
        <v>14614</v>
      </c>
      <c r="AD732" t="s">
        <v>14615</v>
      </c>
      <c r="AE732" t="s">
        <v>14616</v>
      </c>
      <c r="AF732" t="s">
        <v>74</v>
      </c>
      <c r="AG732">
        <v>129</v>
      </c>
      <c r="AH732">
        <v>169</v>
      </c>
      <c r="AI732">
        <v>180</v>
      </c>
      <c r="AJ732">
        <v>28</v>
      </c>
      <c r="AK732">
        <v>127</v>
      </c>
      <c r="AL732" t="s">
        <v>766</v>
      </c>
      <c r="AM732" t="s">
        <v>123</v>
      </c>
      <c r="AN732" t="s">
        <v>767</v>
      </c>
      <c r="AO732" t="s">
        <v>74</v>
      </c>
      <c r="AP732" t="s">
        <v>14617</v>
      </c>
      <c r="AQ732" t="s">
        <v>74</v>
      </c>
      <c r="AR732" t="s">
        <v>14618</v>
      </c>
      <c r="AS732" t="s">
        <v>14619</v>
      </c>
      <c r="AT732" t="s">
        <v>11892</v>
      </c>
      <c r="AU732">
        <v>2020</v>
      </c>
      <c r="AV732">
        <v>1</v>
      </c>
      <c r="AW732">
        <v>9</v>
      </c>
      <c r="AX732" t="s">
        <v>74</v>
      </c>
      <c r="AY732" t="s">
        <v>74</v>
      </c>
      <c r="AZ732" t="s">
        <v>74</v>
      </c>
      <c r="BA732" t="s">
        <v>74</v>
      </c>
      <c r="BB732">
        <v>482</v>
      </c>
      <c r="BC732">
        <v>493</v>
      </c>
      <c r="BD732" t="s">
        <v>74</v>
      </c>
      <c r="BE732" t="s">
        <v>14620</v>
      </c>
      <c r="BF732" t="str">
        <f>HYPERLINK("http://dx.doi.org/10.1038/s43017-020-0068-4","http://dx.doi.org/10.1038/s43017-020-0068-4")</f>
        <v>http://dx.doi.org/10.1038/s43017-020-0068-4</v>
      </c>
      <c r="BG732" t="s">
        <v>74</v>
      </c>
      <c r="BH732" t="s">
        <v>74</v>
      </c>
      <c r="BI732">
        <v>12</v>
      </c>
      <c r="BJ732" t="s">
        <v>13632</v>
      </c>
      <c r="BK732" t="s">
        <v>100</v>
      </c>
      <c r="BL732" t="s">
        <v>5620</v>
      </c>
      <c r="BM732" t="s">
        <v>14621</v>
      </c>
      <c r="BN732" t="s">
        <v>74</v>
      </c>
      <c r="BO732" t="s">
        <v>8834</v>
      </c>
      <c r="BP732" t="s">
        <v>417</v>
      </c>
      <c r="BQ732" t="s">
        <v>418</v>
      </c>
      <c r="BR732" t="s">
        <v>104</v>
      </c>
      <c r="BS732" t="s">
        <v>14622</v>
      </c>
      <c r="BT732" t="str">
        <f>HYPERLINK("https%3A%2F%2Fwww.webofscience.com%2Fwos%2Fwoscc%2Ffull-record%2FWOS:000649448400009","View Full Record in Web of Science")</f>
        <v>View Full Record in Web of Science</v>
      </c>
    </row>
    <row r="733" spans="1:72" x14ac:dyDescent="0.15">
      <c r="A733" t="s">
        <v>72</v>
      </c>
      <c r="B733" t="s">
        <v>14623</v>
      </c>
      <c r="C733" t="s">
        <v>74</v>
      </c>
      <c r="D733" t="s">
        <v>74</v>
      </c>
      <c r="E733" t="s">
        <v>74</v>
      </c>
      <c r="F733" t="s">
        <v>14624</v>
      </c>
      <c r="G733" t="s">
        <v>74</v>
      </c>
      <c r="H733" t="s">
        <v>74</v>
      </c>
      <c r="I733" t="s">
        <v>14625</v>
      </c>
      <c r="J733" t="s">
        <v>14626</v>
      </c>
      <c r="K733" t="s">
        <v>74</v>
      </c>
      <c r="L733" t="s">
        <v>74</v>
      </c>
      <c r="M733" t="s">
        <v>78</v>
      </c>
      <c r="N733" t="s">
        <v>79</v>
      </c>
      <c r="O733" t="s">
        <v>74</v>
      </c>
      <c r="P733" t="s">
        <v>74</v>
      </c>
      <c r="Q733" t="s">
        <v>74</v>
      </c>
      <c r="R733" t="s">
        <v>74</v>
      </c>
      <c r="S733" t="s">
        <v>74</v>
      </c>
      <c r="T733" t="s">
        <v>74</v>
      </c>
      <c r="U733" t="s">
        <v>14627</v>
      </c>
      <c r="V733" t="s">
        <v>14628</v>
      </c>
      <c r="W733" t="s">
        <v>14629</v>
      </c>
      <c r="X733" t="s">
        <v>14630</v>
      </c>
      <c r="Y733" t="s">
        <v>14631</v>
      </c>
      <c r="Z733" t="s">
        <v>14632</v>
      </c>
      <c r="AA733" t="s">
        <v>14633</v>
      </c>
      <c r="AB733" t="s">
        <v>14634</v>
      </c>
      <c r="AC733" t="s">
        <v>14635</v>
      </c>
      <c r="AD733" t="s">
        <v>14636</v>
      </c>
      <c r="AE733" t="s">
        <v>14637</v>
      </c>
      <c r="AF733" t="s">
        <v>74</v>
      </c>
      <c r="AG733">
        <v>74</v>
      </c>
      <c r="AH733">
        <v>0</v>
      </c>
      <c r="AI733">
        <v>0</v>
      </c>
      <c r="AJ733">
        <v>0</v>
      </c>
      <c r="AK733">
        <v>0</v>
      </c>
      <c r="AL733" t="s">
        <v>14638</v>
      </c>
      <c r="AM733" t="s">
        <v>2725</v>
      </c>
      <c r="AN733" t="s">
        <v>2726</v>
      </c>
      <c r="AO733" t="s">
        <v>74</v>
      </c>
      <c r="AP733" t="s">
        <v>14639</v>
      </c>
      <c r="AQ733" t="s">
        <v>74</v>
      </c>
      <c r="AR733" t="s">
        <v>14640</v>
      </c>
      <c r="AS733" t="s">
        <v>14641</v>
      </c>
      <c r="AT733" t="s">
        <v>12502</v>
      </c>
      <c r="AU733">
        <v>2020</v>
      </c>
      <c r="AV733">
        <v>1</v>
      </c>
      <c r="AW733">
        <v>2</v>
      </c>
      <c r="AX733" t="s">
        <v>74</v>
      </c>
      <c r="AY733" t="s">
        <v>74</v>
      </c>
      <c r="AZ733" t="s">
        <v>74</v>
      </c>
      <c r="BA733" t="s">
        <v>74</v>
      </c>
      <c r="BB733" t="s">
        <v>74</v>
      </c>
      <c r="BC733" t="s">
        <v>74</v>
      </c>
      <c r="BD733">
        <v>34</v>
      </c>
      <c r="BE733" t="s">
        <v>14642</v>
      </c>
      <c r="BF733" t="str">
        <f>HYPERLINK("http://dx.doi.org/10.3847/PSJ/aba3c5","http://dx.doi.org/10.3847/PSJ/aba3c5")</f>
        <v>http://dx.doi.org/10.3847/PSJ/aba3c5</v>
      </c>
      <c r="BG733" t="s">
        <v>74</v>
      </c>
      <c r="BH733" t="s">
        <v>74</v>
      </c>
      <c r="BI733">
        <v>11</v>
      </c>
      <c r="BJ733" t="s">
        <v>1849</v>
      </c>
      <c r="BK733" t="s">
        <v>1214</v>
      </c>
      <c r="BL733" t="s">
        <v>1849</v>
      </c>
      <c r="BM733" t="s">
        <v>14643</v>
      </c>
      <c r="BN733" t="s">
        <v>74</v>
      </c>
      <c r="BO733" t="s">
        <v>202</v>
      </c>
      <c r="BP733" t="s">
        <v>74</v>
      </c>
      <c r="BQ733" t="s">
        <v>74</v>
      </c>
      <c r="BR733" t="s">
        <v>104</v>
      </c>
      <c r="BS733" t="s">
        <v>14644</v>
      </c>
      <c r="BT733" t="str">
        <f>HYPERLINK("https%3A%2F%2Fwww.webofscience.com%2Fwos%2Fwoscc%2Ffull-record%2FWOS:000913017400001","View Full Record in Web of Science")</f>
        <v>View Full Record in Web of Science</v>
      </c>
    </row>
    <row r="734" spans="1:72" x14ac:dyDescent="0.15">
      <c r="A734" t="s">
        <v>72</v>
      </c>
      <c r="B734" t="s">
        <v>14645</v>
      </c>
      <c r="C734" t="s">
        <v>74</v>
      </c>
      <c r="D734" t="s">
        <v>74</v>
      </c>
      <c r="E734" t="s">
        <v>74</v>
      </c>
      <c r="F734" t="s">
        <v>14646</v>
      </c>
      <c r="G734" t="s">
        <v>74</v>
      </c>
      <c r="H734" t="s">
        <v>74</v>
      </c>
      <c r="I734" t="s">
        <v>14647</v>
      </c>
      <c r="J734" t="s">
        <v>14648</v>
      </c>
      <c r="K734" t="s">
        <v>74</v>
      </c>
      <c r="L734" t="s">
        <v>74</v>
      </c>
      <c r="M734" t="s">
        <v>78</v>
      </c>
      <c r="N734" t="s">
        <v>79</v>
      </c>
      <c r="O734" t="s">
        <v>74</v>
      </c>
      <c r="P734" t="s">
        <v>74</v>
      </c>
      <c r="Q734" t="s">
        <v>74</v>
      </c>
      <c r="R734" t="s">
        <v>74</v>
      </c>
      <c r="S734" t="s">
        <v>74</v>
      </c>
      <c r="T734" t="s">
        <v>14649</v>
      </c>
      <c r="U734" t="s">
        <v>14650</v>
      </c>
      <c r="V734" t="s">
        <v>14651</v>
      </c>
      <c r="W734" t="s">
        <v>14652</v>
      </c>
      <c r="X734" t="s">
        <v>14653</v>
      </c>
      <c r="Y734" t="s">
        <v>14654</v>
      </c>
      <c r="Z734" t="s">
        <v>14655</v>
      </c>
      <c r="AA734" t="s">
        <v>14656</v>
      </c>
      <c r="AB734" t="s">
        <v>74</v>
      </c>
      <c r="AC734" t="s">
        <v>14657</v>
      </c>
      <c r="AD734" t="s">
        <v>14658</v>
      </c>
      <c r="AE734" t="s">
        <v>14659</v>
      </c>
      <c r="AF734" t="s">
        <v>74</v>
      </c>
      <c r="AG734">
        <v>61</v>
      </c>
      <c r="AH734">
        <v>16</v>
      </c>
      <c r="AI734">
        <v>19</v>
      </c>
      <c r="AJ734">
        <v>3</v>
      </c>
      <c r="AK734">
        <v>24</v>
      </c>
      <c r="AL734" t="s">
        <v>219</v>
      </c>
      <c r="AM734" t="s">
        <v>220</v>
      </c>
      <c r="AN734" t="s">
        <v>6220</v>
      </c>
      <c r="AO734" t="s">
        <v>74</v>
      </c>
      <c r="AP734" t="s">
        <v>14660</v>
      </c>
      <c r="AQ734" t="s">
        <v>74</v>
      </c>
      <c r="AR734" t="s">
        <v>14661</v>
      </c>
      <c r="AS734" t="s">
        <v>14662</v>
      </c>
      <c r="AT734" t="s">
        <v>11892</v>
      </c>
      <c r="AU734">
        <v>2020</v>
      </c>
      <c r="AV734">
        <v>6</v>
      </c>
      <c r="AW734">
        <v>3</v>
      </c>
      <c r="AX734" t="s">
        <v>74</v>
      </c>
      <c r="AY734" t="s">
        <v>74</v>
      </c>
      <c r="AZ734" t="s">
        <v>489</v>
      </c>
      <c r="BA734" t="s">
        <v>74</v>
      </c>
      <c r="BB734">
        <v>262</v>
      </c>
      <c r="BC734">
        <v>273</v>
      </c>
      <c r="BD734" t="s">
        <v>74</v>
      </c>
      <c r="BE734" t="s">
        <v>14663</v>
      </c>
      <c r="BF734" t="str">
        <f>HYPERLINK("http://dx.doi.org/10.1002/rse2.129","http://dx.doi.org/10.1002/rse2.129")</f>
        <v>http://dx.doi.org/10.1002/rse2.129</v>
      </c>
      <c r="BG734" t="s">
        <v>74</v>
      </c>
      <c r="BH734" t="s">
        <v>74</v>
      </c>
      <c r="BI734">
        <v>12</v>
      </c>
      <c r="BJ734" t="s">
        <v>14664</v>
      </c>
      <c r="BK734" t="s">
        <v>100</v>
      </c>
      <c r="BL734" t="s">
        <v>10253</v>
      </c>
      <c r="BM734" t="s">
        <v>14665</v>
      </c>
      <c r="BN734" t="s">
        <v>74</v>
      </c>
      <c r="BO734" t="s">
        <v>332</v>
      </c>
      <c r="BP734" t="s">
        <v>74</v>
      </c>
      <c r="BQ734" t="s">
        <v>74</v>
      </c>
      <c r="BR734" t="s">
        <v>104</v>
      </c>
      <c r="BS734" t="s">
        <v>14666</v>
      </c>
      <c r="BT734" t="str">
        <f>HYPERLINK("https%3A%2F%2Fwww.webofscience.com%2Fwos%2Fwoscc%2Ffull-record%2FWOS:000571345100005","View Full Record in Web of Science")</f>
        <v>View Full Record in Web of Science</v>
      </c>
    </row>
    <row r="735" spans="1:72" x14ac:dyDescent="0.15">
      <c r="A735" t="s">
        <v>72</v>
      </c>
      <c r="B735" t="s">
        <v>14667</v>
      </c>
      <c r="C735" t="s">
        <v>74</v>
      </c>
      <c r="D735" t="s">
        <v>74</v>
      </c>
      <c r="E735" t="s">
        <v>74</v>
      </c>
      <c r="F735" t="s">
        <v>14668</v>
      </c>
      <c r="G735" t="s">
        <v>74</v>
      </c>
      <c r="H735" t="s">
        <v>74</v>
      </c>
      <c r="I735" t="s">
        <v>14669</v>
      </c>
      <c r="J735" t="s">
        <v>14670</v>
      </c>
      <c r="K735" t="s">
        <v>74</v>
      </c>
      <c r="L735" t="s">
        <v>74</v>
      </c>
      <c r="M735" t="s">
        <v>78</v>
      </c>
      <c r="N735" t="s">
        <v>79</v>
      </c>
      <c r="O735" t="s">
        <v>74</v>
      </c>
      <c r="P735" t="s">
        <v>74</v>
      </c>
      <c r="Q735" t="s">
        <v>74</v>
      </c>
      <c r="R735" t="s">
        <v>74</v>
      </c>
      <c r="S735" t="s">
        <v>74</v>
      </c>
      <c r="T735" t="s">
        <v>14671</v>
      </c>
      <c r="U735" t="s">
        <v>14672</v>
      </c>
      <c r="V735" t="s">
        <v>14673</v>
      </c>
      <c r="W735" t="s">
        <v>14674</v>
      </c>
      <c r="X735" t="s">
        <v>14675</v>
      </c>
      <c r="Y735" t="s">
        <v>14676</v>
      </c>
      <c r="Z735" t="s">
        <v>14677</v>
      </c>
      <c r="AA735" t="s">
        <v>14678</v>
      </c>
      <c r="AB735" t="s">
        <v>14679</v>
      </c>
      <c r="AC735" t="s">
        <v>14680</v>
      </c>
      <c r="AD735" t="s">
        <v>14681</v>
      </c>
      <c r="AE735" t="s">
        <v>14682</v>
      </c>
      <c r="AF735" t="s">
        <v>74</v>
      </c>
      <c r="AG735">
        <v>99</v>
      </c>
      <c r="AH735">
        <v>3</v>
      </c>
      <c r="AI735">
        <v>3</v>
      </c>
      <c r="AJ735">
        <v>0</v>
      </c>
      <c r="AK735">
        <v>1</v>
      </c>
      <c r="AL735" t="s">
        <v>14683</v>
      </c>
      <c r="AM735" t="s">
        <v>14684</v>
      </c>
      <c r="AN735" t="s">
        <v>14685</v>
      </c>
      <c r="AO735" t="s">
        <v>14686</v>
      </c>
      <c r="AP735" t="s">
        <v>74</v>
      </c>
      <c r="AQ735" t="s">
        <v>74</v>
      </c>
      <c r="AR735" t="s">
        <v>14687</v>
      </c>
      <c r="AS735" t="s">
        <v>14688</v>
      </c>
      <c r="AT735" t="s">
        <v>11892</v>
      </c>
      <c r="AU735">
        <v>2020</v>
      </c>
      <c r="AV735">
        <v>11</v>
      </c>
      <c r="AW735">
        <v>5</v>
      </c>
      <c r="AX735" t="s">
        <v>74</v>
      </c>
      <c r="AY735" t="s">
        <v>74</v>
      </c>
      <c r="AZ735" t="s">
        <v>74</v>
      </c>
      <c r="BA735" t="s">
        <v>74</v>
      </c>
      <c r="BB735">
        <v>1841</v>
      </c>
      <c r="BC735">
        <v>1858</v>
      </c>
      <c r="BD735" t="s">
        <v>74</v>
      </c>
      <c r="BE735" t="s">
        <v>14689</v>
      </c>
      <c r="BF735" t="str">
        <f>HYPERLINK("http://dx.doi.org/10.1016/j.gsf.2020.01.018","http://dx.doi.org/10.1016/j.gsf.2020.01.018")</f>
        <v>http://dx.doi.org/10.1016/j.gsf.2020.01.018</v>
      </c>
      <c r="BG735" t="s">
        <v>74</v>
      </c>
      <c r="BH735" t="s">
        <v>74</v>
      </c>
      <c r="BI735">
        <v>18</v>
      </c>
      <c r="BJ735" t="s">
        <v>534</v>
      </c>
      <c r="BK735" t="s">
        <v>100</v>
      </c>
      <c r="BL735" t="s">
        <v>535</v>
      </c>
      <c r="BM735" t="s">
        <v>14690</v>
      </c>
      <c r="BN735" t="s">
        <v>74</v>
      </c>
      <c r="BO735" t="s">
        <v>2113</v>
      </c>
      <c r="BP735" t="s">
        <v>74</v>
      </c>
      <c r="BQ735" t="s">
        <v>74</v>
      </c>
      <c r="BR735" t="s">
        <v>104</v>
      </c>
      <c r="BS735" t="s">
        <v>14691</v>
      </c>
      <c r="BT735" t="str">
        <f>HYPERLINK("https%3A%2F%2Fwww.webofscience.com%2Fwos%2Fwoscc%2Ffull-record%2FWOS:000559821700025","View Full Record in Web of Science")</f>
        <v>View Full Record in Web of Science</v>
      </c>
    </row>
    <row r="736" spans="1:72" x14ac:dyDescent="0.15">
      <c r="A736" t="s">
        <v>72</v>
      </c>
      <c r="B736" t="s">
        <v>14692</v>
      </c>
      <c r="C736" t="s">
        <v>74</v>
      </c>
      <c r="D736" t="s">
        <v>74</v>
      </c>
      <c r="E736" t="s">
        <v>74</v>
      </c>
      <c r="F736" t="s">
        <v>14693</v>
      </c>
      <c r="G736" t="s">
        <v>74</v>
      </c>
      <c r="H736" t="s">
        <v>74</v>
      </c>
      <c r="I736" t="s">
        <v>14694</v>
      </c>
      <c r="J736" t="s">
        <v>14695</v>
      </c>
      <c r="K736" t="s">
        <v>74</v>
      </c>
      <c r="L736" t="s">
        <v>74</v>
      </c>
      <c r="M736" t="s">
        <v>78</v>
      </c>
      <c r="N736" t="s">
        <v>79</v>
      </c>
      <c r="O736" t="s">
        <v>74</v>
      </c>
      <c r="P736" t="s">
        <v>74</v>
      </c>
      <c r="Q736" t="s">
        <v>74</v>
      </c>
      <c r="R736" t="s">
        <v>74</v>
      </c>
      <c r="S736" t="s">
        <v>74</v>
      </c>
      <c r="T736" t="s">
        <v>14696</v>
      </c>
      <c r="U736" t="s">
        <v>14697</v>
      </c>
      <c r="V736" t="s">
        <v>14698</v>
      </c>
      <c r="W736" t="s">
        <v>14699</v>
      </c>
      <c r="X736" t="s">
        <v>14700</v>
      </c>
      <c r="Y736" t="s">
        <v>14701</v>
      </c>
      <c r="Z736" t="s">
        <v>14702</v>
      </c>
      <c r="AA736" t="s">
        <v>14703</v>
      </c>
      <c r="AB736" t="s">
        <v>14704</v>
      </c>
      <c r="AC736" t="s">
        <v>14705</v>
      </c>
      <c r="AD736" t="s">
        <v>14706</v>
      </c>
      <c r="AE736" t="s">
        <v>14707</v>
      </c>
      <c r="AF736" t="s">
        <v>74</v>
      </c>
      <c r="AG736">
        <v>86</v>
      </c>
      <c r="AH736">
        <v>23</v>
      </c>
      <c r="AI736">
        <v>25</v>
      </c>
      <c r="AJ736">
        <v>3</v>
      </c>
      <c r="AK736">
        <v>39</v>
      </c>
      <c r="AL736" t="s">
        <v>275</v>
      </c>
      <c r="AM736" t="s">
        <v>276</v>
      </c>
      <c r="AN736" t="s">
        <v>277</v>
      </c>
      <c r="AO736" t="s">
        <v>14708</v>
      </c>
      <c r="AP736" t="s">
        <v>74</v>
      </c>
      <c r="AQ736" t="s">
        <v>74</v>
      </c>
      <c r="AR736" t="s">
        <v>14709</v>
      </c>
      <c r="AS736" t="s">
        <v>14710</v>
      </c>
      <c r="AT736" t="s">
        <v>11892</v>
      </c>
      <c r="AU736">
        <v>2020</v>
      </c>
      <c r="AV736">
        <v>50</v>
      </c>
      <c r="AW736" t="s">
        <v>74</v>
      </c>
      <c r="AX736" t="s">
        <v>74</v>
      </c>
      <c r="AY736" t="s">
        <v>74</v>
      </c>
      <c r="AZ736" t="s">
        <v>74</v>
      </c>
      <c r="BA736" t="s">
        <v>74</v>
      </c>
      <c r="BB736" t="s">
        <v>74</v>
      </c>
      <c r="BC736" t="s">
        <v>74</v>
      </c>
      <c r="BD736">
        <v>101984</v>
      </c>
      <c r="BE736" t="s">
        <v>14711</v>
      </c>
      <c r="BF736" t="str">
        <f>HYPERLINK("http://dx.doi.org/10.1016/j.algal.2020.101984","http://dx.doi.org/10.1016/j.algal.2020.101984")</f>
        <v>http://dx.doi.org/10.1016/j.algal.2020.101984</v>
      </c>
      <c r="BG736" t="s">
        <v>74</v>
      </c>
      <c r="BH736" t="s">
        <v>74</v>
      </c>
      <c r="BI736">
        <v>13</v>
      </c>
      <c r="BJ736" t="s">
        <v>2484</v>
      </c>
      <c r="BK736" t="s">
        <v>100</v>
      </c>
      <c r="BL736" t="s">
        <v>2484</v>
      </c>
      <c r="BM736" t="s">
        <v>14712</v>
      </c>
      <c r="BN736" t="s">
        <v>74</v>
      </c>
      <c r="BO736" t="s">
        <v>74</v>
      </c>
      <c r="BP736" t="s">
        <v>74</v>
      </c>
      <c r="BQ736" t="s">
        <v>74</v>
      </c>
      <c r="BR736" t="s">
        <v>104</v>
      </c>
      <c r="BS736" t="s">
        <v>14713</v>
      </c>
      <c r="BT736" t="str">
        <f>HYPERLINK("https%3A%2F%2Fwww.webofscience.com%2Fwos%2Fwoscc%2Ffull-record%2FWOS:000558685000006","View Full Record in Web of Science")</f>
        <v>View Full Record in Web of Science</v>
      </c>
    </row>
    <row r="737" spans="1:72" x14ac:dyDescent="0.15">
      <c r="A737" t="s">
        <v>72</v>
      </c>
      <c r="B737" t="s">
        <v>14714</v>
      </c>
      <c r="C737" t="s">
        <v>74</v>
      </c>
      <c r="D737" t="s">
        <v>74</v>
      </c>
      <c r="E737" t="s">
        <v>74</v>
      </c>
      <c r="F737" t="s">
        <v>14715</v>
      </c>
      <c r="G737" t="s">
        <v>74</v>
      </c>
      <c r="H737" t="s">
        <v>74</v>
      </c>
      <c r="I737" t="s">
        <v>14716</v>
      </c>
      <c r="J737" t="s">
        <v>14717</v>
      </c>
      <c r="K737" t="s">
        <v>74</v>
      </c>
      <c r="L737" t="s">
        <v>74</v>
      </c>
      <c r="M737" t="s">
        <v>78</v>
      </c>
      <c r="N737" t="s">
        <v>79</v>
      </c>
      <c r="O737" t="s">
        <v>74</v>
      </c>
      <c r="P737" t="s">
        <v>74</v>
      </c>
      <c r="Q737" t="s">
        <v>74</v>
      </c>
      <c r="R737" t="s">
        <v>74</v>
      </c>
      <c r="S737" t="s">
        <v>74</v>
      </c>
      <c r="T737" t="s">
        <v>14718</v>
      </c>
      <c r="U737" t="s">
        <v>14719</v>
      </c>
      <c r="V737" t="s">
        <v>14720</v>
      </c>
      <c r="W737" t="s">
        <v>14721</v>
      </c>
      <c r="X737" t="s">
        <v>14722</v>
      </c>
      <c r="Y737" t="s">
        <v>14723</v>
      </c>
      <c r="Z737" t="s">
        <v>14724</v>
      </c>
      <c r="AA737" t="s">
        <v>14725</v>
      </c>
      <c r="AB737" t="s">
        <v>14726</v>
      </c>
      <c r="AC737" t="s">
        <v>14727</v>
      </c>
      <c r="AD737" t="s">
        <v>14728</v>
      </c>
      <c r="AE737" t="s">
        <v>14729</v>
      </c>
      <c r="AF737" t="s">
        <v>74</v>
      </c>
      <c r="AG737">
        <v>47</v>
      </c>
      <c r="AH737">
        <v>31</v>
      </c>
      <c r="AI737">
        <v>34</v>
      </c>
      <c r="AJ737">
        <v>6</v>
      </c>
      <c r="AK737">
        <v>73</v>
      </c>
      <c r="AL737" t="s">
        <v>14730</v>
      </c>
      <c r="AM737" t="s">
        <v>14731</v>
      </c>
      <c r="AN737" t="s">
        <v>14732</v>
      </c>
      <c r="AO737" t="s">
        <v>14733</v>
      </c>
      <c r="AP737" t="s">
        <v>14734</v>
      </c>
      <c r="AQ737" t="s">
        <v>74</v>
      </c>
      <c r="AR737" t="s">
        <v>14735</v>
      </c>
      <c r="AS737" t="s">
        <v>14736</v>
      </c>
      <c r="AT737" t="s">
        <v>11892</v>
      </c>
      <c r="AU737">
        <v>2020</v>
      </c>
      <c r="AV737">
        <v>298</v>
      </c>
      <c r="AW737" t="s">
        <v>74</v>
      </c>
      <c r="AX737" t="s">
        <v>74</v>
      </c>
      <c r="AY737" t="s">
        <v>74</v>
      </c>
      <c r="AZ737" t="s">
        <v>74</v>
      </c>
      <c r="BA737" t="s">
        <v>74</v>
      </c>
      <c r="BB737" t="s">
        <v>74</v>
      </c>
      <c r="BC737" t="s">
        <v>74</v>
      </c>
      <c r="BD737">
        <v>110591</v>
      </c>
      <c r="BE737" t="s">
        <v>14737</v>
      </c>
      <c r="BF737" t="str">
        <f>HYPERLINK("http://dx.doi.org/10.1016/j.plantsci.2020.110591","http://dx.doi.org/10.1016/j.plantsci.2020.110591")</f>
        <v>http://dx.doi.org/10.1016/j.plantsci.2020.110591</v>
      </c>
      <c r="BG737" t="s">
        <v>74</v>
      </c>
      <c r="BH737" t="s">
        <v>74</v>
      </c>
      <c r="BI737">
        <v>12</v>
      </c>
      <c r="BJ737" t="s">
        <v>14738</v>
      </c>
      <c r="BK737" t="s">
        <v>100</v>
      </c>
      <c r="BL737" t="s">
        <v>14738</v>
      </c>
      <c r="BM737" t="s">
        <v>14739</v>
      </c>
      <c r="BN737">
        <v>32771149</v>
      </c>
      <c r="BO737" t="s">
        <v>74</v>
      </c>
      <c r="BP737" t="s">
        <v>74</v>
      </c>
      <c r="BQ737" t="s">
        <v>74</v>
      </c>
      <c r="BR737" t="s">
        <v>104</v>
      </c>
      <c r="BS737" t="s">
        <v>14740</v>
      </c>
      <c r="BT737" t="str">
        <f>HYPERLINK("https%3A%2F%2Fwww.webofscience.com%2Fwos%2Fwoscc%2Ffull-record%2FWOS:000557874400034","View Full Record in Web of Science")</f>
        <v>View Full Record in Web of Science</v>
      </c>
    </row>
    <row r="738" spans="1:72" x14ac:dyDescent="0.15">
      <c r="A738" t="s">
        <v>72</v>
      </c>
      <c r="B738" t="s">
        <v>14741</v>
      </c>
      <c r="C738" t="s">
        <v>74</v>
      </c>
      <c r="D738" t="s">
        <v>74</v>
      </c>
      <c r="E738" t="s">
        <v>74</v>
      </c>
      <c r="F738" t="s">
        <v>14742</v>
      </c>
      <c r="G738" t="s">
        <v>74</v>
      </c>
      <c r="H738" t="s">
        <v>74</v>
      </c>
      <c r="I738" t="s">
        <v>14743</v>
      </c>
      <c r="J738" t="s">
        <v>2491</v>
      </c>
      <c r="K738" t="s">
        <v>74</v>
      </c>
      <c r="L738" t="s">
        <v>74</v>
      </c>
      <c r="M738" t="s">
        <v>78</v>
      </c>
      <c r="N738" t="s">
        <v>79</v>
      </c>
      <c r="O738" t="s">
        <v>74</v>
      </c>
      <c r="P738" t="s">
        <v>74</v>
      </c>
      <c r="Q738" t="s">
        <v>74</v>
      </c>
      <c r="R738" t="s">
        <v>74</v>
      </c>
      <c r="S738" t="s">
        <v>74</v>
      </c>
      <c r="T738" t="s">
        <v>14744</v>
      </c>
      <c r="U738" t="s">
        <v>14745</v>
      </c>
      <c r="V738" t="s">
        <v>14746</v>
      </c>
      <c r="W738" t="s">
        <v>14747</v>
      </c>
      <c r="X738" t="s">
        <v>14748</v>
      </c>
      <c r="Y738" t="s">
        <v>14749</v>
      </c>
      <c r="Z738" t="s">
        <v>14750</v>
      </c>
      <c r="AA738" t="s">
        <v>14751</v>
      </c>
      <c r="AB738" t="s">
        <v>14752</v>
      </c>
      <c r="AC738" t="s">
        <v>14753</v>
      </c>
      <c r="AD738" t="s">
        <v>14754</v>
      </c>
      <c r="AE738" t="s">
        <v>14755</v>
      </c>
      <c r="AF738" t="s">
        <v>74</v>
      </c>
      <c r="AG738">
        <v>95</v>
      </c>
      <c r="AH738">
        <v>40</v>
      </c>
      <c r="AI738">
        <v>45</v>
      </c>
      <c r="AJ738">
        <v>13</v>
      </c>
      <c r="AK738">
        <v>115</v>
      </c>
      <c r="AL738" t="s">
        <v>1522</v>
      </c>
      <c r="AM738" t="s">
        <v>1407</v>
      </c>
      <c r="AN738" t="s">
        <v>1523</v>
      </c>
      <c r="AO738" t="s">
        <v>2501</v>
      </c>
      <c r="AP738" t="s">
        <v>2502</v>
      </c>
      <c r="AQ738" t="s">
        <v>74</v>
      </c>
      <c r="AR738" t="s">
        <v>2503</v>
      </c>
      <c r="AS738" t="s">
        <v>2504</v>
      </c>
      <c r="AT738" t="s">
        <v>11892</v>
      </c>
      <c r="AU738">
        <v>2020</v>
      </c>
      <c r="AV738">
        <v>158</v>
      </c>
      <c r="AW738" t="s">
        <v>74</v>
      </c>
      <c r="AX738" t="s">
        <v>74</v>
      </c>
      <c r="AY738" t="s">
        <v>74</v>
      </c>
      <c r="AZ738" t="s">
        <v>74</v>
      </c>
      <c r="BA738" t="s">
        <v>74</v>
      </c>
      <c r="BB738" t="s">
        <v>74</v>
      </c>
      <c r="BC738" t="s">
        <v>74</v>
      </c>
      <c r="BD738">
        <v>111349</v>
      </c>
      <c r="BE738" t="s">
        <v>14756</v>
      </c>
      <c r="BF738" t="str">
        <f>HYPERLINK("http://dx.doi.org/10.1016/j.marpolbul.2020.111349","http://dx.doi.org/10.1016/j.marpolbul.2020.111349")</f>
        <v>http://dx.doi.org/10.1016/j.marpolbul.2020.111349</v>
      </c>
      <c r="BG738" t="s">
        <v>74</v>
      </c>
      <c r="BH738" t="s">
        <v>74</v>
      </c>
      <c r="BI738">
        <v>11</v>
      </c>
      <c r="BJ738" t="s">
        <v>918</v>
      </c>
      <c r="BK738" t="s">
        <v>100</v>
      </c>
      <c r="BL738" t="s">
        <v>919</v>
      </c>
      <c r="BM738" t="s">
        <v>14757</v>
      </c>
      <c r="BN738">
        <v>32573451</v>
      </c>
      <c r="BO738" t="s">
        <v>701</v>
      </c>
      <c r="BP738" t="s">
        <v>74</v>
      </c>
      <c r="BQ738" t="s">
        <v>74</v>
      </c>
      <c r="BR738" t="s">
        <v>104</v>
      </c>
      <c r="BS738" t="s">
        <v>14758</v>
      </c>
      <c r="BT738" t="str">
        <f>HYPERLINK("https%3A%2F%2Fwww.webofscience.com%2Fwos%2Fwoscc%2Ffull-record%2FWOS:000555500000007","View Full Record in Web of Science")</f>
        <v>View Full Record in Web of Science</v>
      </c>
    </row>
    <row r="739" spans="1:72" x14ac:dyDescent="0.15">
      <c r="A739" t="s">
        <v>72</v>
      </c>
      <c r="B739" t="s">
        <v>14759</v>
      </c>
      <c r="C739" t="s">
        <v>74</v>
      </c>
      <c r="D739" t="s">
        <v>74</v>
      </c>
      <c r="E739" t="s">
        <v>74</v>
      </c>
      <c r="F739" t="s">
        <v>14760</v>
      </c>
      <c r="G739" t="s">
        <v>74</v>
      </c>
      <c r="H739" t="s">
        <v>74</v>
      </c>
      <c r="I739" t="s">
        <v>14761</v>
      </c>
      <c r="J739" t="s">
        <v>2491</v>
      </c>
      <c r="K739" t="s">
        <v>74</v>
      </c>
      <c r="L739" t="s">
        <v>74</v>
      </c>
      <c r="M739" t="s">
        <v>78</v>
      </c>
      <c r="N739" t="s">
        <v>79</v>
      </c>
      <c r="O739" t="s">
        <v>74</v>
      </c>
      <c r="P739" t="s">
        <v>74</v>
      </c>
      <c r="Q739" t="s">
        <v>74</v>
      </c>
      <c r="R739" t="s">
        <v>74</v>
      </c>
      <c r="S739" t="s">
        <v>74</v>
      </c>
      <c r="T739" t="s">
        <v>14762</v>
      </c>
      <c r="U739" t="s">
        <v>14763</v>
      </c>
      <c r="V739" t="s">
        <v>14764</v>
      </c>
      <c r="W739" t="s">
        <v>14765</v>
      </c>
      <c r="X739" t="s">
        <v>14766</v>
      </c>
      <c r="Y739" t="s">
        <v>14767</v>
      </c>
      <c r="Z739" t="s">
        <v>14768</v>
      </c>
      <c r="AA739" t="s">
        <v>14769</v>
      </c>
      <c r="AB739" t="s">
        <v>14770</v>
      </c>
      <c r="AC739" t="s">
        <v>14771</v>
      </c>
      <c r="AD739" t="s">
        <v>14772</v>
      </c>
      <c r="AE739" t="s">
        <v>14773</v>
      </c>
      <c r="AF739" t="s">
        <v>74</v>
      </c>
      <c r="AG739">
        <v>50</v>
      </c>
      <c r="AH739">
        <v>3</v>
      </c>
      <c r="AI739">
        <v>3</v>
      </c>
      <c r="AJ739">
        <v>0</v>
      </c>
      <c r="AK739">
        <v>10</v>
      </c>
      <c r="AL739" t="s">
        <v>1522</v>
      </c>
      <c r="AM739" t="s">
        <v>1407</v>
      </c>
      <c r="AN739" t="s">
        <v>1523</v>
      </c>
      <c r="AO739" t="s">
        <v>2501</v>
      </c>
      <c r="AP739" t="s">
        <v>2502</v>
      </c>
      <c r="AQ739" t="s">
        <v>74</v>
      </c>
      <c r="AR739" t="s">
        <v>2503</v>
      </c>
      <c r="AS739" t="s">
        <v>2504</v>
      </c>
      <c r="AT739" t="s">
        <v>11892</v>
      </c>
      <c r="AU739">
        <v>2020</v>
      </c>
      <c r="AV739">
        <v>158</v>
      </c>
      <c r="AW739" t="s">
        <v>74</v>
      </c>
      <c r="AX739" t="s">
        <v>74</v>
      </c>
      <c r="AY739" t="s">
        <v>74</v>
      </c>
      <c r="AZ739" t="s">
        <v>74</v>
      </c>
      <c r="BA739" t="s">
        <v>74</v>
      </c>
      <c r="BB739" t="s">
        <v>74</v>
      </c>
      <c r="BC739" t="s">
        <v>74</v>
      </c>
      <c r="BD739">
        <v>111447</v>
      </c>
      <c r="BE739" t="s">
        <v>14774</v>
      </c>
      <c r="BF739" t="str">
        <f>HYPERLINK("http://dx.doi.org/10.1016/j.marpolbul.2020.111447","http://dx.doi.org/10.1016/j.marpolbul.2020.111447")</f>
        <v>http://dx.doi.org/10.1016/j.marpolbul.2020.111447</v>
      </c>
      <c r="BG739" t="s">
        <v>74</v>
      </c>
      <c r="BH739" t="s">
        <v>74</v>
      </c>
      <c r="BI739">
        <v>6</v>
      </c>
      <c r="BJ739" t="s">
        <v>918</v>
      </c>
      <c r="BK739" t="s">
        <v>100</v>
      </c>
      <c r="BL739" t="s">
        <v>919</v>
      </c>
      <c r="BM739" t="s">
        <v>14757</v>
      </c>
      <c r="BN739">
        <v>32753223</v>
      </c>
      <c r="BO739" t="s">
        <v>701</v>
      </c>
      <c r="BP739" t="s">
        <v>74</v>
      </c>
      <c r="BQ739" t="s">
        <v>74</v>
      </c>
      <c r="BR739" t="s">
        <v>104</v>
      </c>
      <c r="BS739" t="s">
        <v>14775</v>
      </c>
      <c r="BT739" t="str">
        <f>HYPERLINK("https%3A%2F%2Fwww.webofscience.com%2Fwos%2Fwoscc%2Ffull-record%2FWOS:000555500000080","View Full Record in Web of Science")</f>
        <v>View Full Record in Web of Science</v>
      </c>
    </row>
    <row r="740" spans="1:72" x14ac:dyDescent="0.15">
      <c r="A740" t="s">
        <v>72</v>
      </c>
      <c r="B740" t="s">
        <v>14776</v>
      </c>
      <c r="C740" t="s">
        <v>74</v>
      </c>
      <c r="D740" t="s">
        <v>74</v>
      </c>
      <c r="E740" t="s">
        <v>74</v>
      </c>
      <c r="F740" t="s">
        <v>14777</v>
      </c>
      <c r="G740" t="s">
        <v>74</v>
      </c>
      <c r="H740" t="s">
        <v>74</v>
      </c>
      <c r="I740" t="s">
        <v>14778</v>
      </c>
      <c r="J740" t="s">
        <v>2491</v>
      </c>
      <c r="K740" t="s">
        <v>74</v>
      </c>
      <c r="L740" t="s">
        <v>74</v>
      </c>
      <c r="M740" t="s">
        <v>78</v>
      </c>
      <c r="N740" t="s">
        <v>79</v>
      </c>
      <c r="O740" t="s">
        <v>74</v>
      </c>
      <c r="P740" t="s">
        <v>74</v>
      </c>
      <c r="Q740" t="s">
        <v>74</v>
      </c>
      <c r="R740" t="s">
        <v>74</v>
      </c>
      <c r="S740" t="s">
        <v>74</v>
      </c>
      <c r="T740" t="s">
        <v>14779</v>
      </c>
      <c r="U740" t="s">
        <v>14780</v>
      </c>
      <c r="V740" t="s">
        <v>14781</v>
      </c>
      <c r="W740" t="s">
        <v>14782</v>
      </c>
      <c r="X740" t="s">
        <v>14783</v>
      </c>
      <c r="Y740" t="s">
        <v>14784</v>
      </c>
      <c r="Z740" t="s">
        <v>14785</v>
      </c>
      <c r="AA740" t="s">
        <v>14786</v>
      </c>
      <c r="AB740" t="s">
        <v>14787</v>
      </c>
      <c r="AC740" t="s">
        <v>14788</v>
      </c>
      <c r="AD740" t="s">
        <v>14789</v>
      </c>
      <c r="AE740" t="s">
        <v>14790</v>
      </c>
      <c r="AF740" t="s">
        <v>74</v>
      </c>
      <c r="AG740">
        <v>40</v>
      </c>
      <c r="AH740">
        <v>7</v>
      </c>
      <c r="AI740">
        <v>7</v>
      </c>
      <c r="AJ740">
        <v>0</v>
      </c>
      <c r="AK740">
        <v>8</v>
      </c>
      <c r="AL740" t="s">
        <v>1522</v>
      </c>
      <c r="AM740" t="s">
        <v>1407</v>
      </c>
      <c r="AN740" t="s">
        <v>1523</v>
      </c>
      <c r="AO740" t="s">
        <v>2501</v>
      </c>
      <c r="AP740" t="s">
        <v>2502</v>
      </c>
      <c r="AQ740" t="s">
        <v>74</v>
      </c>
      <c r="AR740" t="s">
        <v>2503</v>
      </c>
      <c r="AS740" t="s">
        <v>2504</v>
      </c>
      <c r="AT740" t="s">
        <v>11892</v>
      </c>
      <c r="AU740">
        <v>2020</v>
      </c>
      <c r="AV740">
        <v>158</v>
      </c>
      <c r="AW740" t="s">
        <v>74</v>
      </c>
      <c r="AX740" t="s">
        <v>74</v>
      </c>
      <c r="AY740" t="s">
        <v>74</v>
      </c>
      <c r="AZ740" t="s">
        <v>74</v>
      </c>
      <c r="BA740" t="s">
        <v>74</v>
      </c>
      <c r="BB740" t="s">
        <v>74</v>
      </c>
      <c r="BC740" t="s">
        <v>74</v>
      </c>
      <c r="BD740">
        <v>111417</v>
      </c>
      <c r="BE740" t="s">
        <v>14791</v>
      </c>
      <c r="BF740" t="str">
        <f>HYPERLINK("http://dx.doi.org/10.1016/j.marpolbul.2020.111417","http://dx.doi.org/10.1016/j.marpolbul.2020.111417")</f>
        <v>http://dx.doi.org/10.1016/j.marpolbul.2020.111417</v>
      </c>
      <c r="BG740" t="s">
        <v>74</v>
      </c>
      <c r="BH740" t="s">
        <v>74</v>
      </c>
      <c r="BI740">
        <v>9</v>
      </c>
      <c r="BJ740" t="s">
        <v>918</v>
      </c>
      <c r="BK740" t="s">
        <v>100</v>
      </c>
      <c r="BL740" t="s">
        <v>919</v>
      </c>
      <c r="BM740" t="s">
        <v>14757</v>
      </c>
      <c r="BN740">
        <v>32753201</v>
      </c>
      <c r="BO740" t="s">
        <v>74</v>
      </c>
      <c r="BP740" t="s">
        <v>74</v>
      </c>
      <c r="BQ740" t="s">
        <v>74</v>
      </c>
      <c r="BR740" t="s">
        <v>104</v>
      </c>
      <c r="BS740" t="s">
        <v>14792</v>
      </c>
      <c r="BT740" t="str">
        <f>HYPERLINK("https%3A%2F%2Fwww.webofscience.com%2Fwos%2Fwoscc%2Ffull-record%2FWOS:000555500000056","View Full Record in Web of Science")</f>
        <v>View Full Record in Web of Science</v>
      </c>
    </row>
    <row r="741" spans="1:72" x14ac:dyDescent="0.15">
      <c r="A741" t="s">
        <v>72</v>
      </c>
      <c r="B741" t="s">
        <v>14793</v>
      </c>
      <c r="C741" t="s">
        <v>74</v>
      </c>
      <c r="D741" t="s">
        <v>74</v>
      </c>
      <c r="E741" t="s">
        <v>74</v>
      </c>
      <c r="F741" t="s">
        <v>14794</v>
      </c>
      <c r="G741" t="s">
        <v>74</v>
      </c>
      <c r="H741" t="s">
        <v>74</v>
      </c>
      <c r="I741" t="s">
        <v>14795</v>
      </c>
      <c r="J741" t="s">
        <v>9147</v>
      </c>
      <c r="K741" t="s">
        <v>74</v>
      </c>
      <c r="L741" t="s">
        <v>74</v>
      </c>
      <c r="M741" t="s">
        <v>78</v>
      </c>
      <c r="N741" t="s">
        <v>79</v>
      </c>
      <c r="O741" t="s">
        <v>74</v>
      </c>
      <c r="P741" t="s">
        <v>74</v>
      </c>
      <c r="Q741" t="s">
        <v>74</v>
      </c>
      <c r="R741" t="s">
        <v>74</v>
      </c>
      <c r="S741" t="s">
        <v>74</v>
      </c>
      <c r="T741" t="s">
        <v>14796</v>
      </c>
      <c r="U741" t="s">
        <v>14797</v>
      </c>
      <c r="V741" t="s">
        <v>14798</v>
      </c>
      <c r="W741" t="s">
        <v>14799</v>
      </c>
      <c r="X741" t="s">
        <v>14800</v>
      </c>
      <c r="Y741" t="s">
        <v>14801</v>
      </c>
      <c r="Z741" t="s">
        <v>14802</v>
      </c>
      <c r="AA741" t="s">
        <v>14803</v>
      </c>
      <c r="AB741" t="s">
        <v>14804</v>
      </c>
      <c r="AC741" t="s">
        <v>14805</v>
      </c>
      <c r="AD741" t="s">
        <v>14806</v>
      </c>
      <c r="AE741" t="s">
        <v>14807</v>
      </c>
      <c r="AF741" t="s">
        <v>74</v>
      </c>
      <c r="AG741">
        <v>34</v>
      </c>
      <c r="AH741">
        <v>5</v>
      </c>
      <c r="AI741">
        <v>5</v>
      </c>
      <c r="AJ741">
        <v>3</v>
      </c>
      <c r="AK741">
        <v>6</v>
      </c>
      <c r="AL741" t="s">
        <v>275</v>
      </c>
      <c r="AM741" t="s">
        <v>276</v>
      </c>
      <c r="AN741" t="s">
        <v>277</v>
      </c>
      <c r="AO741" t="s">
        <v>9155</v>
      </c>
      <c r="AP741" t="s">
        <v>9156</v>
      </c>
      <c r="AQ741" t="s">
        <v>74</v>
      </c>
      <c r="AR741" t="s">
        <v>9157</v>
      </c>
      <c r="AS741" t="s">
        <v>9158</v>
      </c>
      <c r="AT741" t="s">
        <v>11892</v>
      </c>
      <c r="AU741">
        <v>2020</v>
      </c>
      <c r="AV741">
        <v>177</v>
      </c>
      <c r="AW741" t="s">
        <v>74</v>
      </c>
      <c r="AX741" t="s">
        <v>74</v>
      </c>
      <c r="AY741" t="s">
        <v>74</v>
      </c>
      <c r="AZ741" t="s">
        <v>74</v>
      </c>
      <c r="BA741" t="s">
        <v>74</v>
      </c>
      <c r="BB741" t="s">
        <v>74</v>
      </c>
      <c r="BC741" t="s">
        <v>74</v>
      </c>
      <c r="BD741">
        <v>103113</v>
      </c>
      <c r="BE741" t="s">
        <v>14808</v>
      </c>
      <c r="BF741" t="str">
        <f>HYPERLINK("http://dx.doi.org/10.1016/j.coldregions.2020.103113","http://dx.doi.org/10.1016/j.coldregions.2020.103113")</f>
        <v>http://dx.doi.org/10.1016/j.coldregions.2020.103113</v>
      </c>
      <c r="BG741" t="s">
        <v>74</v>
      </c>
      <c r="BH741" t="s">
        <v>74</v>
      </c>
      <c r="BI741">
        <v>11</v>
      </c>
      <c r="BJ741" t="s">
        <v>9160</v>
      </c>
      <c r="BK741" t="s">
        <v>100</v>
      </c>
      <c r="BL741" t="s">
        <v>9161</v>
      </c>
      <c r="BM741" t="s">
        <v>14809</v>
      </c>
      <c r="BN741" t="s">
        <v>74</v>
      </c>
      <c r="BO741" t="s">
        <v>3476</v>
      </c>
      <c r="BP741" t="s">
        <v>74</v>
      </c>
      <c r="BQ741" t="s">
        <v>74</v>
      </c>
      <c r="BR741" t="s">
        <v>104</v>
      </c>
      <c r="BS741" t="s">
        <v>14810</v>
      </c>
      <c r="BT741" t="str">
        <f>HYPERLINK("https%3A%2F%2Fwww.webofscience.com%2Fwos%2Fwoscc%2Ffull-record%2FWOS:000554882900007","View Full Record in Web of Science")</f>
        <v>View Full Record in Web of Science</v>
      </c>
    </row>
    <row r="742" spans="1:72" x14ac:dyDescent="0.15">
      <c r="A742" t="s">
        <v>72</v>
      </c>
      <c r="B742" t="s">
        <v>14811</v>
      </c>
      <c r="C742" t="s">
        <v>74</v>
      </c>
      <c r="D742" t="s">
        <v>74</v>
      </c>
      <c r="E742" t="s">
        <v>74</v>
      </c>
      <c r="F742" t="s">
        <v>14812</v>
      </c>
      <c r="G742" t="s">
        <v>74</v>
      </c>
      <c r="H742" t="s">
        <v>74</v>
      </c>
      <c r="I742" t="s">
        <v>14813</v>
      </c>
      <c r="J742" t="s">
        <v>3113</v>
      </c>
      <c r="K742" t="s">
        <v>74</v>
      </c>
      <c r="L742" t="s">
        <v>74</v>
      </c>
      <c r="M742" t="s">
        <v>78</v>
      </c>
      <c r="N742" t="s">
        <v>79</v>
      </c>
      <c r="O742" t="s">
        <v>74</v>
      </c>
      <c r="P742" t="s">
        <v>74</v>
      </c>
      <c r="Q742" t="s">
        <v>74</v>
      </c>
      <c r="R742" t="s">
        <v>74</v>
      </c>
      <c r="S742" t="s">
        <v>74</v>
      </c>
      <c r="T742" t="s">
        <v>14814</v>
      </c>
      <c r="U742" t="s">
        <v>14815</v>
      </c>
      <c r="V742" t="s">
        <v>14816</v>
      </c>
      <c r="W742" t="s">
        <v>14817</v>
      </c>
      <c r="X742" t="s">
        <v>14818</v>
      </c>
      <c r="Y742" t="s">
        <v>14819</v>
      </c>
      <c r="Z742" t="s">
        <v>14820</v>
      </c>
      <c r="AA742" t="s">
        <v>14821</v>
      </c>
      <c r="AB742" t="s">
        <v>14822</v>
      </c>
      <c r="AC742" t="s">
        <v>14823</v>
      </c>
      <c r="AD742" t="s">
        <v>14824</v>
      </c>
      <c r="AE742" t="s">
        <v>14825</v>
      </c>
      <c r="AF742" t="s">
        <v>74</v>
      </c>
      <c r="AG742">
        <v>52</v>
      </c>
      <c r="AH742">
        <v>13</v>
      </c>
      <c r="AI742">
        <v>14</v>
      </c>
      <c r="AJ742">
        <v>1</v>
      </c>
      <c r="AK742">
        <v>3</v>
      </c>
      <c r="AL742" t="s">
        <v>275</v>
      </c>
      <c r="AM742" t="s">
        <v>276</v>
      </c>
      <c r="AN742" t="s">
        <v>277</v>
      </c>
      <c r="AO742" t="s">
        <v>3124</v>
      </c>
      <c r="AP742" t="s">
        <v>3125</v>
      </c>
      <c r="AQ742" t="s">
        <v>74</v>
      </c>
      <c r="AR742" t="s">
        <v>3126</v>
      </c>
      <c r="AS742" t="s">
        <v>3127</v>
      </c>
      <c r="AT742" t="s">
        <v>11892</v>
      </c>
      <c r="AU742">
        <v>2020</v>
      </c>
      <c r="AV742">
        <v>427</v>
      </c>
      <c r="AW742" t="s">
        <v>74</v>
      </c>
      <c r="AX742" t="s">
        <v>74</v>
      </c>
      <c r="AY742" t="s">
        <v>74</v>
      </c>
      <c r="AZ742" t="s">
        <v>74</v>
      </c>
      <c r="BA742" t="s">
        <v>74</v>
      </c>
      <c r="BB742" t="s">
        <v>74</v>
      </c>
      <c r="BC742" t="s">
        <v>74</v>
      </c>
      <c r="BD742">
        <v>106221</v>
      </c>
      <c r="BE742" t="s">
        <v>14826</v>
      </c>
      <c r="BF742" t="str">
        <f>HYPERLINK("http://dx.doi.org/10.1016/j.margeo.2020.106221","http://dx.doi.org/10.1016/j.margeo.2020.106221")</f>
        <v>http://dx.doi.org/10.1016/j.margeo.2020.106221</v>
      </c>
      <c r="BG742" t="s">
        <v>74</v>
      </c>
      <c r="BH742" t="s">
        <v>74</v>
      </c>
      <c r="BI742">
        <v>21</v>
      </c>
      <c r="BJ742" t="s">
        <v>3129</v>
      </c>
      <c r="BK742" t="s">
        <v>100</v>
      </c>
      <c r="BL742" t="s">
        <v>3130</v>
      </c>
      <c r="BM742" t="s">
        <v>14827</v>
      </c>
      <c r="BN742" t="s">
        <v>74</v>
      </c>
      <c r="BO742" t="s">
        <v>564</v>
      </c>
      <c r="BP742" t="s">
        <v>74</v>
      </c>
      <c r="BQ742" t="s">
        <v>74</v>
      </c>
      <c r="BR742" t="s">
        <v>104</v>
      </c>
      <c r="BS742" t="s">
        <v>14828</v>
      </c>
      <c r="BT742" t="str">
        <f>HYPERLINK("https%3A%2F%2Fwww.webofscience.com%2Fwos%2Fwoscc%2Ffull-record%2FWOS:000552135700009","View Full Record in Web of Science")</f>
        <v>View Full Record in Web of Science</v>
      </c>
    </row>
    <row r="743" spans="1:72" x14ac:dyDescent="0.15">
      <c r="A743" t="s">
        <v>72</v>
      </c>
      <c r="B743" t="s">
        <v>14829</v>
      </c>
      <c r="C743" t="s">
        <v>74</v>
      </c>
      <c r="D743" t="s">
        <v>74</v>
      </c>
      <c r="E743" t="s">
        <v>74</v>
      </c>
      <c r="F743" t="s">
        <v>14830</v>
      </c>
      <c r="G743" t="s">
        <v>74</v>
      </c>
      <c r="H743" t="s">
        <v>74</v>
      </c>
      <c r="I743" t="s">
        <v>14831</v>
      </c>
      <c r="J743" t="s">
        <v>3113</v>
      </c>
      <c r="K743" t="s">
        <v>74</v>
      </c>
      <c r="L743" t="s">
        <v>74</v>
      </c>
      <c r="M743" t="s">
        <v>78</v>
      </c>
      <c r="N743" t="s">
        <v>79</v>
      </c>
      <c r="O743" t="s">
        <v>74</v>
      </c>
      <c r="P743" t="s">
        <v>74</v>
      </c>
      <c r="Q743" t="s">
        <v>74</v>
      </c>
      <c r="R743" t="s">
        <v>74</v>
      </c>
      <c r="S743" t="s">
        <v>74</v>
      </c>
      <c r="T743" t="s">
        <v>14832</v>
      </c>
      <c r="U743" t="s">
        <v>14833</v>
      </c>
      <c r="V743" t="s">
        <v>14834</v>
      </c>
      <c r="W743" t="s">
        <v>14835</v>
      </c>
      <c r="X743" t="s">
        <v>14836</v>
      </c>
      <c r="Y743" t="s">
        <v>14837</v>
      </c>
      <c r="Z743" t="s">
        <v>14838</v>
      </c>
      <c r="AA743" t="s">
        <v>14839</v>
      </c>
      <c r="AB743" t="s">
        <v>14840</v>
      </c>
      <c r="AC743" t="s">
        <v>14841</v>
      </c>
      <c r="AD743" t="s">
        <v>14841</v>
      </c>
      <c r="AE743" t="s">
        <v>14842</v>
      </c>
      <c r="AF743" t="s">
        <v>74</v>
      </c>
      <c r="AG743">
        <v>126</v>
      </c>
      <c r="AH743">
        <v>19</v>
      </c>
      <c r="AI743">
        <v>22</v>
      </c>
      <c r="AJ743">
        <v>1</v>
      </c>
      <c r="AK743">
        <v>14</v>
      </c>
      <c r="AL743" t="s">
        <v>275</v>
      </c>
      <c r="AM743" t="s">
        <v>276</v>
      </c>
      <c r="AN743" t="s">
        <v>277</v>
      </c>
      <c r="AO743" t="s">
        <v>3124</v>
      </c>
      <c r="AP743" t="s">
        <v>3125</v>
      </c>
      <c r="AQ743" t="s">
        <v>74</v>
      </c>
      <c r="AR743" t="s">
        <v>3126</v>
      </c>
      <c r="AS743" t="s">
        <v>3127</v>
      </c>
      <c r="AT743" t="s">
        <v>11892</v>
      </c>
      <c r="AU743">
        <v>2020</v>
      </c>
      <c r="AV743">
        <v>427</v>
      </c>
      <c r="AW743" t="s">
        <v>74</v>
      </c>
      <c r="AX743" t="s">
        <v>74</v>
      </c>
      <c r="AY743" t="s">
        <v>74</v>
      </c>
      <c r="AZ743" t="s">
        <v>74</v>
      </c>
      <c r="BA743" t="s">
        <v>74</v>
      </c>
      <c r="BB743" t="s">
        <v>74</v>
      </c>
      <c r="BC743" t="s">
        <v>74</v>
      </c>
      <c r="BD743">
        <v>106223</v>
      </c>
      <c r="BE743" t="s">
        <v>14843</v>
      </c>
      <c r="BF743" t="str">
        <f>HYPERLINK("http://dx.doi.org/10.1016/j.margeo.2020.106223","http://dx.doi.org/10.1016/j.margeo.2020.106223")</f>
        <v>http://dx.doi.org/10.1016/j.margeo.2020.106223</v>
      </c>
      <c r="BG743" t="s">
        <v>74</v>
      </c>
      <c r="BH743" t="s">
        <v>74</v>
      </c>
      <c r="BI743">
        <v>20</v>
      </c>
      <c r="BJ743" t="s">
        <v>3129</v>
      </c>
      <c r="BK743" t="s">
        <v>100</v>
      </c>
      <c r="BL743" t="s">
        <v>3130</v>
      </c>
      <c r="BM743" t="s">
        <v>14827</v>
      </c>
      <c r="BN743" t="s">
        <v>74</v>
      </c>
      <c r="BO743" t="s">
        <v>1259</v>
      </c>
      <c r="BP743" t="s">
        <v>74</v>
      </c>
      <c r="BQ743" t="s">
        <v>74</v>
      </c>
      <c r="BR743" t="s">
        <v>104</v>
      </c>
      <c r="BS743" t="s">
        <v>14844</v>
      </c>
      <c r="BT743" t="str">
        <f>HYPERLINK("https%3A%2F%2Fwww.webofscience.com%2Fwos%2Fwoscc%2Ffull-record%2FWOS:000552135700010","View Full Record in Web of Science")</f>
        <v>View Full Record in Web of Science</v>
      </c>
    </row>
    <row r="744" spans="1:72" x14ac:dyDescent="0.15">
      <c r="A744" t="s">
        <v>72</v>
      </c>
      <c r="B744" t="s">
        <v>14845</v>
      </c>
      <c r="C744" t="s">
        <v>74</v>
      </c>
      <c r="D744" t="s">
        <v>74</v>
      </c>
      <c r="E744" t="s">
        <v>74</v>
      </c>
      <c r="F744" t="s">
        <v>14846</v>
      </c>
      <c r="G744" t="s">
        <v>74</v>
      </c>
      <c r="H744" t="s">
        <v>74</v>
      </c>
      <c r="I744" t="s">
        <v>14847</v>
      </c>
      <c r="J744" t="s">
        <v>14848</v>
      </c>
      <c r="K744" t="s">
        <v>74</v>
      </c>
      <c r="L744" t="s">
        <v>74</v>
      </c>
      <c r="M744" t="s">
        <v>78</v>
      </c>
      <c r="N744" t="s">
        <v>79</v>
      </c>
      <c r="O744" t="s">
        <v>74</v>
      </c>
      <c r="P744" t="s">
        <v>74</v>
      </c>
      <c r="Q744" t="s">
        <v>74</v>
      </c>
      <c r="R744" t="s">
        <v>74</v>
      </c>
      <c r="S744" t="s">
        <v>74</v>
      </c>
      <c r="T744" t="s">
        <v>14849</v>
      </c>
      <c r="U744" t="s">
        <v>14850</v>
      </c>
      <c r="V744" t="s">
        <v>14851</v>
      </c>
      <c r="W744" t="s">
        <v>14852</v>
      </c>
      <c r="X744" t="s">
        <v>14853</v>
      </c>
      <c r="Y744" t="s">
        <v>14854</v>
      </c>
      <c r="Z744" t="s">
        <v>14855</v>
      </c>
      <c r="AA744" t="s">
        <v>74</v>
      </c>
      <c r="AB744" t="s">
        <v>14856</v>
      </c>
      <c r="AC744" t="s">
        <v>14857</v>
      </c>
      <c r="AD744" t="s">
        <v>14858</v>
      </c>
      <c r="AE744" t="s">
        <v>14859</v>
      </c>
      <c r="AF744" t="s">
        <v>74</v>
      </c>
      <c r="AG744">
        <v>46</v>
      </c>
      <c r="AH744">
        <v>3</v>
      </c>
      <c r="AI744">
        <v>3</v>
      </c>
      <c r="AJ744">
        <v>0</v>
      </c>
      <c r="AK744">
        <v>20</v>
      </c>
      <c r="AL744" t="s">
        <v>3032</v>
      </c>
      <c r="AM744" t="s">
        <v>483</v>
      </c>
      <c r="AN744" t="s">
        <v>3033</v>
      </c>
      <c r="AO744" t="s">
        <v>14860</v>
      </c>
      <c r="AP744" t="s">
        <v>14861</v>
      </c>
      <c r="AQ744" t="s">
        <v>74</v>
      </c>
      <c r="AR744" t="s">
        <v>14862</v>
      </c>
      <c r="AS744" t="s">
        <v>14863</v>
      </c>
      <c r="AT744" t="s">
        <v>11892</v>
      </c>
      <c r="AU744">
        <v>2020</v>
      </c>
      <c r="AV744">
        <v>247</v>
      </c>
      <c r="AW744" t="s">
        <v>74</v>
      </c>
      <c r="AX744" t="s">
        <v>74</v>
      </c>
      <c r="AY744" t="s">
        <v>74</v>
      </c>
      <c r="AZ744" t="s">
        <v>74</v>
      </c>
      <c r="BA744" t="s">
        <v>74</v>
      </c>
      <c r="BB744" t="s">
        <v>74</v>
      </c>
      <c r="BC744" t="s">
        <v>74</v>
      </c>
      <c r="BD744">
        <v>110742</v>
      </c>
      <c r="BE744" t="s">
        <v>14864</v>
      </c>
      <c r="BF744" t="str">
        <f>HYPERLINK("http://dx.doi.org/10.1016/j.cbpa.2020.110742","http://dx.doi.org/10.1016/j.cbpa.2020.110742")</f>
        <v>http://dx.doi.org/10.1016/j.cbpa.2020.110742</v>
      </c>
      <c r="BG744" t="s">
        <v>74</v>
      </c>
      <c r="BH744" t="s">
        <v>74</v>
      </c>
      <c r="BI744">
        <v>6</v>
      </c>
      <c r="BJ744" t="s">
        <v>14865</v>
      </c>
      <c r="BK744" t="s">
        <v>100</v>
      </c>
      <c r="BL744" t="s">
        <v>14865</v>
      </c>
      <c r="BM744" t="s">
        <v>14866</v>
      </c>
      <c r="BN744">
        <v>32535235</v>
      </c>
      <c r="BO744" t="s">
        <v>74</v>
      </c>
      <c r="BP744" t="s">
        <v>74</v>
      </c>
      <c r="BQ744" t="s">
        <v>74</v>
      </c>
      <c r="BR744" t="s">
        <v>104</v>
      </c>
      <c r="BS744" t="s">
        <v>14867</v>
      </c>
      <c r="BT744" t="str">
        <f>HYPERLINK("https%3A%2F%2Fwww.webofscience.com%2Fwos%2Fwoscc%2Ffull-record%2FWOS:000549182400010","View Full Record in Web of Science")</f>
        <v>View Full Record in Web of Science</v>
      </c>
    </row>
    <row r="745" spans="1:72" x14ac:dyDescent="0.15">
      <c r="A745" t="s">
        <v>72</v>
      </c>
      <c r="B745" t="s">
        <v>14868</v>
      </c>
      <c r="C745" t="s">
        <v>74</v>
      </c>
      <c r="D745" t="s">
        <v>74</v>
      </c>
      <c r="E745" t="s">
        <v>74</v>
      </c>
      <c r="F745" t="s">
        <v>14869</v>
      </c>
      <c r="G745" t="s">
        <v>74</v>
      </c>
      <c r="H745" t="s">
        <v>74</v>
      </c>
      <c r="I745" t="s">
        <v>14870</v>
      </c>
      <c r="J745" t="s">
        <v>14871</v>
      </c>
      <c r="K745" t="s">
        <v>74</v>
      </c>
      <c r="L745" t="s">
        <v>74</v>
      </c>
      <c r="M745" t="s">
        <v>78</v>
      </c>
      <c r="N745" t="s">
        <v>79</v>
      </c>
      <c r="O745" t="s">
        <v>74</v>
      </c>
      <c r="P745" t="s">
        <v>74</v>
      </c>
      <c r="Q745" t="s">
        <v>74</v>
      </c>
      <c r="R745" t="s">
        <v>74</v>
      </c>
      <c r="S745" t="s">
        <v>74</v>
      </c>
      <c r="T745" t="s">
        <v>14872</v>
      </c>
      <c r="U745" t="s">
        <v>14873</v>
      </c>
      <c r="V745" t="s">
        <v>14874</v>
      </c>
      <c r="W745" t="s">
        <v>14875</v>
      </c>
      <c r="X745" t="s">
        <v>14876</v>
      </c>
      <c r="Y745" t="s">
        <v>14877</v>
      </c>
      <c r="Z745" t="s">
        <v>14878</v>
      </c>
      <c r="AA745" t="s">
        <v>14879</v>
      </c>
      <c r="AB745" t="s">
        <v>14880</v>
      </c>
      <c r="AC745" t="s">
        <v>14881</v>
      </c>
      <c r="AD745" t="s">
        <v>14882</v>
      </c>
      <c r="AE745" t="s">
        <v>74</v>
      </c>
      <c r="AF745" t="s">
        <v>74</v>
      </c>
      <c r="AG745">
        <v>52</v>
      </c>
      <c r="AH745">
        <v>15</v>
      </c>
      <c r="AI745">
        <v>17</v>
      </c>
      <c r="AJ745">
        <v>4</v>
      </c>
      <c r="AK745">
        <v>34</v>
      </c>
      <c r="AL745" t="s">
        <v>14883</v>
      </c>
      <c r="AM745" t="s">
        <v>14884</v>
      </c>
      <c r="AN745" t="s">
        <v>14885</v>
      </c>
      <c r="AO745" t="s">
        <v>14886</v>
      </c>
      <c r="AP745" t="s">
        <v>14887</v>
      </c>
      <c r="AQ745" t="s">
        <v>74</v>
      </c>
      <c r="AR745" t="s">
        <v>14888</v>
      </c>
      <c r="AS745" t="s">
        <v>14889</v>
      </c>
      <c r="AT745" t="s">
        <v>11892</v>
      </c>
      <c r="AU745">
        <v>2020</v>
      </c>
      <c r="AV745">
        <v>197</v>
      </c>
      <c r="AW745">
        <v>1</v>
      </c>
      <c r="AX745" t="s">
        <v>74</v>
      </c>
      <c r="AY745" t="s">
        <v>74</v>
      </c>
      <c r="AZ745" t="s">
        <v>74</v>
      </c>
      <c r="BA745" t="s">
        <v>74</v>
      </c>
      <c r="BB745">
        <v>285</v>
      </c>
      <c r="BC745">
        <v>293</v>
      </c>
      <c r="BD745" t="s">
        <v>74</v>
      </c>
      <c r="BE745" t="s">
        <v>14890</v>
      </c>
      <c r="BF745" t="str">
        <f>HYPERLINK("http://dx.doi.org/10.1007/s12011-019-01992-0","http://dx.doi.org/10.1007/s12011-019-01992-0")</f>
        <v>http://dx.doi.org/10.1007/s12011-019-01992-0</v>
      </c>
      <c r="BG745" t="s">
        <v>74</v>
      </c>
      <c r="BH745" t="s">
        <v>74</v>
      </c>
      <c r="BI745">
        <v>9</v>
      </c>
      <c r="BJ745" t="s">
        <v>14891</v>
      </c>
      <c r="BK745" t="s">
        <v>100</v>
      </c>
      <c r="BL745" t="s">
        <v>14891</v>
      </c>
      <c r="BM745" t="s">
        <v>14892</v>
      </c>
      <c r="BN745">
        <v>31828723</v>
      </c>
      <c r="BO745" t="s">
        <v>74</v>
      </c>
      <c r="BP745" t="s">
        <v>74</v>
      </c>
      <c r="BQ745" t="s">
        <v>74</v>
      </c>
      <c r="BR745" t="s">
        <v>104</v>
      </c>
      <c r="BS745" t="s">
        <v>14893</v>
      </c>
      <c r="BT745" t="str">
        <f>HYPERLINK("https%3A%2F%2Fwww.webofscience.com%2Fwos%2Fwoscc%2Ffull-record%2FWOS:000547390800030","View Full Record in Web of Science")</f>
        <v>View Full Record in Web of Science</v>
      </c>
    </row>
    <row r="746" spans="1:72" x14ac:dyDescent="0.15">
      <c r="A746" t="s">
        <v>72</v>
      </c>
      <c r="B746" t="s">
        <v>14894</v>
      </c>
      <c r="C746" t="s">
        <v>74</v>
      </c>
      <c r="D746" t="s">
        <v>74</v>
      </c>
      <c r="E746" t="s">
        <v>74</v>
      </c>
      <c r="F746" t="s">
        <v>14895</v>
      </c>
      <c r="G746" t="s">
        <v>74</v>
      </c>
      <c r="H746" t="s">
        <v>74</v>
      </c>
      <c r="I746" t="s">
        <v>14896</v>
      </c>
      <c r="J746" t="s">
        <v>14897</v>
      </c>
      <c r="K746" t="s">
        <v>74</v>
      </c>
      <c r="L746" t="s">
        <v>74</v>
      </c>
      <c r="M746" t="s">
        <v>78</v>
      </c>
      <c r="N746" t="s">
        <v>79</v>
      </c>
      <c r="O746" t="s">
        <v>74</v>
      </c>
      <c r="P746" t="s">
        <v>74</v>
      </c>
      <c r="Q746" t="s">
        <v>74</v>
      </c>
      <c r="R746" t="s">
        <v>74</v>
      </c>
      <c r="S746" t="s">
        <v>74</v>
      </c>
      <c r="T746" t="s">
        <v>14898</v>
      </c>
      <c r="U746" t="s">
        <v>14899</v>
      </c>
      <c r="V746" t="s">
        <v>14900</v>
      </c>
      <c r="W746" t="s">
        <v>14901</v>
      </c>
      <c r="X746" t="s">
        <v>14902</v>
      </c>
      <c r="Y746" t="s">
        <v>14903</v>
      </c>
      <c r="Z746" t="s">
        <v>1200</v>
      </c>
      <c r="AA746" t="s">
        <v>14904</v>
      </c>
      <c r="AB746" t="s">
        <v>14905</v>
      </c>
      <c r="AC746" t="s">
        <v>14906</v>
      </c>
      <c r="AD746" t="s">
        <v>14907</v>
      </c>
      <c r="AE746" t="s">
        <v>14908</v>
      </c>
      <c r="AF746" t="s">
        <v>74</v>
      </c>
      <c r="AG746">
        <v>66</v>
      </c>
      <c r="AH746">
        <v>13</v>
      </c>
      <c r="AI746">
        <v>13</v>
      </c>
      <c r="AJ746">
        <v>0</v>
      </c>
      <c r="AK746">
        <v>13</v>
      </c>
      <c r="AL746" t="s">
        <v>14909</v>
      </c>
      <c r="AM746" t="s">
        <v>14910</v>
      </c>
      <c r="AN746" t="s">
        <v>14911</v>
      </c>
      <c r="AO746" t="s">
        <v>14912</v>
      </c>
      <c r="AP746" t="s">
        <v>74</v>
      </c>
      <c r="AQ746" t="s">
        <v>74</v>
      </c>
      <c r="AR746" t="s">
        <v>14913</v>
      </c>
      <c r="AS746" t="s">
        <v>14914</v>
      </c>
      <c r="AT746" t="s">
        <v>14915</v>
      </c>
      <c r="AU746">
        <v>2020</v>
      </c>
      <c r="AV746">
        <v>19</v>
      </c>
      <c r="AW746">
        <v>3</v>
      </c>
      <c r="AX746" t="s">
        <v>74</v>
      </c>
      <c r="AY746" t="s">
        <v>74</v>
      </c>
      <c r="AZ746" t="s">
        <v>74</v>
      </c>
      <c r="BA746" t="s">
        <v>74</v>
      </c>
      <c r="BB746">
        <v>1041</v>
      </c>
      <c r="BC746">
        <v>1052</v>
      </c>
      <c r="BD746" t="s">
        <v>74</v>
      </c>
      <c r="BE746" t="s">
        <v>14916</v>
      </c>
      <c r="BF746" t="str">
        <f>HYPERLINK("http://dx.doi.org/10.24275/rmiq/Bio917","http://dx.doi.org/10.24275/rmiq/Bio917")</f>
        <v>http://dx.doi.org/10.24275/rmiq/Bio917</v>
      </c>
      <c r="BG746" t="s">
        <v>74</v>
      </c>
      <c r="BH746" t="s">
        <v>74</v>
      </c>
      <c r="BI746">
        <v>12</v>
      </c>
      <c r="BJ746" t="s">
        <v>14917</v>
      </c>
      <c r="BK746" t="s">
        <v>100</v>
      </c>
      <c r="BL746" t="s">
        <v>14918</v>
      </c>
      <c r="BM746" t="s">
        <v>14919</v>
      </c>
      <c r="BN746" t="s">
        <v>74</v>
      </c>
      <c r="BO746" t="s">
        <v>3641</v>
      </c>
      <c r="BP746" t="s">
        <v>74</v>
      </c>
      <c r="BQ746" t="s">
        <v>74</v>
      </c>
      <c r="BR746" t="s">
        <v>104</v>
      </c>
      <c r="BS746" t="s">
        <v>14920</v>
      </c>
      <c r="BT746" t="str">
        <f>HYPERLINK("https%3A%2F%2Fwww.webofscience.com%2Fwos%2Fwoscc%2Ffull-record%2FWOS:000547371200003","View Full Record in Web of Science")</f>
        <v>View Full Record in Web of Science</v>
      </c>
    </row>
    <row r="747" spans="1:72" x14ac:dyDescent="0.15">
      <c r="A747" t="s">
        <v>72</v>
      </c>
      <c r="B747" t="s">
        <v>14921</v>
      </c>
      <c r="C747" t="s">
        <v>74</v>
      </c>
      <c r="D747" t="s">
        <v>74</v>
      </c>
      <c r="E747" t="s">
        <v>74</v>
      </c>
      <c r="F747" t="s">
        <v>14922</v>
      </c>
      <c r="G747" t="s">
        <v>74</v>
      </c>
      <c r="H747" t="s">
        <v>74</v>
      </c>
      <c r="I747" t="s">
        <v>14923</v>
      </c>
      <c r="J747" t="s">
        <v>14897</v>
      </c>
      <c r="K747" t="s">
        <v>74</v>
      </c>
      <c r="L747" t="s">
        <v>74</v>
      </c>
      <c r="M747" t="s">
        <v>78</v>
      </c>
      <c r="N747" t="s">
        <v>79</v>
      </c>
      <c r="O747" t="s">
        <v>74</v>
      </c>
      <c r="P747" t="s">
        <v>74</v>
      </c>
      <c r="Q747" t="s">
        <v>74</v>
      </c>
      <c r="R747" t="s">
        <v>74</v>
      </c>
      <c r="S747" t="s">
        <v>74</v>
      </c>
      <c r="T747" t="s">
        <v>14924</v>
      </c>
      <c r="U747" t="s">
        <v>14925</v>
      </c>
      <c r="V747" t="s">
        <v>14926</v>
      </c>
      <c r="W747" t="s">
        <v>14927</v>
      </c>
      <c r="X747" t="s">
        <v>14928</v>
      </c>
      <c r="Y747" t="s">
        <v>14929</v>
      </c>
      <c r="Z747" t="s">
        <v>1200</v>
      </c>
      <c r="AA747" t="s">
        <v>14930</v>
      </c>
      <c r="AB747" t="s">
        <v>14931</v>
      </c>
      <c r="AC747" t="s">
        <v>14932</v>
      </c>
      <c r="AD747" t="s">
        <v>14933</v>
      </c>
      <c r="AE747" t="s">
        <v>14934</v>
      </c>
      <c r="AF747" t="s">
        <v>74</v>
      </c>
      <c r="AG747">
        <v>72</v>
      </c>
      <c r="AH747">
        <v>21</v>
      </c>
      <c r="AI747">
        <v>21</v>
      </c>
      <c r="AJ747">
        <v>4</v>
      </c>
      <c r="AK747">
        <v>8</v>
      </c>
      <c r="AL747" t="s">
        <v>14909</v>
      </c>
      <c r="AM747" t="s">
        <v>14910</v>
      </c>
      <c r="AN747" t="s">
        <v>14911</v>
      </c>
      <c r="AO747" t="s">
        <v>14912</v>
      </c>
      <c r="AP747" t="s">
        <v>74</v>
      </c>
      <c r="AQ747" t="s">
        <v>74</v>
      </c>
      <c r="AR747" t="s">
        <v>14913</v>
      </c>
      <c r="AS747" t="s">
        <v>14914</v>
      </c>
      <c r="AT747" t="s">
        <v>14915</v>
      </c>
      <c r="AU747">
        <v>2020</v>
      </c>
      <c r="AV747">
        <v>19</v>
      </c>
      <c r="AW747">
        <v>3</v>
      </c>
      <c r="AX747" t="s">
        <v>74</v>
      </c>
      <c r="AY747" t="s">
        <v>74</v>
      </c>
      <c r="AZ747" t="s">
        <v>74</v>
      </c>
      <c r="BA747" t="s">
        <v>74</v>
      </c>
      <c r="BB747">
        <v>1375</v>
      </c>
      <c r="BC747">
        <v>1388</v>
      </c>
      <c r="BD747" t="s">
        <v>74</v>
      </c>
      <c r="BE747" t="s">
        <v>14935</v>
      </c>
      <c r="BF747" t="str">
        <f>HYPERLINK("http://dx.doi.org/10.24275/rmiq/Bio1072","http://dx.doi.org/10.24275/rmiq/Bio1072")</f>
        <v>http://dx.doi.org/10.24275/rmiq/Bio1072</v>
      </c>
      <c r="BG747" t="s">
        <v>74</v>
      </c>
      <c r="BH747" t="s">
        <v>74</v>
      </c>
      <c r="BI747">
        <v>14</v>
      </c>
      <c r="BJ747" t="s">
        <v>14917</v>
      </c>
      <c r="BK747" t="s">
        <v>100</v>
      </c>
      <c r="BL747" t="s">
        <v>14918</v>
      </c>
      <c r="BM747" t="s">
        <v>14919</v>
      </c>
      <c r="BN747" t="s">
        <v>74</v>
      </c>
      <c r="BO747" t="s">
        <v>3798</v>
      </c>
      <c r="BP747" t="s">
        <v>74</v>
      </c>
      <c r="BQ747" t="s">
        <v>74</v>
      </c>
      <c r="BR747" t="s">
        <v>104</v>
      </c>
      <c r="BS747" t="s">
        <v>14936</v>
      </c>
      <c r="BT747" t="str">
        <f>HYPERLINK("https%3A%2F%2Fwww.webofscience.com%2Fwos%2Fwoscc%2Ffull-record%2FWOS:000547371200029","View Full Record in Web of Science")</f>
        <v>View Full Record in Web of Science</v>
      </c>
    </row>
    <row r="748" spans="1:72" x14ac:dyDescent="0.15">
      <c r="A748" t="s">
        <v>72</v>
      </c>
      <c r="B748" t="s">
        <v>14937</v>
      </c>
      <c r="C748" t="s">
        <v>74</v>
      </c>
      <c r="D748" t="s">
        <v>74</v>
      </c>
      <c r="E748" t="s">
        <v>74</v>
      </c>
      <c r="F748" t="s">
        <v>14938</v>
      </c>
      <c r="G748" t="s">
        <v>74</v>
      </c>
      <c r="H748" t="s">
        <v>74</v>
      </c>
      <c r="I748" t="s">
        <v>14939</v>
      </c>
      <c r="J748" t="s">
        <v>14940</v>
      </c>
      <c r="K748" t="s">
        <v>74</v>
      </c>
      <c r="L748" t="s">
        <v>74</v>
      </c>
      <c r="M748" t="s">
        <v>78</v>
      </c>
      <c r="N748" t="s">
        <v>79</v>
      </c>
      <c r="O748" t="s">
        <v>74</v>
      </c>
      <c r="P748" t="s">
        <v>74</v>
      </c>
      <c r="Q748" t="s">
        <v>74</v>
      </c>
      <c r="R748" t="s">
        <v>74</v>
      </c>
      <c r="S748" t="s">
        <v>74</v>
      </c>
      <c r="T748" t="s">
        <v>14941</v>
      </c>
      <c r="U748" t="s">
        <v>14942</v>
      </c>
      <c r="V748" t="s">
        <v>14943</v>
      </c>
      <c r="W748" t="s">
        <v>14944</v>
      </c>
      <c r="X748" t="s">
        <v>14945</v>
      </c>
      <c r="Y748" t="s">
        <v>14946</v>
      </c>
      <c r="Z748" t="s">
        <v>14947</v>
      </c>
      <c r="AA748" t="s">
        <v>14948</v>
      </c>
      <c r="AB748" t="s">
        <v>14949</v>
      </c>
      <c r="AC748" t="s">
        <v>14950</v>
      </c>
      <c r="AD748" t="s">
        <v>14951</v>
      </c>
      <c r="AE748" t="s">
        <v>14952</v>
      </c>
      <c r="AF748" t="s">
        <v>74</v>
      </c>
      <c r="AG748">
        <v>52</v>
      </c>
      <c r="AH748">
        <v>15</v>
      </c>
      <c r="AI748">
        <v>15</v>
      </c>
      <c r="AJ748">
        <v>3</v>
      </c>
      <c r="AK748">
        <v>48</v>
      </c>
      <c r="AL748" t="s">
        <v>8383</v>
      </c>
      <c r="AM748" t="s">
        <v>8384</v>
      </c>
      <c r="AN748" t="s">
        <v>8385</v>
      </c>
      <c r="AO748" t="s">
        <v>14953</v>
      </c>
      <c r="AP748" t="s">
        <v>14954</v>
      </c>
      <c r="AQ748" t="s">
        <v>74</v>
      </c>
      <c r="AR748" t="s">
        <v>14940</v>
      </c>
      <c r="AS748" t="s">
        <v>14955</v>
      </c>
      <c r="AT748" t="s">
        <v>11892</v>
      </c>
      <c r="AU748">
        <v>2020</v>
      </c>
      <c r="AV748">
        <v>112</v>
      </c>
      <c r="AW748">
        <v>5</v>
      </c>
      <c r="AX748" t="s">
        <v>74</v>
      </c>
      <c r="AY748" t="s">
        <v>74</v>
      </c>
      <c r="AZ748" t="s">
        <v>74</v>
      </c>
      <c r="BA748" t="s">
        <v>74</v>
      </c>
      <c r="BB748">
        <v>2915</v>
      </c>
      <c r="BC748">
        <v>2921</v>
      </c>
      <c r="BD748" t="s">
        <v>74</v>
      </c>
      <c r="BE748" t="s">
        <v>14956</v>
      </c>
      <c r="BF748" t="str">
        <f>HYPERLINK("http://dx.doi.org/10.1016/j.ygeno.2020.05.004","http://dx.doi.org/10.1016/j.ygeno.2020.05.004")</f>
        <v>http://dx.doi.org/10.1016/j.ygeno.2020.05.004</v>
      </c>
      <c r="BG748" t="s">
        <v>74</v>
      </c>
      <c r="BH748" t="s">
        <v>74</v>
      </c>
      <c r="BI748">
        <v>7</v>
      </c>
      <c r="BJ748" t="s">
        <v>11288</v>
      </c>
      <c r="BK748" t="s">
        <v>100</v>
      </c>
      <c r="BL748" t="s">
        <v>11288</v>
      </c>
      <c r="BM748" t="s">
        <v>14957</v>
      </c>
      <c r="BN748">
        <v>32389811</v>
      </c>
      <c r="BO748" t="s">
        <v>1188</v>
      </c>
      <c r="BP748" t="s">
        <v>74</v>
      </c>
      <c r="BQ748" t="s">
        <v>74</v>
      </c>
      <c r="BR748" t="s">
        <v>104</v>
      </c>
      <c r="BS748" t="s">
        <v>14958</v>
      </c>
      <c r="BT748" t="str">
        <f>HYPERLINK("https%3A%2F%2Fwww.webofscience.com%2Fwos%2Fwoscc%2Ffull-record%2FWOS:000548049100001","View Full Record in Web of Science")</f>
        <v>View Full Record in Web of Science</v>
      </c>
    </row>
    <row r="749" spans="1:72" x14ac:dyDescent="0.15">
      <c r="A749" t="s">
        <v>72</v>
      </c>
      <c r="B749" t="s">
        <v>14959</v>
      </c>
      <c r="C749" t="s">
        <v>74</v>
      </c>
      <c r="D749" t="s">
        <v>74</v>
      </c>
      <c r="E749" t="s">
        <v>74</v>
      </c>
      <c r="F749" t="s">
        <v>14960</v>
      </c>
      <c r="G749" t="s">
        <v>74</v>
      </c>
      <c r="H749" t="s">
        <v>74</v>
      </c>
      <c r="I749" t="s">
        <v>14961</v>
      </c>
      <c r="J749" t="s">
        <v>3158</v>
      </c>
      <c r="K749" t="s">
        <v>74</v>
      </c>
      <c r="L749" t="s">
        <v>74</v>
      </c>
      <c r="M749" t="s">
        <v>78</v>
      </c>
      <c r="N749" t="s">
        <v>79</v>
      </c>
      <c r="O749" t="s">
        <v>74</v>
      </c>
      <c r="P749" t="s">
        <v>74</v>
      </c>
      <c r="Q749" t="s">
        <v>74</v>
      </c>
      <c r="R749" t="s">
        <v>74</v>
      </c>
      <c r="S749" t="s">
        <v>74</v>
      </c>
      <c r="T749" t="s">
        <v>14962</v>
      </c>
      <c r="U749" t="s">
        <v>14963</v>
      </c>
      <c r="V749" t="s">
        <v>14964</v>
      </c>
      <c r="W749" t="s">
        <v>14965</v>
      </c>
      <c r="X749" t="s">
        <v>14966</v>
      </c>
      <c r="Y749" t="s">
        <v>14967</v>
      </c>
      <c r="Z749" t="s">
        <v>14968</v>
      </c>
      <c r="AA749" t="s">
        <v>14969</v>
      </c>
      <c r="AB749" t="s">
        <v>14970</v>
      </c>
      <c r="AC749" t="s">
        <v>14971</v>
      </c>
      <c r="AD749" t="s">
        <v>14972</v>
      </c>
      <c r="AE749" t="s">
        <v>14973</v>
      </c>
      <c r="AF749" t="s">
        <v>74</v>
      </c>
      <c r="AG749">
        <v>93</v>
      </c>
      <c r="AH749">
        <v>11</v>
      </c>
      <c r="AI749">
        <v>12</v>
      </c>
      <c r="AJ749">
        <v>7</v>
      </c>
      <c r="AK749">
        <v>46</v>
      </c>
      <c r="AL749" t="s">
        <v>1572</v>
      </c>
      <c r="AM749" t="s">
        <v>1407</v>
      </c>
      <c r="AN749" t="s">
        <v>1573</v>
      </c>
      <c r="AO749" t="s">
        <v>3171</v>
      </c>
      <c r="AP749" t="s">
        <v>3172</v>
      </c>
      <c r="AQ749" t="s">
        <v>74</v>
      </c>
      <c r="AR749" t="s">
        <v>3173</v>
      </c>
      <c r="AS749" t="s">
        <v>3174</v>
      </c>
      <c r="AT749" t="s">
        <v>11892</v>
      </c>
      <c r="AU749">
        <v>2020</v>
      </c>
      <c r="AV749">
        <v>264</v>
      </c>
      <c r="AW749" t="s">
        <v>74</v>
      </c>
      <c r="AX749" t="s">
        <v>74</v>
      </c>
      <c r="AY749" t="s">
        <v>74</v>
      </c>
      <c r="AZ749" t="s">
        <v>74</v>
      </c>
      <c r="BA749" t="s">
        <v>74</v>
      </c>
      <c r="BB749" t="s">
        <v>74</v>
      </c>
      <c r="BC749" t="s">
        <v>74</v>
      </c>
      <c r="BD749">
        <v>114711</v>
      </c>
      <c r="BE749" t="s">
        <v>14974</v>
      </c>
      <c r="BF749" t="str">
        <f>HYPERLINK("http://dx.doi.org/10.1016/j.envpol.2020.114711","http://dx.doi.org/10.1016/j.envpol.2020.114711")</f>
        <v>http://dx.doi.org/10.1016/j.envpol.2020.114711</v>
      </c>
      <c r="BG749" t="s">
        <v>74</v>
      </c>
      <c r="BH749" t="s">
        <v>74</v>
      </c>
      <c r="BI749">
        <v>10</v>
      </c>
      <c r="BJ749" t="s">
        <v>283</v>
      </c>
      <c r="BK749" t="s">
        <v>100</v>
      </c>
      <c r="BL749" t="s">
        <v>284</v>
      </c>
      <c r="BM749" t="s">
        <v>14975</v>
      </c>
      <c r="BN749">
        <v>32559867</v>
      </c>
      <c r="BO749" t="s">
        <v>14976</v>
      </c>
      <c r="BP749" t="s">
        <v>74</v>
      </c>
      <c r="BQ749" t="s">
        <v>74</v>
      </c>
      <c r="BR749" t="s">
        <v>104</v>
      </c>
      <c r="BS749" t="s">
        <v>14977</v>
      </c>
      <c r="BT749" t="str">
        <f>HYPERLINK("https%3A%2F%2Fwww.webofscience.com%2Fwos%2Fwoscc%2Ffull-record%2FWOS:000540263400059","View Full Record in Web of Science")</f>
        <v>View Full Record in Web of Science</v>
      </c>
    </row>
    <row r="750" spans="1:72" x14ac:dyDescent="0.15">
      <c r="A750" t="s">
        <v>72</v>
      </c>
      <c r="B750" t="s">
        <v>14978</v>
      </c>
      <c r="C750" t="s">
        <v>74</v>
      </c>
      <c r="D750" t="s">
        <v>74</v>
      </c>
      <c r="E750" t="s">
        <v>74</v>
      </c>
      <c r="F750" t="s">
        <v>14979</v>
      </c>
      <c r="G750" t="s">
        <v>74</v>
      </c>
      <c r="H750" t="s">
        <v>74</v>
      </c>
      <c r="I750" t="s">
        <v>14980</v>
      </c>
      <c r="J750" t="s">
        <v>8781</v>
      </c>
      <c r="K750" t="s">
        <v>74</v>
      </c>
      <c r="L750" t="s">
        <v>74</v>
      </c>
      <c r="M750" t="s">
        <v>78</v>
      </c>
      <c r="N750" t="s">
        <v>79</v>
      </c>
      <c r="O750" t="s">
        <v>74</v>
      </c>
      <c r="P750" t="s">
        <v>74</v>
      </c>
      <c r="Q750" t="s">
        <v>74</v>
      </c>
      <c r="R750" t="s">
        <v>74</v>
      </c>
      <c r="S750" t="s">
        <v>74</v>
      </c>
      <c r="T750" t="s">
        <v>14981</v>
      </c>
      <c r="U750" t="s">
        <v>14982</v>
      </c>
      <c r="V750" t="s">
        <v>14983</v>
      </c>
      <c r="W750" t="s">
        <v>14984</v>
      </c>
      <c r="X750" t="s">
        <v>13106</v>
      </c>
      <c r="Y750" t="s">
        <v>14985</v>
      </c>
      <c r="Z750" t="s">
        <v>14986</v>
      </c>
      <c r="AA750" t="s">
        <v>14987</v>
      </c>
      <c r="AB750" t="s">
        <v>14988</v>
      </c>
      <c r="AC750" t="s">
        <v>14989</v>
      </c>
      <c r="AD750" t="s">
        <v>14990</v>
      </c>
      <c r="AE750" t="s">
        <v>14991</v>
      </c>
      <c r="AF750" t="s">
        <v>74</v>
      </c>
      <c r="AG750">
        <v>51</v>
      </c>
      <c r="AH750">
        <v>7</v>
      </c>
      <c r="AI750">
        <v>7</v>
      </c>
      <c r="AJ750">
        <v>1</v>
      </c>
      <c r="AK750">
        <v>11</v>
      </c>
      <c r="AL750" t="s">
        <v>275</v>
      </c>
      <c r="AM750" t="s">
        <v>276</v>
      </c>
      <c r="AN750" t="s">
        <v>277</v>
      </c>
      <c r="AO750" t="s">
        <v>8793</v>
      </c>
      <c r="AP750" t="s">
        <v>8794</v>
      </c>
      <c r="AQ750" t="s">
        <v>74</v>
      </c>
      <c r="AR750" t="s">
        <v>8795</v>
      </c>
      <c r="AS750" t="s">
        <v>8796</v>
      </c>
      <c r="AT750" t="s">
        <v>11892</v>
      </c>
      <c r="AU750">
        <v>2020</v>
      </c>
      <c r="AV750">
        <v>229</v>
      </c>
      <c r="AW750" t="s">
        <v>74</v>
      </c>
      <c r="AX750" t="s">
        <v>74</v>
      </c>
      <c r="AY750" t="s">
        <v>74</v>
      </c>
      <c r="AZ750" t="s">
        <v>74</v>
      </c>
      <c r="BA750" t="s">
        <v>74</v>
      </c>
      <c r="BB750" t="s">
        <v>74</v>
      </c>
      <c r="BC750" t="s">
        <v>74</v>
      </c>
      <c r="BD750">
        <v>105575</v>
      </c>
      <c r="BE750" t="s">
        <v>14992</v>
      </c>
      <c r="BF750" t="str">
        <f>HYPERLINK("http://dx.doi.org/10.1016/j.fishres.2020.105575","http://dx.doi.org/10.1016/j.fishres.2020.105575")</f>
        <v>http://dx.doi.org/10.1016/j.fishres.2020.105575</v>
      </c>
      <c r="BG750" t="s">
        <v>74</v>
      </c>
      <c r="BH750" t="s">
        <v>74</v>
      </c>
      <c r="BI750">
        <v>10</v>
      </c>
      <c r="BJ750" t="s">
        <v>439</v>
      </c>
      <c r="BK750" t="s">
        <v>100</v>
      </c>
      <c r="BL750" t="s">
        <v>439</v>
      </c>
      <c r="BM750" t="s">
        <v>14993</v>
      </c>
      <c r="BN750" t="s">
        <v>74</v>
      </c>
      <c r="BO750" t="s">
        <v>701</v>
      </c>
      <c r="BP750" t="s">
        <v>74</v>
      </c>
      <c r="BQ750" t="s">
        <v>74</v>
      </c>
      <c r="BR750" t="s">
        <v>104</v>
      </c>
      <c r="BS750" t="s">
        <v>14994</v>
      </c>
      <c r="BT750" t="str">
        <f>HYPERLINK("https%3A%2F%2Fwww.webofscience.com%2Fwos%2Fwoscc%2Ffull-record%2FWOS:000539099200003","View Full Record in Web of Science")</f>
        <v>View Full Record in Web of Science</v>
      </c>
    </row>
    <row r="751" spans="1:72" x14ac:dyDescent="0.15">
      <c r="A751" t="s">
        <v>72</v>
      </c>
      <c r="B751" t="s">
        <v>14995</v>
      </c>
      <c r="C751" t="s">
        <v>74</v>
      </c>
      <c r="D751" t="s">
        <v>74</v>
      </c>
      <c r="E751" t="s">
        <v>74</v>
      </c>
      <c r="F751" t="s">
        <v>14996</v>
      </c>
      <c r="G751" t="s">
        <v>74</v>
      </c>
      <c r="H751" t="s">
        <v>74</v>
      </c>
      <c r="I751" t="s">
        <v>14997</v>
      </c>
      <c r="J751" t="s">
        <v>3331</v>
      </c>
      <c r="K751" t="s">
        <v>74</v>
      </c>
      <c r="L751" t="s">
        <v>74</v>
      </c>
      <c r="M751" t="s">
        <v>78</v>
      </c>
      <c r="N751" t="s">
        <v>79</v>
      </c>
      <c r="O751" t="s">
        <v>74</v>
      </c>
      <c r="P751" t="s">
        <v>74</v>
      </c>
      <c r="Q751" t="s">
        <v>74</v>
      </c>
      <c r="R751" t="s">
        <v>74</v>
      </c>
      <c r="S751" t="s">
        <v>74</v>
      </c>
      <c r="T751" t="s">
        <v>14998</v>
      </c>
      <c r="U751" t="s">
        <v>14999</v>
      </c>
      <c r="V751" t="s">
        <v>15000</v>
      </c>
      <c r="W751" t="s">
        <v>15001</v>
      </c>
      <c r="X751" t="s">
        <v>15002</v>
      </c>
      <c r="Y751" t="s">
        <v>15003</v>
      </c>
      <c r="Z751" t="s">
        <v>15004</v>
      </c>
      <c r="AA751" t="s">
        <v>15005</v>
      </c>
      <c r="AB751" t="s">
        <v>15006</v>
      </c>
      <c r="AC751" t="s">
        <v>15007</v>
      </c>
      <c r="AD751" t="s">
        <v>15008</v>
      </c>
      <c r="AE751" t="s">
        <v>15009</v>
      </c>
      <c r="AF751" t="s">
        <v>74</v>
      </c>
      <c r="AG751">
        <v>46</v>
      </c>
      <c r="AH751">
        <v>6</v>
      </c>
      <c r="AI751">
        <v>7</v>
      </c>
      <c r="AJ751">
        <v>0</v>
      </c>
      <c r="AK751">
        <v>19</v>
      </c>
      <c r="AL751" t="s">
        <v>1522</v>
      </c>
      <c r="AM751" t="s">
        <v>1407</v>
      </c>
      <c r="AN751" t="s">
        <v>1523</v>
      </c>
      <c r="AO751" t="s">
        <v>3342</v>
      </c>
      <c r="AP751" t="s">
        <v>3343</v>
      </c>
      <c r="AQ751" t="s">
        <v>74</v>
      </c>
      <c r="AR751" t="s">
        <v>3331</v>
      </c>
      <c r="AS751" t="s">
        <v>3344</v>
      </c>
      <c r="AT751" t="s">
        <v>11892</v>
      </c>
      <c r="AU751">
        <v>2020</v>
      </c>
      <c r="AV751">
        <v>255</v>
      </c>
      <c r="AW751" t="s">
        <v>74</v>
      </c>
      <c r="AX751" t="s">
        <v>74</v>
      </c>
      <c r="AY751" t="s">
        <v>74</v>
      </c>
      <c r="AZ751" t="s">
        <v>74</v>
      </c>
      <c r="BA751" t="s">
        <v>74</v>
      </c>
      <c r="BB751" t="s">
        <v>74</v>
      </c>
      <c r="BC751" t="s">
        <v>74</v>
      </c>
      <c r="BD751">
        <v>126858</v>
      </c>
      <c r="BE751" t="s">
        <v>15010</v>
      </c>
      <c r="BF751" t="str">
        <f>HYPERLINK("http://dx.doi.org/10.1016/j.chemosphere.2020.126858","http://dx.doi.org/10.1016/j.chemosphere.2020.126858")</f>
        <v>http://dx.doi.org/10.1016/j.chemosphere.2020.126858</v>
      </c>
      <c r="BG751" t="s">
        <v>74</v>
      </c>
      <c r="BH751" t="s">
        <v>74</v>
      </c>
      <c r="BI751">
        <v>9</v>
      </c>
      <c r="BJ751" t="s">
        <v>283</v>
      </c>
      <c r="BK751" t="s">
        <v>100</v>
      </c>
      <c r="BL751" t="s">
        <v>284</v>
      </c>
      <c r="BM751" t="s">
        <v>15011</v>
      </c>
      <c r="BN751">
        <v>32387726</v>
      </c>
      <c r="BO751" t="s">
        <v>74</v>
      </c>
      <c r="BP751" t="s">
        <v>74</v>
      </c>
      <c r="BQ751" t="s">
        <v>74</v>
      </c>
      <c r="BR751" t="s">
        <v>104</v>
      </c>
      <c r="BS751" t="s">
        <v>15012</v>
      </c>
      <c r="BT751" t="str">
        <f>HYPERLINK("https%3A%2F%2Fwww.webofscience.com%2Fwos%2Fwoscc%2Ffull-record%2FWOS:000538127800011","View Full Record in Web of Science")</f>
        <v>View Full Record in Web of Science</v>
      </c>
    </row>
    <row r="752" spans="1:72" x14ac:dyDescent="0.15">
      <c r="A752" t="s">
        <v>72</v>
      </c>
      <c r="B752" t="s">
        <v>15013</v>
      </c>
      <c r="C752" t="s">
        <v>74</v>
      </c>
      <c r="D752" t="s">
        <v>74</v>
      </c>
      <c r="E752" t="s">
        <v>74</v>
      </c>
      <c r="F752" t="s">
        <v>15014</v>
      </c>
      <c r="G752" t="s">
        <v>74</v>
      </c>
      <c r="H752" t="s">
        <v>74</v>
      </c>
      <c r="I752" t="s">
        <v>15015</v>
      </c>
      <c r="J752" t="s">
        <v>3019</v>
      </c>
      <c r="K752" t="s">
        <v>74</v>
      </c>
      <c r="L752" t="s">
        <v>74</v>
      </c>
      <c r="M752" t="s">
        <v>78</v>
      </c>
      <c r="N752" t="s">
        <v>79</v>
      </c>
      <c r="O752" t="s">
        <v>74</v>
      </c>
      <c r="P752" t="s">
        <v>74</v>
      </c>
      <c r="Q752" t="s">
        <v>74</v>
      </c>
      <c r="R752" t="s">
        <v>74</v>
      </c>
      <c r="S752" t="s">
        <v>74</v>
      </c>
      <c r="T752" t="s">
        <v>15016</v>
      </c>
      <c r="U752" t="s">
        <v>15017</v>
      </c>
      <c r="V752" t="s">
        <v>15018</v>
      </c>
      <c r="W752" t="s">
        <v>15019</v>
      </c>
      <c r="X752" t="s">
        <v>15020</v>
      </c>
      <c r="Y752" t="s">
        <v>12555</v>
      </c>
      <c r="Z752" t="s">
        <v>12556</v>
      </c>
      <c r="AA752" t="s">
        <v>15021</v>
      </c>
      <c r="AB752" t="s">
        <v>15022</v>
      </c>
      <c r="AC752" t="s">
        <v>15023</v>
      </c>
      <c r="AD752" t="s">
        <v>346</v>
      </c>
      <c r="AE752" t="s">
        <v>15024</v>
      </c>
      <c r="AF752" t="s">
        <v>74</v>
      </c>
      <c r="AG752">
        <v>91</v>
      </c>
      <c r="AH752">
        <v>12</v>
      </c>
      <c r="AI752">
        <v>15</v>
      </c>
      <c r="AJ752">
        <v>4</v>
      </c>
      <c r="AK752">
        <v>49</v>
      </c>
      <c r="AL752" t="s">
        <v>3032</v>
      </c>
      <c r="AM752" t="s">
        <v>483</v>
      </c>
      <c r="AN752" t="s">
        <v>3033</v>
      </c>
      <c r="AO752" t="s">
        <v>3034</v>
      </c>
      <c r="AP752" t="s">
        <v>3035</v>
      </c>
      <c r="AQ752" t="s">
        <v>74</v>
      </c>
      <c r="AR752" t="s">
        <v>3036</v>
      </c>
      <c r="AS752" t="s">
        <v>3037</v>
      </c>
      <c r="AT752" t="s">
        <v>12502</v>
      </c>
      <c r="AU752">
        <v>2020</v>
      </c>
      <c r="AV752">
        <v>246</v>
      </c>
      <c r="AW752" t="s">
        <v>74</v>
      </c>
      <c r="AX752" t="s">
        <v>74</v>
      </c>
      <c r="AY752" t="s">
        <v>74</v>
      </c>
      <c r="AZ752" t="s">
        <v>74</v>
      </c>
      <c r="BA752" t="s">
        <v>74</v>
      </c>
      <c r="BB752" t="s">
        <v>74</v>
      </c>
      <c r="BC752" t="s">
        <v>74</v>
      </c>
      <c r="BD752">
        <v>111835</v>
      </c>
      <c r="BE752" t="s">
        <v>15025</v>
      </c>
      <c r="BF752" t="str">
        <f>HYPERLINK("http://dx.doi.org/10.1016/j.rse.2020.111835","http://dx.doi.org/10.1016/j.rse.2020.111835")</f>
        <v>http://dx.doi.org/10.1016/j.rse.2020.111835</v>
      </c>
      <c r="BG752" t="s">
        <v>74</v>
      </c>
      <c r="BH752" t="s">
        <v>74</v>
      </c>
      <c r="BI752">
        <v>11</v>
      </c>
      <c r="BJ752" t="s">
        <v>3039</v>
      </c>
      <c r="BK752" t="s">
        <v>100</v>
      </c>
      <c r="BL752" t="s">
        <v>3040</v>
      </c>
      <c r="BM752" t="s">
        <v>15026</v>
      </c>
      <c r="BN752" t="s">
        <v>74</v>
      </c>
      <c r="BO752" t="s">
        <v>74</v>
      </c>
      <c r="BP752" t="s">
        <v>74</v>
      </c>
      <c r="BQ752" t="s">
        <v>74</v>
      </c>
      <c r="BR752" t="s">
        <v>104</v>
      </c>
      <c r="BS752" t="s">
        <v>15027</v>
      </c>
      <c r="BT752" t="str">
        <f>HYPERLINK("https%3A%2F%2Fwww.webofscience.com%2Fwos%2Fwoscc%2Ffull-record%2FWOS:000537691800012","View Full Record in Web of Science")</f>
        <v>View Full Record in Web of Science</v>
      </c>
    </row>
    <row r="753" spans="1:72" x14ac:dyDescent="0.15">
      <c r="A753" t="s">
        <v>72</v>
      </c>
      <c r="B753" t="s">
        <v>15028</v>
      </c>
      <c r="C753" t="s">
        <v>74</v>
      </c>
      <c r="D753" t="s">
        <v>74</v>
      </c>
      <c r="E753" t="s">
        <v>74</v>
      </c>
      <c r="F753" t="s">
        <v>15029</v>
      </c>
      <c r="G753" t="s">
        <v>74</v>
      </c>
      <c r="H753" t="s">
        <v>74</v>
      </c>
      <c r="I753" t="s">
        <v>15030</v>
      </c>
      <c r="J753" t="s">
        <v>15031</v>
      </c>
      <c r="K753" t="s">
        <v>74</v>
      </c>
      <c r="L753" t="s">
        <v>74</v>
      </c>
      <c r="M753" t="s">
        <v>78</v>
      </c>
      <c r="N753" t="s">
        <v>79</v>
      </c>
      <c r="O753" t="s">
        <v>74</v>
      </c>
      <c r="P753" t="s">
        <v>74</v>
      </c>
      <c r="Q753" t="s">
        <v>74</v>
      </c>
      <c r="R753" t="s">
        <v>74</v>
      </c>
      <c r="S753" t="s">
        <v>74</v>
      </c>
      <c r="T753" t="s">
        <v>15032</v>
      </c>
      <c r="U753" t="s">
        <v>15033</v>
      </c>
      <c r="V753" t="s">
        <v>15034</v>
      </c>
      <c r="W753" t="s">
        <v>15035</v>
      </c>
      <c r="X753" t="s">
        <v>15036</v>
      </c>
      <c r="Y753" t="s">
        <v>15037</v>
      </c>
      <c r="Z753" t="s">
        <v>15038</v>
      </c>
      <c r="AA753" t="s">
        <v>15039</v>
      </c>
      <c r="AB753" t="s">
        <v>15040</v>
      </c>
      <c r="AC753" t="s">
        <v>15041</v>
      </c>
      <c r="AD753" t="s">
        <v>15042</v>
      </c>
      <c r="AE753" t="s">
        <v>15043</v>
      </c>
      <c r="AF753" t="s">
        <v>74</v>
      </c>
      <c r="AG753">
        <v>54</v>
      </c>
      <c r="AH753">
        <v>3</v>
      </c>
      <c r="AI753">
        <v>5</v>
      </c>
      <c r="AJ753">
        <v>2</v>
      </c>
      <c r="AK753">
        <v>19</v>
      </c>
      <c r="AL753" t="s">
        <v>692</v>
      </c>
      <c r="AM753" t="s">
        <v>693</v>
      </c>
      <c r="AN753" t="s">
        <v>694</v>
      </c>
      <c r="AO753" t="s">
        <v>15044</v>
      </c>
      <c r="AP753" t="s">
        <v>15045</v>
      </c>
      <c r="AQ753" t="s">
        <v>74</v>
      </c>
      <c r="AR753" t="s">
        <v>15031</v>
      </c>
      <c r="AS753" t="s">
        <v>15046</v>
      </c>
      <c r="AT753" t="s">
        <v>2066</v>
      </c>
      <c r="AU753">
        <v>2020</v>
      </c>
      <c r="AV753">
        <v>59</v>
      </c>
      <c r="AW753">
        <v>6</v>
      </c>
      <c r="AX753" t="s">
        <v>74</v>
      </c>
      <c r="AY753" t="s">
        <v>74</v>
      </c>
      <c r="AZ753" t="s">
        <v>74</v>
      </c>
      <c r="BA753" t="s">
        <v>74</v>
      </c>
      <c r="BB753">
        <v>506</v>
      </c>
      <c r="BC753">
        <v>514</v>
      </c>
      <c r="BD753" t="s">
        <v>74</v>
      </c>
      <c r="BE753" t="s">
        <v>15047</v>
      </c>
      <c r="BF753" t="str">
        <f>HYPERLINK("http://dx.doi.org/10.1080/00318884.2020.1802950","http://dx.doi.org/10.1080/00318884.2020.1802950")</f>
        <v>http://dx.doi.org/10.1080/00318884.2020.1802950</v>
      </c>
      <c r="BG753" t="s">
        <v>74</v>
      </c>
      <c r="BH753" t="s">
        <v>15048</v>
      </c>
      <c r="BI753">
        <v>9</v>
      </c>
      <c r="BJ753" t="s">
        <v>7871</v>
      </c>
      <c r="BK753" t="s">
        <v>100</v>
      </c>
      <c r="BL753" t="s">
        <v>7871</v>
      </c>
      <c r="BM753" t="s">
        <v>15049</v>
      </c>
      <c r="BN753" t="s">
        <v>74</v>
      </c>
      <c r="BO753" t="s">
        <v>74</v>
      </c>
      <c r="BP753" t="s">
        <v>74</v>
      </c>
      <c r="BQ753" t="s">
        <v>74</v>
      </c>
      <c r="BR753" t="s">
        <v>104</v>
      </c>
      <c r="BS753" t="s">
        <v>15050</v>
      </c>
      <c r="BT753" t="str">
        <f>HYPERLINK("https%3A%2F%2Fwww.webofscience.com%2Fwos%2Fwoscc%2Ffull-record%2FWOS:000568082200001","View Full Record in Web of Science")</f>
        <v>View Full Record in Web of Science</v>
      </c>
    </row>
    <row r="754" spans="1:72" x14ac:dyDescent="0.15">
      <c r="A754" t="s">
        <v>72</v>
      </c>
      <c r="B754" t="s">
        <v>15051</v>
      </c>
      <c r="C754" t="s">
        <v>74</v>
      </c>
      <c r="D754" t="s">
        <v>74</v>
      </c>
      <c r="E754" t="s">
        <v>74</v>
      </c>
      <c r="F754" t="s">
        <v>15052</v>
      </c>
      <c r="G754" t="s">
        <v>74</v>
      </c>
      <c r="H754" t="s">
        <v>74</v>
      </c>
      <c r="I754" t="s">
        <v>15053</v>
      </c>
      <c r="J754" t="s">
        <v>77</v>
      </c>
      <c r="K754" t="s">
        <v>74</v>
      </c>
      <c r="L754" t="s">
        <v>74</v>
      </c>
      <c r="M754" t="s">
        <v>78</v>
      </c>
      <c r="N754" t="s">
        <v>79</v>
      </c>
      <c r="O754" t="s">
        <v>74</v>
      </c>
      <c r="P754" t="s">
        <v>74</v>
      </c>
      <c r="Q754" t="s">
        <v>74</v>
      </c>
      <c r="R754" t="s">
        <v>74</v>
      </c>
      <c r="S754" t="s">
        <v>74</v>
      </c>
      <c r="T754" t="s">
        <v>74</v>
      </c>
      <c r="U754" t="s">
        <v>15054</v>
      </c>
      <c r="V754" t="s">
        <v>15055</v>
      </c>
      <c r="W754" t="s">
        <v>15056</v>
      </c>
      <c r="X754" t="s">
        <v>15057</v>
      </c>
      <c r="Y754" t="s">
        <v>15058</v>
      </c>
      <c r="Z754" t="s">
        <v>15059</v>
      </c>
      <c r="AA754" t="s">
        <v>15060</v>
      </c>
      <c r="AB754" t="s">
        <v>15061</v>
      </c>
      <c r="AC754" t="s">
        <v>15062</v>
      </c>
      <c r="AD754" t="s">
        <v>15063</v>
      </c>
      <c r="AE754" t="s">
        <v>15064</v>
      </c>
      <c r="AF754" t="s">
        <v>74</v>
      </c>
      <c r="AG754">
        <v>79</v>
      </c>
      <c r="AH754">
        <v>12</v>
      </c>
      <c r="AI754">
        <v>14</v>
      </c>
      <c r="AJ754">
        <v>1</v>
      </c>
      <c r="AK754">
        <v>10</v>
      </c>
      <c r="AL754" t="s">
        <v>91</v>
      </c>
      <c r="AM754" t="s">
        <v>92</v>
      </c>
      <c r="AN754" t="s">
        <v>93</v>
      </c>
      <c r="AO754" t="s">
        <v>94</v>
      </c>
      <c r="AP754" t="s">
        <v>95</v>
      </c>
      <c r="AQ754" t="s">
        <v>74</v>
      </c>
      <c r="AR754" t="s">
        <v>77</v>
      </c>
      <c r="AS754" t="s">
        <v>96</v>
      </c>
      <c r="AT754" t="s">
        <v>15065</v>
      </c>
      <c r="AU754">
        <v>2020</v>
      </c>
      <c r="AV754">
        <v>14</v>
      </c>
      <c r="AW754">
        <v>8</v>
      </c>
      <c r="AX754" t="s">
        <v>74</v>
      </c>
      <c r="AY754" t="s">
        <v>74</v>
      </c>
      <c r="AZ754" t="s">
        <v>74</v>
      </c>
      <c r="BA754" t="s">
        <v>74</v>
      </c>
      <c r="BB754">
        <v>2775</v>
      </c>
      <c r="BC754">
        <v>2793</v>
      </c>
      <c r="BD754" t="s">
        <v>74</v>
      </c>
      <c r="BE754" t="s">
        <v>15066</v>
      </c>
      <c r="BF754" t="str">
        <f>HYPERLINK("http://dx.doi.org/10.5194/tc-14-2775-2020","http://dx.doi.org/10.5194/tc-14-2775-2020")</f>
        <v>http://dx.doi.org/10.5194/tc-14-2775-2020</v>
      </c>
      <c r="BG754" t="s">
        <v>74</v>
      </c>
      <c r="BH754" t="s">
        <v>74</v>
      </c>
      <c r="BI754">
        <v>19</v>
      </c>
      <c r="BJ754" t="s">
        <v>99</v>
      </c>
      <c r="BK754" t="s">
        <v>100</v>
      </c>
      <c r="BL754" t="s">
        <v>101</v>
      </c>
      <c r="BM754" t="s">
        <v>15067</v>
      </c>
      <c r="BN754" t="s">
        <v>74</v>
      </c>
      <c r="BO754" t="s">
        <v>677</v>
      </c>
      <c r="BP754" t="s">
        <v>74</v>
      </c>
      <c r="BQ754" t="s">
        <v>74</v>
      </c>
      <c r="BR754" t="s">
        <v>104</v>
      </c>
      <c r="BS754" t="s">
        <v>15068</v>
      </c>
      <c r="BT754" t="str">
        <f>HYPERLINK("https%3A%2F%2Fwww.webofscience.com%2Fwos%2Fwoscc%2Ffull-record%2FWOS:000566780900001","View Full Record in Web of Science")</f>
        <v>View Full Record in Web of Science</v>
      </c>
    </row>
    <row r="755" spans="1:72" x14ac:dyDescent="0.15">
      <c r="A755" t="s">
        <v>72</v>
      </c>
      <c r="B755" t="s">
        <v>15069</v>
      </c>
      <c r="C755" t="s">
        <v>74</v>
      </c>
      <c r="D755" t="s">
        <v>74</v>
      </c>
      <c r="E755" t="s">
        <v>74</v>
      </c>
      <c r="F755" t="s">
        <v>15070</v>
      </c>
      <c r="G755" t="s">
        <v>74</v>
      </c>
      <c r="H755" t="s">
        <v>74</v>
      </c>
      <c r="I755" t="s">
        <v>15071</v>
      </c>
      <c r="J755" t="s">
        <v>4328</v>
      </c>
      <c r="K755" t="s">
        <v>74</v>
      </c>
      <c r="L755" t="s">
        <v>74</v>
      </c>
      <c r="M755" t="s">
        <v>78</v>
      </c>
      <c r="N755" t="s">
        <v>79</v>
      </c>
      <c r="O755" t="s">
        <v>74</v>
      </c>
      <c r="P755" t="s">
        <v>74</v>
      </c>
      <c r="Q755" t="s">
        <v>74</v>
      </c>
      <c r="R755" t="s">
        <v>74</v>
      </c>
      <c r="S755" t="s">
        <v>74</v>
      </c>
      <c r="T755" t="s">
        <v>74</v>
      </c>
      <c r="U755" t="s">
        <v>15072</v>
      </c>
      <c r="V755" t="s">
        <v>15073</v>
      </c>
      <c r="W755" t="s">
        <v>15074</v>
      </c>
      <c r="X755" t="s">
        <v>15075</v>
      </c>
      <c r="Y755" t="s">
        <v>15076</v>
      </c>
      <c r="Z755" t="s">
        <v>15077</v>
      </c>
      <c r="AA755" t="s">
        <v>15078</v>
      </c>
      <c r="AB755" t="s">
        <v>15079</v>
      </c>
      <c r="AC755" t="s">
        <v>15080</v>
      </c>
      <c r="AD755" t="s">
        <v>15081</v>
      </c>
      <c r="AE755" t="s">
        <v>15082</v>
      </c>
      <c r="AF755" t="s">
        <v>74</v>
      </c>
      <c r="AG755">
        <v>62</v>
      </c>
      <c r="AH755">
        <v>36</v>
      </c>
      <c r="AI755">
        <v>40</v>
      </c>
      <c r="AJ755">
        <v>4</v>
      </c>
      <c r="AK755">
        <v>45</v>
      </c>
      <c r="AL755" t="s">
        <v>413</v>
      </c>
      <c r="AM755" t="s">
        <v>322</v>
      </c>
      <c r="AN755" t="s">
        <v>323</v>
      </c>
      <c r="AO755" t="s">
        <v>4340</v>
      </c>
      <c r="AP755" t="s">
        <v>4341</v>
      </c>
      <c r="AQ755" t="s">
        <v>74</v>
      </c>
      <c r="AR755" t="s">
        <v>4342</v>
      </c>
      <c r="AS755" t="s">
        <v>4343</v>
      </c>
      <c r="AT755" t="s">
        <v>11892</v>
      </c>
      <c r="AU755">
        <v>2020</v>
      </c>
      <c r="AV755">
        <v>13</v>
      </c>
      <c r="AW755">
        <v>9</v>
      </c>
      <c r="AX755" t="s">
        <v>74</v>
      </c>
      <c r="AY755" t="s">
        <v>74</v>
      </c>
      <c r="AZ755" t="s">
        <v>74</v>
      </c>
      <c r="BA755" t="s">
        <v>74</v>
      </c>
      <c r="BB755">
        <v>634</v>
      </c>
      <c r="BC755" t="s">
        <v>614</v>
      </c>
      <c r="BD755" t="s">
        <v>74</v>
      </c>
      <c r="BE755" t="s">
        <v>15083</v>
      </c>
      <c r="BF755" t="str">
        <f>HYPERLINK("http://dx.doi.org/10.1038/s41561-020-0623-0","http://dx.doi.org/10.1038/s41561-020-0623-0")</f>
        <v>http://dx.doi.org/10.1038/s41561-020-0623-0</v>
      </c>
      <c r="BG755" t="s">
        <v>74</v>
      </c>
      <c r="BH755" t="s">
        <v>15048</v>
      </c>
      <c r="BI755">
        <v>8</v>
      </c>
      <c r="BJ755" t="s">
        <v>534</v>
      </c>
      <c r="BK755" t="s">
        <v>100</v>
      </c>
      <c r="BL755" t="s">
        <v>535</v>
      </c>
      <c r="BM755" t="s">
        <v>15084</v>
      </c>
      <c r="BN755" t="s">
        <v>74</v>
      </c>
      <c r="BO755" t="s">
        <v>701</v>
      </c>
      <c r="BP755" t="s">
        <v>74</v>
      </c>
      <c r="BQ755" t="s">
        <v>74</v>
      </c>
      <c r="BR755" t="s">
        <v>104</v>
      </c>
      <c r="BS755" t="s">
        <v>15085</v>
      </c>
      <c r="BT755" t="str">
        <f>HYPERLINK("https%3A%2F%2Fwww.webofscience.com%2Fwos%2Fwoscc%2Ffull-record%2FWOS:000565156600001","View Full Record in Web of Science")</f>
        <v>View Full Record in Web of Science</v>
      </c>
    </row>
    <row r="756" spans="1:72" x14ac:dyDescent="0.15">
      <c r="A756" t="s">
        <v>72</v>
      </c>
      <c r="B756" t="s">
        <v>15086</v>
      </c>
      <c r="C756" t="s">
        <v>74</v>
      </c>
      <c r="D756" t="s">
        <v>74</v>
      </c>
      <c r="E756" t="s">
        <v>74</v>
      </c>
      <c r="F756" t="s">
        <v>15087</v>
      </c>
      <c r="G756" t="s">
        <v>74</v>
      </c>
      <c r="H756" t="s">
        <v>74</v>
      </c>
      <c r="I756" t="s">
        <v>15088</v>
      </c>
      <c r="J756" t="s">
        <v>14648</v>
      </c>
      <c r="K756" t="s">
        <v>74</v>
      </c>
      <c r="L756" t="s">
        <v>74</v>
      </c>
      <c r="M756" t="s">
        <v>78</v>
      </c>
      <c r="N756" t="s">
        <v>79</v>
      </c>
      <c r="O756" t="s">
        <v>74</v>
      </c>
      <c r="P756" t="s">
        <v>74</v>
      </c>
      <c r="Q756" t="s">
        <v>74</v>
      </c>
      <c r="R756" t="s">
        <v>74</v>
      </c>
      <c r="S756" t="s">
        <v>74</v>
      </c>
      <c r="T756" t="s">
        <v>15089</v>
      </c>
      <c r="U756" t="s">
        <v>15090</v>
      </c>
      <c r="V756" t="s">
        <v>15091</v>
      </c>
      <c r="W756" t="s">
        <v>15092</v>
      </c>
      <c r="X756" t="s">
        <v>15093</v>
      </c>
      <c r="Y756" t="s">
        <v>15094</v>
      </c>
      <c r="Z756" t="s">
        <v>15095</v>
      </c>
      <c r="AA756" t="s">
        <v>74</v>
      </c>
      <c r="AB756" t="s">
        <v>15096</v>
      </c>
      <c r="AC756" t="s">
        <v>74</v>
      </c>
      <c r="AD756" t="s">
        <v>74</v>
      </c>
      <c r="AE756" t="s">
        <v>74</v>
      </c>
      <c r="AF756" t="s">
        <v>74</v>
      </c>
      <c r="AG756">
        <v>71</v>
      </c>
      <c r="AH756">
        <v>5</v>
      </c>
      <c r="AI756">
        <v>6</v>
      </c>
      <c r="AJ756">
        <v>1</v>
      </c>
      <c r="AK756">
        <v>16</v>
      </c>
      <c r="AL756" t="s">
        <v>219</v>
      </c>
      <c r="AM756" t="s">
        <v>220</v>
      </c>
      <c r="AN756" t="s">
        <v>6220</v>
      </c>
      <c r="AO756" t="s">
        <v>74</v>
      </c>
      <c r="AP756" t="s">
        <v>14660</v>
      </c>
      <c r="AQ756" t="s">
        <v>74</v>
      </c>
      <c r="AR756" t="s">
        <v>14661</v>
      </c>
      <c r="AS756" t="s">
        <v>14662</v>
      </c>
      <c r="AT756" t="s">
        <v>462</v>
      </c>
      <c r="AU756">
        <v>2021</v>
      </c>
      <c r="AV756">
        <v>7</v>
      </c>
      <c r="AW756">
        <v>1</v>
      </c>
      <c r="AX756" t="s">
        <v>74</v>
      </c>
      <c r="AY756" t="s">
        <v>74</v>
      </c>
      <c r="AZ756" t="s">
        <v>74</v>
      </c>
      <c r="BA756" t="s">
        <v>74</v>
      </c>
      <c r="BB756">
        <v>97</v>
      </c>
      <c r="BC756">
        <v>108</v>
      </c>
      <c r="BD756" t="s">
        <v>74</v>
      </c>
      <c r="BE756" t="s">
        <v>15097</v>
      </c>
      <c r="BF756" t="str">
        <f>HYPERLINK("http://dx.doi.org/10.1002/rse2.171","http://dx.doi.org/10.1002/rse2.171")</f>
        <v>http://dx.doi.org/10.1002/rse2.171</v>
      </c>
      <c r="BG756" t="s">
        <v>74</v>
      </c>
      <c r="BH756" t="s">
        <v>15048</v>
      </c>
      <c r="BI756">
        <v>12</v>
      </c>
      <c r="BJ756" t="s">
        <v>14664</v>
      </c>
      <c r="BK756" t="s">
        <v>100</v>
      </c>
      <c r="BL756" t="s">
        <v>10253</v>
      </c>
      <c r="BM756" t="s">
        <v>15098</v>
      </c>
      <c r="BN756">
        <v>33889421</v>
      </c>
      <c r="BO756" t="s">
        <v>2113</v>
      </c>
      <c r="BP756" t="s">
        <v>74</v>
      </c>
      <c r="BQ756" t="s">
        <v>74</v>
      </c>
      <c r="BR756" t="s">
        <v>104</v>
      </c>
      <c r="BS756" t="s">
        <v>15099</v>
      </c>
      <c r="BT756" t="str">
        <f>HYPERLINK("https%3A%2F%2Fwww.webofscience.com%2Fwos%2Fwoscc%2Ffull-record%2FWOS:000564181500001","View Full Record in Web of Science")</f>
        <v>View Full Record in Web of Science</v>
      </c>
    </row>
    <row r="757" spans="1:72" x14ac:dyDescent="0.15">
      <c r="A757" t="s">
        <v>72</v>
      </c>
      <c r="B757" t="s">
        <v>15100</v>
      </c>
      <c r="C757" t="s">
        <v>74</v>
      </c>
      <c r="D757" t="s">
        <v>74</v>
      </c>
      <c r="E757" t="s">
        <v>74</v>
      </c>
      <c r="F757" t="s">
        <v>15101</v>
      </c>
      <c r="G757" t="s">
        <v>74</v>
      </c>
      <c r="H757" t="s">
        <v>74</v>
      </c>
      <c r="I757" t="s">
        <v>15102</v>
      </c>
      <c r="J757" t="s">
        <v>623</v>
      </c>
      <c r="K757" t="s">
        <v>74</v>
      </c>
      <c r="L757" t="s">
        <v>74</v>
      </c>
      <c r="M757" t="s">
        <v>78</v>
      </c>
      <c r="N757" t="s">
        <v>79</v>
      </c>
      <c r="O757" t="s">
        <v>74</v>
      </c>
      <c r="P757" t="s">
        <v>74</v>
      </c>
      <c r="Q757" t="s">
        <v>74</v>
      </c>
      <c r="R757" t="s">
        <v>74</v>
      </c>
      <c r="S757" t="s">
        <v>74</v>
      </c>
      <c r="T757" t="s">
        <v>15103</v>
      </c>
      <c r="U757" t="s">
        <v>15104</v>
      </c>
      <c r="V757" t="s">
        <v>15105</v>
      </c>
      <c r="W757" t="s">
        <v>15106</v>
      </c>
      <c r="X757" t="s">
        <v>15107</v>
      </c>
      <c r="Y757" t="s">
        <v>15108</v>
      </c>
      <c r="Z757" t="s">
        <v>15109</v>
      </c>
      <c r="AA757" t="s">
        <v>15110</v>
      </c>
      <c r="AB757" t="s">
        <v>15111</v>
      </c>
      <c r="AC757" t="s">
        <v>15112</v>
      </c>
      <c r="AD757" t="s">
        <v>15113</v>
      </c>
      <c r="AE757" t="s">
        <v>15114</v>
      </c>
      <c r="AF757" t="s">
        <v>74</v>
      </c>
      <c r="AG757">
        <v>102</v>
      </c>
      <c r="AH757">
        <v>7</v>
      </c>
      <c r="AI757">
        <v>7</v>
      </c>
      <c r="AJ757">
        <v>3</v>
      </c>
      <c r="AK757">
        <v>20</v>
      </c>
      <c r="AL757" t="s">
        <v>635</v>
      </c>
      <c r="AM757" t="s">
        <v>123</v>
      </c>
      <c r="AN757" t="s">
        <v>636</v>
      </c>
      <c r="AO757" t="s">
        <v>637</v>
      </c>
      <c r="AP757" t="s">
        <v>638</v>
      </c>
      <c r="AQ757" t="s">
        <v>74</v>
      </c>
      <c r="AR757" t="s">
        <v>639</v>
      </c>
      <c r="AS757" t="s">
        <v>640</v>
      </c>
      <c r="AT757" t="s">
        <v>15065</v>
      </c>
      <c r="AU757">
        <v>2020</v>
      </c>
      <c r="AV757">
        <v>241</v>
      </c>
      <c r="AW757" t="s">
        <v>74</v>
      </c>
      <c r="AX757" t="s">
        <v>74</v>
      </c>
      <c r="AY757" t="s">
        <v>74</v>
      </c>
      <c r="AZ757" t="s">
        <v>74</v>
      </c>
      <c r="BA757" t="s">
        <v>74</v>
      </c>
      <c r="BB757" t="s">
        <v>74</v>
      </c>
      <c r="BC757" t="s">
        <v>74</v>
      </c>
      <c r="BD757">
        <v>106597</v>
      </c>
      <c r="BE757" t="s">
        <v>15115</v>
      </c>
      <c r="BF757" t="str">
        <f>HYPERLINK("http://dx.doi.org/10.1016/j.ecss.2020.106597","http://dx.doi.org/10.1016/j.ecss.2020.106597")</f>
        <v>http://dx.doi.org/10.1016/j.ecss.2020.106597</v>
      </c>
      <c r="BG757" t="s">
        <v>74</v>
      </c>
      <c r="BH757" t="s">
        <v>74</v>
      </c>
      <c r="BI757">
        <v>15</v>
      </c>
      <c r="BJ757" t="s">
        <v>643</v>
      </c>
      <c r="BK757" t="s">
        <v>100</v>
      </c>
      <c r="BL757" t="s">
        <v>643</v>
      </c>
      <c r="BM757" t="s">
        <v>15116</v>
      </c>
      <c r="BN757" t="s">
        <v>74</v>
      </c>
      <c r="BO757" t="s">
        <v>74</v>
      </c>
      <c r="BP757" t="s">
        <v>74</v>
      </c>
      <c r="BQ757" t="s">
        <v>74</v>
      </c>
      <c r="BR757" t="s">
        <v>104</v>
      </c>
      <c r="BS757" t="s">
        <v>15117</v>
      </c>
      <c r="BT757" t="str">
        <f>HYPERLINK("https%3A%2F%2Fwww.webofscience.com%2Fwos%2Fwoscc%2Ffull-record%2FWOS:000539292700001","View Full Record in Web of Science")</f>
        <v>View Full Record in Web of Science</v>
      </c>
    </row>
    <row r="758" spans="1:72" x14ac:dyDescent="0.15">
      <c r="A758" t="s">
        <v>72</v>
      </c>
      <c r="B758" t="s">
        <v>15118</v>
      </c>
      <c r="C758" t="s">
        <v>74</v>
      </c>
      <c r="D758" t="s">
        <v>74</v>
      </c>
      <c r="E758" t="s">
        <v>74</v>
      </c>
      <c r="F758" t="s">
        <v>15119</v>
      </c>
      <c r="G758" t="s">
        <v>74</v>
      </c>
      <c r="H758" t="s">
        <v>74</v>
      </c>
      <c r="I758" t="s">
        <v>15120</v>
      </c>
      <c r="J758" t="s">
        <v>5452</v>
      </c>
      <c r="K758" t="s">
        <v>74</v>
      </c>
      <c r="L758" t="s">
        <v>74</v>
      </c>
      <c r="M758" t="s">
        <v>78</v>
      </c>
      <c r="N758" t="s">
        <v>79</v>
      </c>
      <c r="O758" t="s">
        <v>74</v>
      </c>
      <c r="P758" t="s">
        <v>74</v>
      </c>
      <c r="Q758" t="s">
        <v>74</v>
      </c>
      <c r="R758" t="s">
        <v>74</v>
      </c>
      <c r="S758" t="s">
        <v>74</v>
      </c>
      <c r="T758" t="s">
        <v>15121</v>
      </c>
      <c r="U758" t="s">
        <v>15122</v>
      </c>
      <c r="V758" t="s">
        <v>15123</v>
      </c>
      <c r="W758" t="s">
        <v>15124</v>
      </c>
      <c r="X758" t="s">
        <v>15125</v>
      </c>
      <c r="Y758" t="s">
        <v>15126</v>
      </c>
      <c r="Z758" t="s">
        <v>15127</v>
      </c>
      <c r="AA758" t="s">
        <v>15128</v>
      </c>
      <c r="AB758" t="s">
        <v>15129</v>
      </c>
      <c r="AC758" t="s">
        <v>15130</v>
      </c>
      <c r="AD758" t="s">
        <v>15130</v>
      </c>
      <c r="AE758" t="s">
        <v>15131</v>
      </c>
      <c r="AF758" t="s">
        <v>74</v>
      </c>
      <c r="AG758">
        <v>54</v>
      </c>
      <c r="AH758">
        <v>11</v>
      </c>
      <c r="AI758">
        <v>12</v>
      </c>
      <c r="AJ758">
        <v>1</v>
      </c>
      <c r="AK758">
        <v>18</v>
      </c>
      <c r="AL758" t="s">
        <v>275</v>
      </c>
      <c r="AM758" t="s">
        <v>276</v>
      </c>
      <c r="AN758" t="s">
        <v>277</v>
      </c>
      <c r="AO758" t="s">
        <v>5462</v>
      </c>
      <c r="AP758" t="s">
        <v>5463</v>
      </c>
      <c r="AQ758" t="s">
        <v>74</v>
      </c>
      <c r="AR758" t="s">
        <v>5452</v>
      </c>
      <c r="AS758" t="s">
        <v>5464</v>
      </c>
      <c r="AT758" t="s">
        <v>15132</v>
      </c>
      <c r="AU758">
        <v>2020</v>
      </c>
      <c r="AV758">
        <v>525</v>
      </c>
      <c r="AW758" t="s">
        <v>74</v>
      </c>
      <c r="AX758" t="s">
        <v>74</v>
      </c>
      <c r="AY758" t="s">
        <v>74</v>
      </c>
      <c r="AZ758" t="s">
        <v>74</v>
      </c>
      <c r="BA758" t="s">
        <v>74</v>
      </c>
      <c r="BB758" t="s">
        <v>74</v>
      </c>
      <c r="BC758" t="s">
        <v>74</v>
      </c>
      <c r="BD758">
        <v>735334</v>
      </c>
      <c r="BE758" t="s">
        <v>15133</v>
      </c>
      <c r="BF758" t="str">
        <f>HYPERLINK("http://dx.doi.org/10.1016/j.aquaculture.2020.735334","http://dx.doi.org/10.1016/j.aquaculture.2020.735334")</f>
        <v>http://dx.doi.org/10.1016/j.aquaculture.2020.735334</v>
      </c>
      <c r="BG758" t="s">
        <v>74</v>
      </c>
      <c r="BH758" t="s">
        <v>74</v>
      </c>
      <c r="BI758">
        <v>8</v>
      </c>
      <c r="BJ758" t="s">
        <v>4322</v>
      </c>
      <c r="BK758" t="s">
        <v>100</v>
      </c>
      <c r="BL758" t="s">
        <v>4322</v>
      </c>
      <c r="BM758" t="s">
        <v>15134</v>
      </c>
      <c r="BN758" t="s">
        <v>74</v>
      </c>
      <c r="BO758" t="s">
        <v>701</v>
      </c>
      <c r="BP758" t="s">
        <v>74</v>
      </c>
      <c r="BQ758" t="s">
        <v>74</v>
      </c>
      <c r="BR758" t="s">
        <v>104</v>
      </c>
      <c r="BS758" t="s">
        <v>15135</v>
      </c>
      <c r="BT758" t="str">
        <f>HYPERLINK("https%3A%2F%2Fwww.webofscience.com%2Fwos%2Fwoscc%2Ffull-record%2FWOS:000535434900009","View Full Record in Web of Science")</f>
        <v>View Full Record in Web of Science</v>
      </c>
    </row>
    <row r="759" spans="1:72" x14ac:dyDescent="0.15">
      <c r="A759" t="s">
        <v>72</v>
      </c>
      <c r="B759" t="s">
        <v>15136</v>
      </c>
      <c r="C759" t="s">
        <v>74</v>
      </c>
      <c r="D759" t="s">
        <v>74</v>
      </c>
      <c r="E759" t="s">
        <v>74</v>
      </c>
      <c r="F759" t="s">
        <v>15137</v>
      </c>
      <c r="G759" t="s">
        <v>74</v>
      </c>
      <c r="H759" t="s">
        <v>74</v>
      </c>
      <c r="I759" t="s">
        <v>15138</v>
      </c>
      <c r="J759" t="s">
        <v>4602</v>
      </c>
      <c r="K759" t="s">
        <v>74</v>
      </c>
      <c r="L759" t="s">
        <v>74</v>
      </c>
      <c r="M759" t="s">
        <v>78</v>
      </c>
      <c r="N759" t="s">
        <v>79</v>
      </c>
      <c r="O759" t="s">
        <v>74</v>
      </c>
      <c r="P759" t="s">
        <v>74</v>
      </c>
      <c r="Q759" t="s">
        <v>74</v>
      </c>
      <c r="R759" t="s">
        <v>74</v>
      </c>
      <c r="S759" t="s">
        <v>74</v>
      </c>
      <c r="T759" t="s">
        <v>15139</v>
      </c>
      <c r="U759" t="s">
        <v>15140</v>
      </c>
      <c r="V759" t="s">
        <v>15141</v>
      </c>
      <c r="W759" t="s">
        <v>15142</v>
      </c>
      <c r="X759" t="s">
        <v>15143</v>
      </c>
      <c r="Y759" t="s">
        <v>15144</v>
      </c>
      <c r="Z759" t="s">
        <v>15145</v>
      </c>
      <c r="AA759" t="s">
        <v>15146</v>
      </c>
      <c r="AB759" t="s">
        <v>15147</v>
      </c>
      <c r="AC759" t="s">
        <v>15148</v>
      </c>
      <c r="AD759" t="s">
        <v>15149</v>
      </c>
      <c r="AE759" t="s">
        <v>15150</v>
      </c>
      <c r="AF759" t="s">
        <v>74</v>
      </c>
      <c r="AG759">
        <v>36</v>
      </c>
      <c r="AH759">
        <v>8</v>
      </c>
      <c r="AI759">
        <v>8</v>
      </c>
      <c r="AJ759">
        <v>5</v>
      </c>
      <c r="AK759">
        <v>21</v>
      </c>
      <c r="AL759" t="s">
        <v>482</v>
      </c>
      <c r="AM759" t="s">
        <v>554</v>
      </c>
      <c r="AN759" t="s">
        <v>555</v>
      </c>
      <c r="AO759" t="s">
        <v>4615</v>
      </c>
      <c r="AP759" t="s">
        <v>4616</v>
      </c>
      <c r="AQ759" t="s">
        <v>74</v>
      </c>
      <c r="AR759" t="s">
        <v>4617</v>
      </c>
      <c r="AS759" t="s">
        <v>4618</v>
      </c>
      <c r="AT759" t="s">
        <v>720</v>
      </c>
      <c r="AU759">
        <v>2020</v>
      </c>
      <c r="AV759">
        <v>32</v>
      </c>
      <c r="AW759">
        <v>6</v>
      </c>
      <c r="AX759" t="s">
        <v>74</v>
      </c>
      <c r="AY759" t="s">
        <v>74</v>
      </c>
      <c r="AZ759" t="s">
        <v>74</v>
      </c>
      <c r="BA759" t="s">
        <v>74</v>
      </c>
      <c r="BB759">
        <v>3809</v>
      </c>
      <c r="BC759">
        <v>3816</v>
      </c>
      <c r="BD759" t="s">
        <v>74</v>
      </c>
      <c r="BE759" t="s">
        <v>15151</v>
      </c>
      <c r="BF759" t="str">
        <f>HYPERLINK("http://dx.doi.org/10.1007/s10811-020-02238-6","http://dx.doi.org/10.1007/s10811-020-02238-6")</f>
        <v>http://dx.doi.org/10.1007/s10811-020-02238-6</v>
      </c>
      <c r="BG759" t="s">
        <v>74</v>
      </c>
      <c r="BH759" t="s">
        <v>15048</v>
      </c>
      <c r="BI759">
        <v>8</v>
      </c>
      <c r="BJ759" t="s">
        <v>4620</v>
      </c>
      <c r="BK759" t="s">
        <v>100</v>
      </c>
      <c r="BL759" t="s">
        <v>4620</v>
      </c>
      <c r="BM759" t="s">
        <v>15152</v>
      </c>
      <c r="BN759" t="s">
        <v>74</v>
      </c>
      <c r="BO759" t="s">
        <v>74</v>
      </c>
      <c r="BP759" t="s">
        <v>74</v>
      </c>
      <c r="BQ759" t="s">
        <v>74</v>
      </c>
      <c r="BR759" t="s">
        <v>104</v>
      </c>
      <c r="BS759" t="s">
        <v>15153</v>
      </c>
      <c r="BT759" t="str">
        <f>HYPERLINK("https%3A%2F%2Fwww.webofscience.com%2Fwos%2Fwoscc%2Ffull-record%2FWOS:000563735600003","View Full Record in Web of Science")</f>
        <v>View Full Record in Web of Science</v>
      </c>
    </row>
    <row r="760" spans="1:72" x14ac:dyDescent="0.15">
      <c r="A760" t="s">
        <v>72</v>
      </c>
      <c r="B760" t="s">
        <v>15154</v>
      </c>
      <c r="C760" t="s">
        <v>74</v>
      </c>
      <c r="D760" t="s">
        <v>74</v>
      </c>
      <c r="E760" t="s">
        <v>74</v>
      </c>
      <c r="F760" t="s">
        <v>15155</v>
      </c>
      <c r="G760" t="s">
        <v>74</v>
      </c>
      <c r="H760" t="s">
        <v>74</v>
      </c>
      <c r="I760" t="s">
        <v>15156</v>
      </c>
      <c r="J760" t="s">
        <v>569</v>
      </c>
      <c r="K760" t="s">
        <v>74</v>
      </c>
      <c r="L760" t="s">
        <v>74</v>
      </c>
      <c r="M760" t="s">
        <v>78</v>
      </c>
      <c r="N760" t="s">
        <v>79</v>
      </c>
      <c r="O760" t="s">
        <v>74</v>
      </c>
      <c r="P760" t="s">
        <v>74</v>
      </c>
      <c r="Q760" t="s">
        <v>74</v>
      </c>
      <c r="R760" t="s">
        <v>74</v>
      </c>
      <c r="S760" t="s">
        <v>74</v>
      </c>
      <c r="T760" t="s">
        <v>15157</v>
      </c>
      <c r="U760" t="s">
        <v>15158</v>
      </c>
      <c r="V760" t="s">
        <v>15159</v>
      </c>
      <c r="W760" t="s">
        <v>15160</v>
      </c>
      <c r="X760" t="s">
        <v>15161</v>
      </c>
      <c r="Y760" t="s">
        <v>15162</v>
      </c>
      <c r="Z760" t="s">
        <v>15163</v>
      </c>
      <c r="AA760" t="s">
        <v>15164</v>
      </c>
      <c r="AB760" t="s">
        <v>15165</v>
      </c>
      <c r="AC760" t="s">
        <v>15166</v>
      </c>
      <c r="AD760" t="s">
        <v>15167</v>
      </c>
      <c r="AE760" t="s">
        <v>15168</v>
      </c>
      <c r="AF760" t="s">
        <v>74</v>
      </c>
      <c r="AG760">
        <v>50</v>
      </c>
      <c r="AH760">
        <v>10</v>
      </c>
      <c r="AI760">
        <v>10</v>
      </c>
      <c r="AJ760">
        <v>1</v>
      </c>
      <c r="AK760">
        <v>23</v>
      </c>
      <c r="AL760" t="s">
        <v>581</v>
      </c>
      <c r="AM760" t="s">
        <v>582</v>
      </c>
      <c r="AN760" t="s">
        <v>583</v>
      </c>
      <c r="AO760" t="s">
        <v>584</v>
      </c>
      <c r="AP760" t="s">
        <v>585</v>
      </c>
      <c r="AQ760" t="s">
        <v>74</v>
      </c>
      <c r="AR760" t="s">
        <v>586</v>
      </c>
      <c r="AS760" t="s">
        <v>587</v>
      </c>
      <c r="AT760" t="s">
        <v>15169</v>
      </c>
      <c r="AU760">
        <v>2020</v>
      </c>
      <c r="AV760">
        <v>50</v>
      </c>
      <c r="AW760">
        <v>5</v>
      </c>
      <c r="AX760" t="s">
        <v>74</v>
      </c>
      <c r="AY760" t="s">
        <v>74</v>
      </c>
      <c r="AZ760" t="s">
        <v>74</v>
      </c>
      <c r="BA760" t="s">
        <v>74</v>
      </c>
      <c r="BB760" t="s">
        <v>74</v>
      </c>
      <c r="BC760" t="s">
        <v>74</v>
      </c>
      <c r="BD760">
        <v>76</v>
      </c>
      <c r="BE760" t="s">
        <v>15170</v>
      </c>
      <c r="BF760" t="str">
        <f>HYPERLINK("http://dx.doi.org/10.1007/s12526-020-01087-3","http://dx.doi.org/10.1007/s12526-020-01087-3")</f>
        <v>http://dx.doi.org/10.1007/s12526-020-01087-3</v>
      </c>
      <c r="BG760" t="s">
        <v>74</v>
      </c>
      <c r="BH760" t="s">
        <v>74</v>
      </c>
      <c r="BI760">
        <v>10</v>
      </c>
      <c r="BJ760" t="s">
        <v>589</v>
      </c>
      <c r="BK760" t="s">
        <v>100</v>
      </c>
      <c r="BL760" t="s">
        <v>590</v>
      </c>
      <c r="BM760" t="s">
        <v>15171</v>
      </c>
      <c r="BN760" t="s">
        <v>74</v>
      </c>
      <c r="BO760" t="s">
        <v>74</v>
      </c>
      <c r="BP760" t="s">
        <v>74</v>
      </c>
      <c r="BQ760" t="s">
        <v>74</v>
      </c>
      <c r="BR760" t="s">
        <v>104</v>
      </c>
      <c r="BS760" t="s">
        <v>15172</v>
      </c>
      <c r="BT760" t="str">
        <f>HYPERLINK("https%3A%2F%2Fwww.webofscience.com%2Fwos%2Fwoscc%2Ffull-record%2FWOS:000563639800001","View Full Record in Web of Science")</f>
        <v>View Full Record in Web of Science</v>
      </c>
    </row>
    <row r="761" spans="1:72" x14ac:dyDescent="0.15">
      <c r="A761" t="s">
        <v>72</v>
      </c>
      <c r="B761" t="s">
        <v>15173</v>
      </c>
      <c r="C761" t="s">
        <v>74</v>
      </c>
      <c r="D761" t="s">
        <v>74</v>
      </c>
      <c r="E761" t="s">
        <v>74</v>
      </c>
      <c r="F761" t="s">
        <v>15174</v>
      </c>
      <c r="G761" t="s">
        <v>74</v>
      </c>
      <c r="H761" t="s">
        <v>74</v>
      </c>
      <c r="I761" t="s">
        <v>15175</v>
      </c>
      <c r="J761" t="s">
        <v>15176</v>
      </c>
      <c r="K761" t="s">
        <v>74</v>
      </c>
      <c r="L761" t="s">
        <v>74</v>
      </c>
      <c r="M761" t="s">
        <v>78</v>
      </c>
      <c r="N761" t="s">
        <v>79</v>
      </c>
      <c r="O761" t="s">
        <v>74</v>
      </c>
      <c r="P761" t="s">
        <v>74</v>
      </c>
      <c r="Q761" t="s">
        <v>74</v>
      </c>
      <c r="R761" t="s">
        <v>74</v>
      </c>
      <c r="S761" t="s">
        <v>74</v>
      </c>
      <c r="T761" t="s">
        <v>15177</v>
      </c>
      <c r="U761" t="s">
        <v>15178</v>
      </c>
      <c r="V761" t="s">
        <v>15179</v>
      </c>
      <c r="W761" t="s">
        <v>15180</v>
      </c>
      <c r="X761" t="s">
        <v>15181</v>
      </c>
      <c r="Y761" t="s">
        <v>15182</v>
      </c>
      <c r="Z761" t="s">
        <v>15183</v>
      </c>
      <c r="AA761" t="s">
        <v>15184</v>
      </c>
      <c r="AB761" t="s">
        <v>15185</v>
      </c>
      <c r="AC761" t="s">
        <v>15186</v>
      </c>
      <c r="AD761" t="s">
        <v>15187</v>
      </c>
      <c r="AE761" t="s">
        <v>15188</v>
      </c>
      <c r="AF761" t="s">
        <v>74</v>
      </c>
      <c r="AG761">
        <v>114</v>
      </c>
      <c r="AH761">
        <v>7</v>
      </c>
      <c r="AI761">
        <v>7</v>
      </c>
      <c r="AJ761">
        <v>1</v>
      </c>
      <c r="AK761">
        <v>13</v>
      </c>
      <c r="AL761" t="s">
        <v>482</v>
      </c>
      <c r="AM761" t="s">
        <v>554</v>
      </c>
      <c r="AN761" t="s">
        <v>555</v>
      </c>
      <c r="AO761" t="s">
        <v>15189</v>
      </c>
      <c r="AP761" t="s">
        <v>15190</v>
      </c>
      <c r="AQ761" t="s">
        <v>74</v>
      </c>
      <c r="AR761" t="s">
        <v>15191</v>
      </c>
      <c r="AS761" t="s">
        <v>15192</v>
      </c>
      <c r="AT761" t="s">
        <v>6558</v>
      </c>
      <c r="AU761">
        <v>2020</v>
      </c>
      <c r="AV761">
        <v>455</v>
      </c>
      <c r="AW761" t="s">
        <v>4223</v>
      </c>
      <c r="AX761" t="s">
        <v>74</v>
      </c>
      <c r="AY761" t="s">
        <v>74</v>
      </c>
      <c r="AZ761" t="s">
        <v>74</v>
      </c>
      <c r="BA761" t="s">
        <v>74</v>
      </c>
      <c r="BB761">
        <v>339</v>
      </c>
      <c r="BC761">
        <v>366</v>
      </c>
      <c r="BD761" t="s">
        <v>74</v>
      </c>
      <c r="BE761" t="s">
        <v>15193</v>
      </c>
      <c r="BF761" t="str">
        <f>HYPERLINK("http://dx.doi.org/10.1007/s11104-020-04665-3","http://dx.doi.org/10.1007/s11104-020-04665-3")</f>
        <v>http://dx.doi.org/10.1007/s11104-020-04665-3</v>
      </c>
      <c r="BG761" t="s">
        <v>74</v>
      </c>
      <c r="BH761" t="s">
        <v>15048</v>
      </c>
      <c r="BI761">
        <v>28</v>
      </c>
      <c r="BJ761" t="s">
        <v>15194</v>
      </c>
      <c r="BK761" t="s">
        <v>100</v>
      </c>
      <c r="BL761" t="s">
        <v>15195</v>
      </c>
      <c r="BM761" t="s">
        <v>15196</v>
      </c>
      <c r="BN761" t="s">
        <v>74</v>
      </c>
      <c r="BO761" t="s">
        <v>1919</v>
      </c>
      <c r="BP761" t="s">
        <v>74</v>
      </c>
      <c r="BQ761" t="s">
        <v>74</v>
      </c>
      <c r="BR761" t="s">
        <v>104</v>
      </c>
      <c r="BS761" t="s">
        <v>15197</v>
      </c>
      <c r="BT761" t="str">
        <f>HYPERLINK("https%3A%2F%2Fwww.webofscience.com%2Fwos%2Fwoscc%2Ffull-record%2FWOS:000563726100002","View Full Record in Web of Science")</f>
        <v>View Full Record in Web of Science</v>
      </c>
    </row>
    <row r="762" spans="1:72" x14ac:dyDescent="0.15">
      <c r="A762" t="s">
        <v>72</v>
      </c>
      <c r="B762" t="s">
        <v>15198</v>
      </c>
      <c r="C762" t="s">
        <v>74</v>
      </c>
      <c r="D762" t="s">
        <v>74</v>
      </c>
      <c r="E762" t="s">
        <v>74</v>
      </c>
      <c r="F762" t="s">
        <v>15199</v>
      </c>
      <c r="G762" t="s">
        <v>74</v>
      </c>
      <c r="H762" t="s">
        <v>74</v>
      </c>
      <c r="I762" t="s">
        <v>15200</v>
      </c>
      <c r="J762" t="s">
        <v>15201</v>
      </c>
      <c r="K762" t="s">
        <v>74</v>
      </c>
      <c r="L762" t="s">
        <v>74</v>
      </c>
      <c r="M762" t="s">
        <v>78</v>
      </c>
      <c r="N762" t="s">
        <v>79</v>
      </c>
      <c r="O762" t="s">
        <v>74</v>
      </c>
      <c r="P762" t="s">
        <v>74</v>
      </c>
      <c r="Q762" t="s">
        <v>74</v>
      </c>
      <c r="R762" t="s">
        <v>74</v>
      </c>
      <c r="S762" t="s">
        <v>74</v>
      </c>
      <c r="T762" t="s">
        <v>15202</v>
      </c>
      <c r="U762" t="s">
        <v>15203</v>
      </c>
      <c r="V762" t="s">
        <v>15204</v>
      </c>
      <c r="W762" t="s">
        <v>15205</v>
      </c>
      <c r="X762" t="s">
        <v>15206</v>
      </c>
      <c r="Y762" t="s">
        <v>15207</v>
      </c>
      <c r="Z762" t="s">
        <v>15208</v>
      </c>
      <c r="AA762" t="s">
        <v>15209</v>
      </c>
      <c r="AB762" t="s">
        <v>15210</v>
      </c>
      <c r="AC762" t="s">
        <v>15211</v>
      </c>
      <c r="AD762" t="s">
        <v>15212</v>
      </c>
      <c r="AE762" t="s">
        <v>15213</v>
      </c>
      <c r="AF762" t="s">
        <v>74</v>
      </c>
      <c r="AG762">
        <v>94</v>
      </c>
      <c r="AH762">
        <v>12</v>
      </c>
      <c r="AI762">
        <v>13</v>
      </c>
      <c r="AJ762">
        <v>1</v>
      </c>
      <c r="AK762">
        <v>8</v>
      </c>
      <c r="AL762" t="s">
        <v>866</v>
      </c>
      <c r="AM762" t="s">
        <v>867</v>
      </c>
      <c r="AN762" t="s">
        <v>868</v>
      </c>
      <c r="AO762" t="s">
        <v>15214</v>
      </c>
      <c r="AP762" t="s">
        <v>74</v>
      </c>
      <c r="AQ762" t="s">
        <v>74</v>
      </c>
      <c r="AR762" t="s">
        <v>15215</v>
      </c>
      <c r="AS762" t="s">
        <v>15216</v>
      </c>
      <c r="AT762" t="s">
        <v>15217</v>
      </c>
      <c r="AU762">
        <v>2020</v>
      </c>
      <c r="AV762">
        <v>11</v>
      </c>
      <c r="AW762" t="s">
        <v>74</v>
      </c>
      <c r="AX762" t="s">
        <v>74</v>
      </c>
      <c r="AY762" t="s">
        <v>74</v>
      </c>
      <c r="AZ762" t="s">
        <v>74</v>
      </c>
      <c r="BA762" t="s">
        <v>74</v>
      </c>
      <c r="BB762" t="s">
        <v>74</v>
      </c>
      <c r="BC762" t="s">
        <v>74</v>
      </c>
      <c r="BD762">
        <v>502359</v>
      </c>
      <c r="BE762" t="s">
        <v>15218</v>
      </c>
      <c r="BF762" t="str">
        <f>HYPERLINK("http://dx.doi.org/10.3389/fpls.2020.502359","http://dx.doi.org/10.3389/fpls.2020.502359")</f>
        <v>http://dx.doi.org/10.3389/fpls.2020.502359</v>
      </c>
      <c r="BG762" t="s">
        <v>74</v>
      </c>
      <c r="BH762" t="s">
        <v>74</v>
      </c>
      <c r="BI762">
        <v>14</v>
      </c>
      <c r="BJ762" t="s">
        <v>176</v>
      </c>
      <c r="BK762" t="s">
        <v>100</v>
      </c>
      <c r="BL762" t="s">
        <v>176</v>
      </c>
      <c r="BM762" t="s">
        <v>15219</v>
      </c>
      <c r="BN762">
        <v>32983208</v>
      </c>
      <c r="BO762" t="s">
        <v>5105</v>
      </c>
      <c r="BP762" t="s">
        <v>74</v>
      </c>
      <c r="BQ762" t="s">
        <v>74</v>
      </c>
      <c r="BR762" t="s">
        <v>104</v>
      </c>
      <c r="BS762" t="s">
        <v>15220</v>
      </c>
      <c r="BT762" t="str">
        <f>HYPERLINK("https%3A%2F%2Fwww.webofscience.com%2Fwos%2Fwoscc%2Ffull-record%2FWOS:000570534500001","View Full Record in Web of Science")</f>
        <v>View Full Record in Web of Science</v>
      </c>
    </row>
    <row r="763" spans="1:72" x14ac:dyDescent="0.15">
      <c r="A763" t="s">
        <v>72</v>
      </c>
      <c r="B763" t="s">
        <v>15221</v>
      </c>
      <c r="C763" t="s">
        <v>74</v>
      </c>
      <c r="D763" t="s">
        <v>74</v>
      </c>
      <c r="E763" t="s">
        <v>74</v>
      </c>
      <c r="F763" t="s">
        <v>15222</v>
      </c>
      <c r="G763" t="s">
        <v>74</v>
      </c>
      <c r="H763" t="s">
        <v>74</v>
      </c>
      <c r="I763" t="s">
        <v>15223</v>
      </c>
      <c r="J763" t="s">
        <v>1010</v>
      </c>
      <c r="K763" t="s">
        <v>74</v>
      </c>
      <c r="L763" t="s">
        <v>74</v>
      </c>
      <c r="M763" t="s">
        <v>78</v>
      </c>
      <c r="N763" t="s">
        <v>79</v>
      </c>
      <c r="O763" t="s">
        <v>74</v>
      </c>
      <c r="P763" t="s">
        <v>74</v>
      </c>
      <c r="Q763" t="s">
        <v>74</v>
      </c>
      <c r="R763" t="s">
        <v>74</v>
      </c>
      <c r="S763" t="s">
        <v>74</v>
      </c>
      <c r="T763" t="s">
        <v>74</v>
      </c>
      <c r="U763" t="s">
        <v>15224</v>
      </c>
      <c r="V763" t="s">
        <v>15225</v>
      </c>
      <c r="W763" t="s">
        <v>15226</v>
      </c>
      <c r="X763" t="s">
        <v>15227</v>
      </c>
      <c r="Y763" t="s">
        <v>15228</v>
      </c>
      <c r="Z763" t="s">
        <v>15229</v>
      </c>
      <c r="AA763" t="s">
        <v>15230</v>
      </c>
      <c r="AB763" t="s">
        <v>15231</v>
      </c>
      <c r="AC763" t="s">
        <v>15232</v>
      </c>
      <c r="AD763" t="s">
        <v>15233</v>
      </c>
      <c r="AE763" t="s">
        <v>15234</v>
      </c>
      <c r="AF763" t="s">
        <v>74</v>
      </c>
      <c r="AG763">
        <v>32</v>
      </c>
      <c r="AH763">
        <v>26</v>
      </c>
      <c r="AI763">
        <v>26</v>
      </c>
      <c r="AJ763">
        <v>0</v>
      </c>
      <c r="AK763">
        <v>13</v>
      </c>
      <c r="AL763" t="s">
        <v>91</v>
      </c>
      <c r="AM763" t="s">
        <v>92</v>
      </c>
      <c r="AN763" t="s">
        <v>93</v>
      </c>
      <c r="AO763" t="s">
        <v>1022</v>
      </c>
      <c r="AP763" t="s">
        <v>1023</v>
      </c>
      <c r="AQ763" t="s">
        <v>74</v>
      </c>
      <c r="AR763" t="s">
        <v>1024</v>
      </c>
      <c r="AS763" t="s">
        <v>1025</v>
      </c>
      <c r="AT763" t="s">
        <v>15217</v>
      </c>
      <c r="AU763">
        <v>2020</v>
      </c>
      <c r="AV763">
        <v>20</v>
      </c>
      <c r="AW763">
        <v>16</v>
      </c>
      <c r="AX763" t="s">
        <v>74</v>
      </c>
      <c r="AY763" t="s">
        <v>74</v>
      </c>
      <c r="AZ763" t="s">
        <v>74</v>
      </c>
      <c r="BA763" t="s">
        <v>74</v>
      </c>
      <c r="BB763">
        <v>10063</v>
      </c>
      <c r="BC763">
        <v>10072</v>
      </c>
      <c r="BD763" t="s">
        <v>74</v>
      </c>
      <c r="BE763" t="s">
        <v>15235</v>
      </c>
      <c r="BF763" t="str">
        <f>HYPERLINK("http://dx.doi.org/10.5194/acp-20-10063-2020","http://dx.doi.org/10.5194/acp-20-10063-2020")</f>
        <v>http://dx.doi.org/10.5194/acp-20-10063-2020</v>
      </c>
      <c r="BG763" t="s">
        <v>74</v>
      </c>
      <c r="BH763" t="s">
        <v>74</v>
      </c>
      <c r="BI763">
        <v>10</v>
      </c>
      <c r="BJ763" t="s">
        <v>1027</v>
      </c>
      <c r="BK763" t="s">
        <v>100</v>
      </c>
      <c r="BL763" t="s">
        <v>1028</v>
      </c>
      <c r="BM763" t="s">
        <v>15236</v>
      </c>
      <c r="BN763" t="s">
        <v>74</v>
      </c>
      <c r="BO763" t="s">
        <v>1030</v>
      </c>
      <c r="BP763" t="s">
        <v>74</v>
      </c>
      <c r="BQ763" t="s">
        <v>74</v>
      </c>
      <c r="BR763" t="s">
        <v>104</v>
      </c>
      <c r="BS763" t="s">
        <v>15237</v>
      </c>
      <c r="BT763" t="str">
        <f>HYPERLINK("https%3A%2F%2Fwww.webofscience.com%2Fwos%2Fwoscc%2Ffull-record%2FWOS:000566727600002","View Full Record in Web of Science")</f>
        <v>View Full Record in Web of Science</v>
      </c>
    </row>
    <row r="764" spans="1:72" x14ac:dyDescent="0.15">
      <c r="A764" t="s">
        <v>72</v>
      </c>
      <c r="B764" t="s">
        <v>15238</v>
      </c>
      <c r="C764" t="s">
        <v>74</v>
      </c>
      <c r="D764" t="s">
        <v>74</v>
      </c>
      <c r="E764" t="s">
        <v>74</v>
      </c>
      <c r="F764" t="s">
        <v>15239</v>
      </c>
      <c r="G764" t="s">
        <v>74</v>
      </c>
      <c r="H764" t="s">
        <v>74</v>
      </c>
      <c r="I764" t="s">
        <v>15240</v>
      </c>
      <c r="J764" t="s">
        <v>901</v>
      </c>
      <c r="K764" t="s">
        <v>74</v>
      </c>
      <c r="L764" t="s">
        <v>74</v>
      </c>
      <c r="M764" t="s">
        <v>78</v>
      </c>
      <c r="N764" t="s">
        <v>79</v>
      </c>
      <c r="O764" t="s">
        <v>74</v>
      </c>
      <c r="P764" t="s">
        <v>74</v>
      </c>
      <c r="Q764" t="s">
        <v>74</v>
      </c>
      <c r="R764" t="s">
        <v>74</v>
      </c>
      <c r="S764" t="s">
        <v>74</v>
      </c>
      <c r="T764" t="s">
        <v>15241</v>
      </c>
      <c r="U764" t="s">
        <v>15242</v>
      </c>
      <c r="V764" t="s">
        <v>15243</v>
      </c>
      <c r="W764" t="s">
        <v>15244</v>
      </c>
      <c r="X764" t="s">
        <v>15245</v>
      </c>
      <c r="Y764" t="s">
        <v>15246</v>
      </c>
      <c r="Z764" t="s">
        <v>15247</v>
      </c>
      <c r="AA764" t="s">
        <v>15248</v>
      </c>
      <c r="AB764" t="s">
        <v>15249</v>
      </c>
      <c r="AC764" t="s">
        <v>15250</v>
      </c>
      <c r="AD764" t="s">
        <v>15251</v>
      </c>
      <c r="AE764" t="s">
        <v>15252</v>
      </c>
      <c r="AF764" t="s">
        <v>74</v>
      </c>
      <c r="AG764">
        <v>46</v>
      </c>
      <c r="AH764">
        <v>17</v>
      </c>
      <c r="AI764">
        <v>17</v>
      </c>
      <c r="AJ764">
        <v>2</v>
      </c>
      <c r="AK764">
        <v>10</v>
      </c>
      <c r="AL764" t="s">
        <v>866</v>
      </c>
      <c r="AM764" t="s">
        <v>867</v>
      </c>
      <c r="AN764" t="s">
        <v>868</v>
      </c>
      <c r="AO764" t="s">
        <v>74</v>
      </c>
      <c r="AP764" t="s">
        <v>914</v>
      </c>
      <c r="AQ764" t="s">
        <v>74</v>
      </c>
      <c r="AR764" t="s">
        <v>915</v>
      </c>
      <c r="AS764" t="s">
        <v>916</v>
      </c>
      <c r="AT764" t="s">
        <v>15217</v>
      </c>
      <c r="AU764">
        <v>2020</v>
      </c>
      <c r="AV764">
        <v>7</v>
      </c>
      <c r="AW764" t="s">
        <v>74</v>
      </c>
      <c r="AX764" t="s">
        <v>74</v>
      </c>
      <c r="AY764" t="s">
        <v>74</v>
      </c>
      <c r="AZ764" t="s">
        <v>74</v>
      </c>
      <c r="BA764" t="s">
        <v>74</v>
      </c>
      <c r="BB764" t="s">
        <v>74</v>
      </c>
      <c r="BC764" t="s">
        <v>74</v>
      </c>
      <c r="BD764">
        <v>692</v>
      </c>
      <c r="BE764" t="s">
        <v>15253</v>
      </c>
      <c r="BF764" t="str">
        <f>HYPERLINK("http://dx.doi.org/10.3389/fmars.2020.00692","http://dx.doi.org/10.3389/fmars.2020.00692")</f>
        <v>http://dx.doi.org/10.3389/fmars.2020.00692</v>
      </c>
      <c r="BG764" t="s">
        <v>74</v>
      </c>
      <c r="BH764" t="s">
        <v>74</v>
      </c>
      <c r="BI764">
        <v>9</v>
      </c>
      <c r="BJ764" t="s">
        <v>918</v>
      </c>
      <c r="BK764" t="s">
        <v>255</v>
      </c>
      <c r="BL764" t="s">
        <v>919</v>
      </c>
      <c r="BM764" t="s">
        <v>15254</v>
      </c>
      <c r="BN764" t="s">
        <v>74</v>
      </c>
      <c r="BO764" t="s">
        <v>2113</v>
      </c>
      <c r="BP764" t="s">
        <v>74</v>
      </c>
      <c r="BQ764" t="s">
        <v>74</v>
      </c>
      <c r="BR764" t="s">
        <v>104</v>
      </c>
      <c r="BS764" t="s">
        <v>15255</v>
      </c>
      <c r="BT764" t="str">
        <f>HYPERLINK("https%3A%2F%2Fwww.webofscience.com%2Fwos%2Fwoscc%2Ffull-record%2FWOS:000566550400001","View Full Record in Web of Science")</f>
        <v>View Full Record in Web of Science</v>
      </c>
    </row>
    <row r="765" spans="1:72" x14ac:dyDescent="0.15">
      <c r="A765" t="s">
        <v>72</v>
      </c>
      <c r="B765" t="s">
        <v>15256</v>
      </c>
      <c r="C765" t="s">
        <v>74</v>
      </c>
      <c r="D765" t="s">
        <v>74</v>
      </c>
      <c r="E765" t="s">
        <v>74</v>
      </c>
      <c r="F765" t="s">
        <v>15257</v>
      </c>
      <c r="G765" t="s">
        <v>74</v>
      </c>
      <c r="H765" t="s">
        <v>74</v>
      </c>
      <c r="I765" t="s">
        <v>15258</v>
      </c>
      <c r="J765" t="s">
        <v>3687</v>
      </c>
      <c r="K765" t="s">
        <v>74</v>
      </c>
      <c r="L765" t="s">
        <v>74</v>
      </c>
      <c r="M765" t="s">
        <v>78</v>
      </c>
      <c r="N765" t="s">
        <v>79</v>
      </c>
      <c r="O765" t="s">
        <v>74</v>
      </c>
      <c r="P765" t="s">
        <v>74</v>
      </c>
      <c r="Q765" t="s">
        <v>74</v>
      </c>
      <c r="R765" t="s">
        <v>74</v>
      </c>
      <c r="S765" t="s">
        <v>74</v>
      </c>
      <c r="T765" t="s">
        <v>15259</v>
      </c>
      <c r="U765" t="s">
        <v>15260</v>
      </c>
      <c r="V765" t="s">
        <v>15261</v>
      </c>
      <c r="W765" t="s">
        <v>15262</v>
      </c>
      <c r="X765" t="s">
        <v>15263</v>
      </c>
      <c r="Y765" t="s">
        <v>15264</v>
      </c>
      <c r="Z765" t="s">
        <v>15265</v>
      </c>
      <c r="AA765" t="s">
        <v>15266</v>
      </c>
      <c r="AB765" t="s">
        <v>15267</v>
      </c>
      <c r="AC765" t="s">
        <v>15268</v>
      </c>
      <c r="AD765" t="s">
        <v>15269</v>
      </c>
      <c r="AE765" t="s">
        <v>15270</v>
      </c>
      <c r="AF765" t="s">
        <v>74</v>
      </c>
      <c r="AG765">
        <v>38</v>
      </c>
      <c r="AH765">
        <v>17</v>
      </c>
      <c r="AI765">
        <v>21</v>
      </c>
      <c r="AJ765">
        <v>4</v>
      </c>
      <c r="AK765">
        <v>18</v>
      </c>
      <c r="AL765" t="s">
        <v>1710</v>
      </c>
      <c r="AM765" t="s">
        <v>609</v>
      </c>
      <c r="AN765" t="s">
        <v>1711</v>
      </c>
      <c r="AO765" t="s">
        <v>3699</v>
      </c>
      <c r="AP765" t="s">
        <v>3700</v>
      </c>
      <c r="AQ765" t="s">
        <v>74</v>
      </c>
      <c r="AR765" t="s">
        <v>3701</v>
      </c>
      <c r="AS765" t="s">
        <v>3702</v>
      </c>
      <c r="AT765" t="s">
        <v>15217</v>
      </c>
      <c r="AU765">
        <v>2020</v>
      </c>
      <c r="AV765">
        <v>47</v>
      </c>
      <c r="AW765">
        <v>16</v>
      </c>
      <c r="AX765" t="s">
        <v>74</v>
      </c>
      <c r="AY765" t="s">
        <v>74</v>
      </c>
      <c r="AZ765" t="s">
        <v>74</v>
      </c>
      <c r="BA765" t="s">
        <v>74</v>
      </c>
      <c r="BB765" t="s">
        <v>74</v>
      </c>
      <c r="BC765" t="s">
        <v>74</v>
      </c>
      <c r="BD765" t="s">
        <v>15271</v>
      </c>
      <c r="BE765" t="s">
        <v>15272</v>
      </c>
      <c r="BF765" t="str">
        <f>HYPERLINK("http://dx.doi.org/10.1029/2020GL088965","http://dx.doi.org/10.1029/2020GL088965")</f>
        <v>http://dx.doi.org/10.1029/2020GL088965</v>
      </c>
      <c r="BG765" t="s">
        <v>74</v>
      </c>
      <c r="BH765" t="s">
        <v>74</v>
      </c>
      <c r="BI765">
        <v>10</v>
      </c>
      <c r="BJ765" t="s">
        <v>534</v>
      </c>
      <c r="BK765" t="s">
        <v>100</v>
      </c>
      <c r="BL765" t="s">
        <v>535</v>
      </c>
      <c r="BM765" t="s">
        <v>15273</v>
      </c>
      <c r="BN765" t="s">
        <v>74</v>
      </c>
      <c r="BO765" t="s">
        <v>1943</v>
      </c>
      <c r="BP765" t="s">
        <v>74</v>
      </c>
      <c r="BQ765" t="s">
        <v>74</v>
      </c>
      <c r="BR765" t="s">
        <v>104</v>
      </c>
      <c r="BS765" t="s">
        <v>15274</v>
      </c>
      <c r="BT765" t="str">
        <f>HYPERLINK("https%3A%2F%2Fwww.webofscience.com%2Fwos%2Fwoscc%2Ffull-record%2FWOS:000566245300064","View Full Record in Web of Science")</f>
        <v>View Full Record in Web of Science</v>
      </c>
    </row>
    <row r="766" spans="1:72" x14ac:dyDescent="0.15">
      <c r="A766" t="s">
        <v>72</v>
      </c>
      <c r="B766" t="s">
        <v>15275</v>
      </c>
      <c r="C766" t="s">
        <v>74</v>
      </c>
      <c r="D766" t="s">
        <v>74</v>
      </c>
      <c r="E766" t="s">
        <v>74</v>
      </c>
      <c r="F766" t="s">
        <v>15276</v>
      </c>
      <c r="G766" t="s">
        <v>74</v>
      </c>
      <c r="H766" t="s">
        <v>74</v>
      </c>
      <c r="I766" t="s">
        <v>15277</v>
      </c>
      <c r="J766" t="s">
        <v>3687</v>
      </c>
      <c r="K766" t="s">
        <v>74</v>
      </c>
      <c r="L766" t="s">
        <v>74</v>
      </c>
      <c r="M766" t="s">
        <v>78</v>
      </c>
      <c r="N766" t="s">
        <v>79</v>
      </c>
      <c r="O766" t="s">
        <v>74</v>
      </c>
      <c r="P766" t="s">
        <v>74</v>
      </c>
      <c r="Q766" t="s">
        <v>74</v>
      </c>
      <c r="R766" t="s">
        <v>74</v>
      </c>
      <c r="S766" t="s">
        <v>74</v>
      </c>
      <c r="T766" t="s">
        <v>15278</v>
      </c>
      <c r="U766" t="s">
        <v>15279</v>
      </c>
      <c r="V766" t="s">
        <v>15280</v>
      </c>
      <c r="W766" t="s">
        <v>15281</v>
      </c>
      <c r="X766" t="s">
        <v>15282</v>
      </c>
      <c r="Y766" t="s">
        <v>15283</v>
      </c>
      <c r="Z766" t="s">
        <v>15284</v>
      </c>
      <c r="AA766" t="s">
        <v>15285</v>
      </c>
      <c r="AB766" t="s">
        <v>15286</v>
      </c>
      <c r="AC766" t="s">
        <v>15287</v>
      </c>
      <c r="AD766" t="s">
        <v>15288</v>
      </c>
      <c r="AE766" t="s">
        <v>15289</v>
      </c>
      <c r="AF766" t="s">
        <v>74</v>
      </c>
      <c r="AG766">
        <v>52</v>
      </c>
      <c r="AH766">
        <v>13</v>
      </c>
      <c r="AI766">
        <v>13</v>
      </c>
      <c r="AJ766">
        <v>2</v>
      </c>
      <c r="AK766">
        <v>20</v>
      </c>
      <c r="AL766" t="s">
        <v>1710</v>
      </c>
      <c r="AM766" t="s">
        <v>609</v>
      </c>
      <c r="AN766" t="s">
        <v>1711</v>
      </c>
      <c r="AO766" t="s">
        <v>3699</v>
      </c>
      <c r="AP766" t="s">
        <v>3700</v>
      </c>
      <c r="AQ766" t="s">
        <v>74</v>
      </c>
      <c r="AR766" t="s">
        <v>3701</v>
      </c>
      <c r="AS766" t="s">
        <v>3702</v>
      </c>
      <c r="AT766" t="s">
        <v>15217</v>
      </c>
      <c r="AU766">
        <v>2020</v>
      </c>
      <c r="AV766">
        <v>47</v>
      </c>
      <c r="AW766">
        <v>16</v>
      </c>
      <c r="AX766" t="s">
        <v>74</v>
      </c>
      <c r="AY766" t="s">
        <v>74</v>
      </c>
      <c r="AZ766" t="s">
        <v>74</v>
      </c>
      <c r="BA766" t="s">
        <v>74</v>
      </c>
      <c r="BB766" t="s">
        <v>74</v>
      </c>
      <c r="BC766" t="s">
        <v>74</v>
      </c>
      <c r="BD766" t="s">
        <v>15290</v>
      </c>
      <c r="BE766" t="s">
        <v>15291</v>
      </c>
      <c r="BF766" t="str">
        <f>HYPERLINK("http://dx.doi.org/10.1029/2020GL088898","http://dx.doi.org/10.1029/2020GL088898")</f>
        <v>http://dx.doi.org/10.1029/2020GL088898</v>
      </c>
      <c r="BG766" t="s">
        <v>74</v>
      </c>
      <c r="BH766" t="s">
        <v>74</v>
      </c>
      <c r="BI766">
        <v>10</v>
      </c>
      <c r="BJ766" t="s">
        <v>534</v>
      </c>
      <c r="BK766" t="s">
        <v>100</v>
      </c>
      <c r="BL766" t="s">
        <v>535</v>
      </c>
      <c r="BM766" t="s">
        <v>15273</v>
      </c>
      <c r="BN766" t="s">
        <v>74</v>
      </c>
      <c r="BO766" t="s">
        <v>15292</v>
      </c>
      <c r="BP766" t="s">
        <v>74</v>
      </c>
      <c r="BQ766" t="s">
        <v>74</v>
      </c>
      <c r="BR766" t="s">
        <v>104</v>
      </c>
      <c r="BS766" t="s">
        <v>15293</v>
      </c>
      <c r="BT766" t="str">
        <f>HYPERLINK("https%3A%2F%2Fwww.webofscience.com%2Fwos%2Fwoscc%2Ffull-record%2FWOS:000566245300088","View Full Record in Web of Science")</f>
        <v>View Full Record in Web of Science</v>
      </c>
    </row>
    <row r="767" spans="1:72" x14ac:dyDescent="0.15">
      <c r="A767" t="s">
        <v>72</v>
      </c>
      <c r="B767" t="s">
        <v>15294</v>
      </c>
      <c r="C767" t="s">
        <v>74</v>
      </c>
      <c r="D767" t="s">
        <v>74</v>
      </c>
      <c r="E767" t="s">
        <v>74</v>
      </c>
      <c r="F767" t="s">
        <v>15295</v>
      </c>
      <c r="G767" t="s">
        <v>74</v>
      </c>
      <c r="H767" t="s">
        <v>74</v>
      </c>
      <c r="I767" t="s">
        <v>15296</v>
      </c>
      <c r="J767" t="s">
        <v>469</v>
      </c>
      <c r="K767" t="s">
        <v>74</v>
      </c>
      <c r="L767" t="s">
        <v>74</v>
      </c>
      <c r="M767" t="s">
        <v>78</v>
      </c>
      <c r="N767" t="s">
        <v>79</v>
      </c>
      <c r="O767" t="s">
        <v>74</v>
      </c>
      <c r="P767" t="s">
        <v>74</v>
      </c>
      <c r="Q767" t="s">
        <v>74</v>
      </c>
      <c r="R767" t="s">
        <v>74</v>
      </c>
      <c r="S767" t="s">
        <v>74</v>
      </c>
      <c r="T767" t="s">
        <v>15297</v>
      </c>
      <c r="U767" t="s">
        <v>15298</v>
      </c>
      <c r="V767" t="s">
        <v>15299</v>
      </c>
      <c r="W767" t="s">
        <v>15300</v>
      </c>
      <c r="X767" t="s">
        <v>15301</v>
      </c>
      <c r="Y767" t="s">
        <v>15302</v>
      </c>
      <c r="Z767" t="s">
        <v>11724</v>
      </c>
      <c r="AA767" t="s">
        <v>15303</v>
      </c>
      <c r="AB767" t="s">
        <v>15304</v>
      </c>
      <c r="AC767" t="s">
        <v>15305</v>
      </c>
      <c r="AD767" t="s">
        <v>15306</v>
      </c>
      <c r="AE767" t="s">
        <v>15307</v>
      </c>
      <c r="AF767" t="s">
        <v>74</v>
      </c>
      <c r="AG767">
        <v>57</v>
      </c>
      <c r="AH767">
        <v>14</v>
      </c>
      <c r="AI767">
        <v>15</v>
      </c>
      <c r="AJ767">
        <v>2</v>
      </c>
      <c r="AK767">
        <v>12</v>
      </c>
      <c r="AL767" t="s">
        <v>482</v>
      </c>
      <c r="AM767" t="s">
        <v>483</v>
      </c>
      <c r="AN767" t="s">
        <v>484</v>
      </c>
      <c r="AO767" t="s">
        <v>485</v>
      </c>
      <c r="AP767" t="s">
        <v>486</v>
      </c>
      <c r="AQ767" t="s">
        <v>74</v>
      </c>
      <c r="AR767" t="s">
        <v>487</v>
      </c>
      <c r="AS767" t="s">
        <v>488</v>
      </c>
      <c r="AT767" t="s">
        <v>2623</v>
      </c>
      <c r="AU767">
        <v>2021</v>
      </c>
      <c r="AV767">
        <v>81</v>
      </c>
      <c r="AW767">
        <v>2</v>
      </c>
      <c r="AX767" t="s">
        <v>74</v>
      </c>
      <c r="AY767" t="s">
        <v>74</v>
      </c>
      <c r="AZ767" t="s">
        <v>74</v>
      </c>
      <c r="BA767" t="s">
        <v>74</v>
      </c>
      <c r="BB767">
        <v>323</v>
      </c>
      <c r="BC767">
        <v>334</v>
      </c>
      <c r="BD767" t="s">
        <v>74</v>
      </c>
      <c r="BE767" t="s">
        <v>15308</v>
      </c>
      <c r="BF767" t="str">
        <f>HYPERLINK("http://dx.doi.org/10.1007/s00248-020-01584-9","http://dx.doi.org/10.1007/s00248-020-01584-9")</f>
        <v>http://dx.doi.org/10.1007/s00248-020-01584-9</v>
      </c>
      <c r="BG767" t="s">
        <v>74</v>
      </c>
      <c r="BH767" t="s">
        <v>15048</v>
      </c>
      <c r="BI767">
        <v>12</v>
      </c>
      <c r="BJ767" t="s">
        <v>491</v>
      </c>
      <c r="BK767" t="s">
        <v>100</v>
      </c>
      <c r="BL767" t="s">
        <v>492</v>
      </c>
      <c r="BM767" t="s">
        <v>11077</v>
      </c>
      <c r="BN767">
        <v>32860076</v>
      </c>
      <c r="BO767" t="s">
        <v>74</v>
      </c>
      <c r="BP767" t="s">
        <v>74</v>
      </c>
      <c r="BQ767" t="s">
        <v>74</v>
      </c>
      <c r="BR767" t="s">
        <v>104</v>
      </c>
      <c r="BS767" t="s">
        <v>15309</v>
      </c>
      <c r="BT767" t="str">
        <f>HYPERLINK("https%3A%2F%2Fwww.webofscience.com%2Fwos%2Fwoscc%2Ffull-record%2FWOS:000563605000001","View Full Record in Web of Science")</f>
        <v>View Full Record in Web of Science</v>
      </c>
    </row>
    <row r="768" spans="1:72" x14ac:dyDescent="0.15">
      <c r="A768" t="s">
        <v>72</v>
      </c>
      <c r="B768" t="s">
        <v>15310</v>
      </c>
      <c r="C768" t="s">
        <v>74</v>
      </c>
      <c r="D768" t="s">
        <v>74</v>
      </c>
      <c r="E768" t="s">
        <v>74</v>
      </c>
      <c r="F768" t="s">
        <v>15311</v>
      </c>
      <c r="G768" t="s">
        <v>74</v>
      </c>
      <c r="H768" t="s">
        <v>74</v>
      </c>
      <c r="I768" t="s">
        <v>15312</v>
      </c>
      <c r="J768" t="s">
        <v>3687</v>
      </c>
      <c r="K768" t="s">
        <v>74</v>
      </c>
      <c r="L768" t="s">
        <v>74</v>
      </c>
      <c r="M768" t="s">
        <v>78</v>
      </c>
      <c r="N768" t="s">
        <v>79</v>
      </c>
      <c r="O768" t="s">
        <v>74</v>
      </c>
      <c r="P768" t="s">
        <v>74</v>
      </c>
      <c r="Q768" t="s">
        <v>74</v>
      </c>
      <c r="R768" t="s">
        <v>74</v>
      </c>
      <c r="S768" t="s">
        <v>74</v>
      </c>
      <c r="T768" t="s">
        <v>15313</v>
      </c>
      <c r="U768" t="s">
        <v>15314</v>
      </c>
      <c r="V768" t="s">
        <v>15315</v>
      </c>
      <c r="W768" t="s">
        <v>15316</v>
      </c>
      <c r="X768" t="s">
        <v>15317</v>
      </c>
      <c r="Y768" t="s">
        <v>15318</v>
      </c>
      <c r="Z768" t="s">
        <v>15319</v>
      </c>
      <c r="AA768" t="s">
        <v>74</v>
      </c>
      <c r="AB768" t="s">
        <v>74</v>
      </c>
      <c r="AC768" t="s">
        <v>15320</v>
      </c>
      <c r="AD768" t="s">
        <v>15321</v>
      </c>
      <c r="AE768" t="s">
        <v>15322</v>
      </c>
      <c r="AF768" t="s">
        <v>74</v>
      </c>
      <c r="AG768">
        <v>55</v>
      </c>
      <c r="AH768">
        <v>25</v>
      </c>
      <c r="AI768">
        <v>26</v>
      </c>
      <c r="AJ768">
        <v>0</v>
      </c>
      <c r="AK768">
        <v>16</v>
      </c>
      <c r="AL768" t="s">
        <v>1710</v>
      </c>
      <c r="AM768" t="s">
        <v>609</v>
      </c>
      <c r="AN768" t="s">
        <v>1711</v>
      </c>
      <c r="AO768" t="s">
        <v>3699</v>
      </c>
      <c r="AP768" t="s">
        <v>3700</v>
      </c>
      <c r="AQ768" t="s">
        <v>74</v>
      </c>
      <c r="AR768" t="s">
        <v>3701</v>
      </c>
      <c r="AS768" t="s">
        <v>3702</v>
      </c>
      <c r="AT768" t="s">
        <v>15217</v>
      </c>
      <c r="AU768">
        <v>2020</v>
      </c>
      <c r="AV768">
        <v>47</v>
      </c>
      <c r="AW768">
        <v>16</v>
      </c>
      <c r="AX768" t="s">
        <v>74</v>
      </c>
      <c r="AY768" t="s">
        <v>74</v>
      </c>
      <c r="AZ768" t="s">
        <v>74</v>
      </c>
      <c r="BA768" t="s">
        <v>74</v>
      </c>
      <c r="BB768" t="s">
        <v>74</v>
      </c>
      <c r="BC768" t="s">
        <v>74</v>
      </c>
      <c r="BD768" t="s">
        <v>15323</v>
      </c>
      <c r="BE768" t="s">
        <v>15324</v>
      </c>
      <c r="BF768" t="str">
        <f>HYPERLINK("http://dx.doi.org/10.1029/2020GL087802","http://dx.doi.org/10.1029/2020GL087802")</f>
        <v>http://dx.doi.org/10.1029/2020GL087802</v>
      </c>
      <c r="BG768" t="s">
        <v>74</v>
      </c>
      <c r="BH768" t="s">
        <v>74</v>
      </c>
      <c r="BI768">
        <v>9</v>
      </c>
      <c r="BJ768" t="s">
        <v>534</v>
      </c>
      <c r="BK768" t="s">
        <v>100</v>
      </c>
      <c r="BL768" t="s">
        <v>535</v>
      </c>
      <c r="BM768" t="s">
        <v>15273</v>
      </c>
      <c r="BN768" t="s">
        <v>74</v>
      </c>
      <c r="BO768" t="s">
        <v>376</v>
      </c>
      <c r="BP768" t="s">
        <v>74</v>
      </c>
      <c r="BQ768" t="s">
        <v>74</v>
      </c>
      <c r="BR768" t="s">
        <v>104</v>
      </c>
      <c r="BS768" t="s">
        <v>15325</v>
      </c>
      <c r="BT768" t="str">
        <f>HYPERLINK("https%3A%2F%2Fwww.webofscience.com%2Fwos%2Fwoscc%2Ffull-record%2FWOS:000566245300023","View Full Record in Web of Science")</f>
        <v>View Full Record in Web of Science</v>
      </c>
    </row>
    <row r="769" spans="1:72" x14ac:dyDescent="0.15">
      <c r="A769" t="s">
        <v>72</v>
      </c>
      <c r="B769" t="s">
        <v>15326</v>
      </c>
      <c r="C769" t="s">
        <v>74</v>
      </c>
      <c r="D769" t="s">
        <v>74</v>
      </c>
      <c r="E769" t="s">
        <v>74</v>
      </c>
      <c r="F769" t="s">
        <v>15327</v>
      </c>
      <c r="G769" t="s">
        <v>74</v>
      </c>
      <c r="H769" t="s">
        <v>74</v>
      </c>
      <c r="I769" t="s">
        <v>15328</v>
      </c>
      <c r="J769" t="s">
        <v>15329</v>
      </c>
      <c r="K769" t="s">
        <v>74</v>
      </c>
      <c r="L769" t="s">
        <v>74</v>
      </c>
      <c r="M769" t="s">
        <v>78</v>
      </c>
      <c r="N769" t="s">
        <v>79</v>
      </c>
      <c r="O769" t="s">
        <v>74</v>
      </c>
      <c r="P769" t="s">
        <v>74</v>
      </c>
      <c r="Q769" t="s">
        <v>74</v>
      </c>
      <c r="R769" t="s">
        <v>74</v>
      </c>
      <c r="S769" t="s">
        <v>74</v>
      </c>
      <c r="T769" t="s">
        <v>15330</v>
      </c>
      <c r="U769" t="s">
        <v>15331</v>
      </c>
      <c r="V769" t="s">
        <v>15332</v>
      </c>
      <c r="W769" t="s">
        <v>15333</v>
      </c>
      <c r="X769" t="s">
        <v>15334</v>
      </c>
      <c r="Y769" t="s">
        <v>15335</v>
      </c>
      <c r="Z769" t="s">
        <v>15336</v>
      </c>
      <c r="AA769" t="s">
        <v>15337</v>
      </c>
      <c r="AB769" t="s">
        <v>15338</v>
      </c>
      <c r="AC769" t="s">
        <v>15339</v>
      </c>
      <c r="AD769" t="s">
        <v>15339</v>
      </c>
      <c r="AE769" t="s">
        <v>15340</v>
      </c>
      <c r="AF769" t="s">
        <v>74</v>
      </c>
      <c r="AG769">
        <v>74</v>
      </c>
      <c r="AH769">
        <v>21</v>
      </c>
      <c r="AI769">
        <v>22</v>
      </c>
      <c r="AJ769">
        <v>3</v>
      </c>
      <c r="AK769">
        <v>32</v>
      </c>
      <c r="AL769" t="s">
        <v>3145</v>
      </c>
      <c r="AM769" t="s">
        <v>4452</v>
      </c>
      <c r="AN769" t="s">
        <v>6582</v>
      </c>
      <c r="AO769" t="s">
        <v>15341</v>
      </c>
      <c r="AP769" t="s">
        <v>15342</v>
      </c>
      <c r="AQ769" t="s">
        <v>74</v>
      </c>
      <c r="AR769" t="s">
        <v>15343</v>
      </c>
      <c r="AS769" t="s">
        <v>15344</v>
      </c>
      <c r="AT769" t="s">
        <v>15217</v>
      </c>
      <c r="AU769">
        <v>2020</v>
      </c>
      <c r="AV769">
        <v>124</v>
      </c>
      <c r="AW769">
        <v>4</v>
      </c>
      <c r="AX769" t="s">
        <v>74</v>
      </c>
      <c r="AY769" t="s">
        <v>74</v>
      </c>
      <c r="AZ769" t="s">
        <v>74</v>
      </c>
      <c r="BA769" t="s">
        <v>74</v>
      </c>
      <c r="BB769">
        <v>418</v>
      </c>
      <c r="BC769">
        <v>431</v>
      </c>
      <c r="BD769" t="s">
        <v>15345</v>
      </c>
      <c r="BE769" t="s">
        <v>15346</v>
      </c>
      <c r="BF769" t="str">
        <f>HYPERLINK("http://dx.doi.org/10.1017/S0007114520001282","http://dx.doi.org/10.1017/S0007114520001282")</f>
        <v>http://dx.doi.org/10.1017/S0007114520001282</v>
      </c>
      <c r="BG769" t="s">
        <v>74</v>
      </c>
      <c r="BH769" t="s">
        <v>74</v>
      </c>
      <c r="BI769">
        <v>14</v>
      </c>
      <c r="BJ769" t="s">
        <v>2167</v>
      </c>
      <c r="BK769" t="s">
        <v>100</v>
      </c>
      <c r="BL769" t="s">
        <v>2167</v>
      </c>
      <c r="BM769" t="s">
        <v>15347</v>
      </c>
      <c r="BN769">
        <v>32252833</v>
      </c>
      <c r="BO769" t="s">
        <v>1894</v>
      </c>
      <c r="BP769" t="s">
        <v>74</v>
      </c>
      <c r="BQ769" t="s">
        <v>74</v>
      </c>
      <c r="BR769" t="s">
        <v>104</v>
      </c>
      <c r="BS769" t="s">
        <v>15348</v>
      </c>
      <c r="BT769" t="str">
        <f>HYPERLINK("https%3A%2F%2Fwww.webofscience.com%2Fwos%2Fwoscc%2Ffull-record%2FWOS:000548542000007","View Full Record in Web of Science")</f>
        <v>View Full Record in Web of Science</v>
      </c>
    </row>
    <row r="770" spans="1:72" x14ac:dyDescent="0.15">
      <c r="A770" t="s">
        <v>72</v>
      </c>
      <c r="B770" t="s">
        <v>15349</v>
      </c>
      <c r="C770" t="s">
        <v>74</v>
      </c>
      <c r="D770" t="s">
        <v>74</v>
      </c>
      <c r="E770" t="s">
        <v>74</v>
      </c>
      <c r="F770" t="s">
        <v>15350</v>
      </c>
      <c r="G770" t="s">
        <v>74</v>
      </c>
      <c r="H770" t="s">
        <v>74</v>
      </c>
      <c r="I770" t="s">
        <v>15351</v>
      </c>
      <c r="J770" t="s">
        <v>3480</v>
      </c>
      <c r="K770" t="s">
        <v>74</v>
      </c>
      <c r="L770" t="s">
        <v>74</v>
      </c>
      <c r="M770" t="s">
        <v>78</v>
      </c>
      <c r="N770" t="s">
        <v>3481</v>
      </c>
      <c r="O770" t="s">
        <v>74</v>
      </c>
      <c r="P770" t="s">
        <v>74</v>
      </c>
      <c r="Q770" t="s">
        <v>74</v>
      </c>
      <c r="R770" t="s">
        <v>74</v>
      </c>
      <c r="S770" t="s">
        <v>74</v>
      </c>
      <c r="T770" t="s">
        <v>15352</v>
      </c>
      <c r="U770" t="s">
        <v>74</v>
      </c>
      <c r="V770" t="s">
        <v>15353</v>
      </c>
      <c r="W770" t="s">
        <v>15354</v>
      </c>
      <c r="X770" t="s">
        <v>15355</v>
      </c>
      <c r="Y770" t="s">
        <v>15356</v>
      </c>
      <c r="Z770" t="s">
        <v>15357</v>
      </c>
      <c r="AA770" t="s">
        <v>15358</v>
      </c>
      <c r="AB770" t="s">
        <v>74</v>
      </c>
      <c r="AC770" t="s">
        <v>74</v>
      </c>
      <c r="AD770" t="s">
        <v>74</v>
      </c>
      <c r="AE770" t="s">
        <v>74</v>
      </c>
      <c r="AF770" t="s">
        <v>74</v>
      </c>
      <c r="AG770">
        <v>11</v>
      </c>
      <c r="AH770">
        <v>2</v>
      </c>
      <c r="AI770">
        <v>2</v>
      </c>
      <c r="AJ770">
        <v>0</v>
      </c>
      <c r="AK770">
        <v>12</v>
      </c>
      <c r="AL770" t="s">
        <v>321</v>
      </c>
      <c r="AM770" t="s">
        <v>322</v>
      </c>
      <c r="AN770" t="s">
        <v>323</v>
      </c>
      <c r="AO770" t="s">
        <v>3484</v>
      </c>
      <c r="AP770" t="s">
        <v>3485</v>
      </c>
      <c r="AQ770" t="s">
        <v>74</v>
      </c>
      <c r="AR770" t="s">
        <v>3480</v>
      </c>
      <c r="AS770" t="s">
        <v>3486</v>
      </c>
      <c r="AT770" t="s">
        <v>15359</v>
      </c>
      <c r="AU770">
        <v>2020</v>
      </c>
      <c r="AV770">
        <v>584</v>
      </c>
      <c r="AW770">
        <v>7822</v>
      </c>
      <c r="AX770" t="s">
        <v>74</v>
      </c>
      <c r="AY770" t="s">
        <v>74</v>
      </c>
      <c r="AZ770" t="s">
        <v>74</v>
      </c>
      <c r="BA770" t="s">
        <v>74</v>
      </c>
      <c r="BB770">
        <v>527</v>
      </c>
      <c r="BC770">
        <v>528</v>
      </c>
      <c r="BD770" t="s">
        <v>74</v>
      </c>
      <c r="BE770" t="s">
        <v>15360</v>
      </c>
      <c r="BF770" t="str">
        <f>HYPERLINK("http://dx.doi.org/10.1038/d41586-020-02422-1","http://dx.doi.org/10.1038/d41586-020-02422-1")</f>
        <v>http://dx.doi.org/10.1038/d41586-020-02422-1</v>
      </c>
      <c r="BG770" t="s">
        <v>74</v>
      </c>
      <c r="BH770" t="s">
        <v>74</v>
      </c>
      <c r="BI770">
        <v>2</v>
      </c>
      <c r="BJ770" t="s">
        <v>329</v>
      </c>
      <c r="BK770" t="s">
        <v>255</v>
      </c>
      <c r="BL770" t="s">
        <v>330</v>
      </c>
      <c r="BM770" t="s">
        <v>15361</v>
      </c>
      <c r="BN770">
        <v>32848216</v>
      </c>
      <c r="BO770" t="s">
        <v>74</v>
      </c>
      <c r="BP770" t="s">
        <v>74</v>
      </c>
      <c r="BQ770" t="s">
        <v>74</v>
      </c>
      <c r="BR770" t="s">
        <v>104</v>
      </c>
      <c r="BS770" t="s">
        <v>15362</v>
      </c>
      <c r="BT770" t="str">
        <f>HYPERLINK("https%3A%2F%2Fwww.webofscience.com%2Fwos%2Fwoscc%2Ffull-record%2FWOS:000563223200009","View Full Record in Web of Science")</f>
        <v>View Full Record in Web of Science</v>
      </c>
    </row>
    <row r="771" spans="1:72" x14ac:dyDescent="0.15">
      <c r="A771" t="s">
        <v>72</v>
      </c>
      <c r="B771" t="s">
        <v>15363</v>
      </c>
      <c r="C771" t="s">
        <v>74</v>
      </c>
      <c r="D771" t="s">
        <v>74</v>
      </c>
      <c r="E771" t="s">
        <v>74</v>
      </c>
      <c r="F771" t="s">
        <v>15364</v>
      </c>
      <c r="G771" t="s">
        <v>74</v>
      </c>
      <c r="H771" t="s">
        <v>74</v>
      </c>
      <c r="I771" t="s">
        <v>15365</v>
      </c>
      <c r="J771" t="s">
        <v>5042</v>
      </c>
      <c r="K771" t="s">
        <v>74</v>
      </c>
      <c r="L771" t="s">
        <v>74</v>
      </c>
      <c r="M771" t="s">
        <v>78</v>
      </c>
      <c r="N771" t="s">
        <v>79</v>
      </c>
      <c r="O771" t="s">
        <v>74</v>
      </c>
      <c r="P771" t="s">
        <v>74</v>
      </c>
      <c r="Q771" t="s">
        <v>74</v>
      </c>
      <c r="R771" t="s">
        <v>74</v>
      </c>
      <c r="S771" t="s">
        <v>74</v>
      </c>
      <c r="T771" t="s">
        <v>74</v>
      </c>
      <c r="U771" t="s">
        <v>15366</v>
      </c>
      <c r="V771" t="s">
        <v>15367</v>
      </c>
      <c r="W771" t="s">
        <v>15368</v>
      </c>
      <c r="X771" t="s">
        <v>15369</v>
      </c>
      <c r="Y771" t="s">
        <v>15370</v>
      </c>
      <c r="Z771" t="s">
        <v>15371</v>
      </c>
      <c r="AA771" t="s">
        <v>74</v>
      </c>
      <c r="AB771" t="s">
        <v>15372</v>
      </c>
      <c r="AC771" t="s">
        <v>15373</v>
      </c>
      <c r="AD771" t="s">
        <v>1045</v>
      </c>
      <c r="AE771" t="s">
        <v>15374</v>
      </c>
      <c r="AF771" t="s">
        <v>74</v>
      </c>
      <c r="AG771">
        <v>46</v>
      </c>
      <c r="AH771">
        <v>19</v>
      </c>
      <c r="AI771">
        <v>19</v>
      </c>
      <c r="AJ771">
        <v>1</v>
      </c>
      <c r="AK771">
        <v>6</v>
      </c>
      <c r="AL771" t="s">
        <v>413</v>
      </c>
      <c r="AM771" t="s">
        <v>322</v>
      </c>
      <c r="AN771" t="s">
        <v>323</v>
      </c>
      <c r="AO771" t="s">
        <v>74</v>
      </c>
      <c r="AP771" t="s">
        <v>5054</v>
      </c>
      <c r="AQ771" t="s">
        <v>74</v>
      </c>
      <c r="AR771" t="s">
        <v>5055</v>
      </c>
      <c r="AS771" t="s">
        <v>5056</v>
      </c>
      <c r="AT771" t="s">
        <v>15359</v>
      </c>
      <c r="AU771">
        <v>2020</v>
      </c>
      <c r="AV771">
        <v>3</v>
      </c>
      <c r="AW771">
        <v>1</v>
      </c>
      <c r="AX771" t="s">
        <v>74</v>
      </c>
      <c r="AY771" t="s">
        <v>74</v>
      </c>
      <c r="AZ771" t="s">
        <v>74</v>
      </c>
      <c r="BA771" t="s">
        <v>74</v>
      </c>
      <c r="BB771" t="s">
        <v>74</v>
      </c>
      <c r="BC771" t="s">
        <v>74</v>
      </c>
      <c r="BD771">
        <v>471</v>
      </c>
      <c r="BE771" t="s">
        <v>15375</v>
      </c>
      <c r="BF771" t="str">
        <f>HYPERLINK("http://dx.doi.org/10.1038/s42003-020-01207-6","http://dx.doi.org/10.1038/s42003-020-01207-6")</f>
        <v>http://dx.doi.org/10.1038/s42003-020-01207-6</v>
      </c>
      <c r="BG771" t="s">
        <v>74</v>
      </c>
      <c r="BH771" t="s">
        <v>74</v>
      </c>
      <c r="BI771">
        <v>6</v>
      </c>
      <c r="BJ771" t="s">
        <v>5059</v>
      </c>
      <c r="BK771" t="s">
        <v>100</v>
      </c>
      <c r="BL771" t="s">
        <v>5060</v>
      </c>
      <c r="BM771" t="s">
        <v>15376</v>
      </c>
      <c r="BN771">
        <v>32855434</v>
      </c>
      <c r="BO771" t="s">
        <v>2113</v>
      </c>
      <c r="BP771" t="s">
        <v>74</v>
      </c>
      <c r="BQ771" t="s">
        <v>74</v>
      </c>
      <c r="BR771" t="s">
        <v>104</v>
      </c>
      <c r="BS771" t="s">
        <v>15377</v>
      </c>
      <c r="BT771" t="str">
        <f>HYPERLINK("https%3A%2F%2Fwww.webofscience.com%2Fwos%2Fwoscc%2Ffull-record%2FWOS:000570892600001","View Full Record in Web of Science")</f>
        <v>View Full Record in Web of Science</v>
      </c>
    </row>
    <row r="772" spans="1:72" x14ac:dyDescent="0.15">
      <c r="A772" t="s">
        <v>72</v>
      </c>
      <c r="B772" t="s">
        <v>15378</v>
      </c>
      <c r="C772" t="s">
        <v>74</v>
      </c>
      <c r="D772" t="s">
        <v>74</v>
      </c>
      <c r="E772" t="s">
        <v>74</v>
      </c>
      <c r="F772" t="s">
        <v>15379</v>
      </c>
      <c r="G772" t="s">
        <v>74</v>
      </c>
      <c r="H772" t="s">
        <v>74</v>
      </c>
      <c r="I772" t="s">
        <v>15380</v>
      </c>
      <c r="J772" t="s">
        <v>3492</v>
      </c>
      <c r="K772" t="s">
        <v>74</v>
      </c>
      <c r="L772" t="s">
        <v>74</v>
      </c>
      <c r="M772" t="s">
        <v>78</v>
      </c>
      <c r="N772" t="s">
        <v>79</v>
      </c>
      <c r="O772" t="s">
        <v>74</v>
      </c>
      <c r="P772" t="s">
        <v>74</v>
      </c>
      <c r="Q772" t="s">
        <v>74</v>
      </c>
      <c r="R772" t="s">
        <v>74</v>
      </c>
      <c r="S772" t="s">
        <v>74</v>
      </c>
      <c r="T772" t="s">
        <v>15381</v>
      </c>
      <c r="U772" t="s">
        <v>15382</v>
      </c>
      <c r="V772" t="s">
        <v>15383</v>
      </c>
      <c r="W772" t="s">
        <v>15384</v>
      </c>
      <c r="X772" t="s">
        <v>15385</v>
      </c>
      <c r="Y772" t="s">
        <v>15386</v>
      </c>
      <c r="Z772" t="s">
        <v>9204</v>
      </c>
      <c r="AA772" t="s">
        <v>15387</v>
      </c>
      <c r="AB772" t="s">
        <v>15388</v>
      </c>
      <c r="AC772" t="s">
        <v>15389</v>
      </c>
      <c r="AD772" t="s">
        <v>15390</v>
      </c>
      <c r="AE772" t="s">
        <v>15391</v>
      </c>
      <c r="AF772" t="s">
        <v>74</v>
      </c>
      <c r="AG772">
        <v>87</v>
      </c>
      <c r="AH772">
        <v>15</v>
      </c>
      <c r="AI772">
        <v>17</v>
      </c>
      <c r="AJ772">
        <v>3</v>
      </c>
      <c r="AK772">
        <v>25</v>
      </c>
      <c r="AL772" t="s">
        <v>866</v>
      </c>
      <c r="AM772" t="s">
        <v>867</v>
      </c>
      <c r="AN772" t="s">
        <v>868</v>
      </c>
      <c r="AO772" t="s">
        <v>74</v>
      </c>
      <c r="AP772" t="s">
        <v>3505</v>
      </c>
      <c r="AQ772" t="s">
        <v>74</v>
      </c>
      <c r="AR772" t="s">
        <v>3506</v>
      </c>
      <c r="AS772" t="s">
        <v>3507</v>
      </c>
      <c r="AT772" t="s">
        <v>15359</v>
      </c>
      <c r="AU772">
        <v>2020</v>
      </c>
      <c r="AV772">
        <v>8</v>
      </c>
      <c r="AW772" t="s">
        <v>74</v>
      </c>
      <c r="AX772" t="s">
        <v>74</v>
      </c>
      <c r="AY772" t="s">
        <v>74</v>
      </c>
      <c r="AZ772" t="s">
        <v>74</v>
      </c>
      <c r="BA772" t="s">
        <v>74</v>
      </c>
      <c r="BB772" t="s">
        <v>74</v>
      </c>
      <c r="BC772" t="s">
        <v>74</v>
      </c>
      <c r="BD772">
        <v>341</v>
      </c>
      <c r="BE772" t="s">
        <v>15392</v>
      </c>
      <c r="BF772" t="str">
        <f>HYPERLINK("http://dx.doi.org/10.3389/feart.2020.00341","http://dx.doi.org/10.3389/feart.2020.00341")</f>
        <v>http://dx.doi.org/10.3389/feart.2020.00341</v>
      </c>
      <c r="BG772" t="s">
        <v>74</v>
      </c>
      <c r="BH772" t="s">
        <v>74</v>
      </c>
      <c r="BI772">
        <v>19</v>
      </c>
      <c r="BJ772" t="s">
        <v>534</v>
      </c>
      <c r="BK772" t="s">
        <v>100</v>
      </c>
      <c r="BL772" t="s">
        <v>535</v>
      </c>
      <c r="BM772" t="s">
        <v>15393</v>
      </c>
      <c r="BN772" t="s">
        <v>74</v>
      </c>
      <c r="BO772" t="s">
        <v>2113</v>
      </c>
      <c r="BP772" t="s">
        <v>74</v>
      </c>
      <c r="BQ772" t="s">
        <v>74</v>
      </c>
      <c r="BR772" t="s">
        <v>104</v>
      </c>
      <c r="BS772" t="s">
        <v>15394</v>
      </c>
      <c r="BT772" t="str">
        <f>HYPERLINK("https%3A%2F%2Fwww.webofscience.com%2Fwos%2Fwoscc%2Ffull-record%2FWOS:000570444700001","View Full Record in Web of Science")</f>
        <v>View Full Record in Web of Science</v>
      </c>
    </row>
    <row r="773" spans="1:72" x14ac:dyDescent="0.15">
      <c r="A773" t="s">
        <v>72</v>
      </c>
      <c r="B773" t="s">
        <v>15395</v>
      </c>
      <c r="C773" t="s">
        <v>74</v>
      </c>
      <c r="D773" t="s">
        <v>74</v>
      </c>
      <c r="E773" t="s">
        <v>74</v>
      </c>
      <c r="F773" t="s">
        <v>15396</v>
      </c>
      <c r="G773" t="s">
        <v>74</v>
      </c>
      <c r="H773" t="s">
        <v>74</v>
      </c>
      <c r="I773" t="s">
        <v>15397</v>
      </c>
      <c r="J773" t="s">
        <v>77</v>
      </c>
      <c r="K773" t="s">
        <v>74</v>
      </c>
      <c r="L773" t="s">
        <v>74</v>
      </c>
      <c r="M773" t="s">
        <v>78</v>
      </c>
      <c r="N773" t="s">
        <v>79</v>
      </c>
      <c r="O773" t="s">
        <v>74</v>
      </c>
      <c r="P773" t="s">
        <v>74</v>
      </c>
      <c r="Q773" t="s">
        <v>74</v>
      </c>
      <c r="R773" t="s">
        <v>74</v>
      </c>
      <c r="S773" t="s">
        <v>74</v>
      </c>
      <c r="T773" t="s">
        <v>74</v>
      </c>
      <c r="U773" t="s">
        <v>15398</v>
      </c>
      <c r="V773" t="s">
        <v>15399</v>
      </c>
      <c r="W773" t="s">
        <v>15400</v>
      </c>
      <c r="X773" t="s">
        <v>15401</v>
      </c>
      <c r="Y773" t="s">
        <v>15402</v>
      </c>
      <c r="Z773" t="s">
        <v>15403</v>
      </c>
      <c r="AA773" t="s">
        <v>15404</v>
      </c>
      <c r="AB773" t="s">
        <v>15405</v>
      </c>
      <c r="AC773" t="s">
        <v>15406</v>
      </c>
      <c r="AD773" t="s">
        <v>15406</v>
      </c>
      <c r="AE773" t="s">
        <v>15407</v>
      </c>
      <c r="AF773" t="s">
        <v>74</v>
      </c>
      <c r="AG773">
        <v>22</v>
      </c>
      <c r="AH773">
        <v>27</v>
      </c>
      <c r="AI773">
        <v>28</v>
      </c>
      <c r="AJ773">
        <v>5</v>
      </c>
      <c r="AK773">
        <v>35</v>
      </c>
      <c r="AL773" t="s">
        <v>91</v>
      </c>
      <c r="AM773" t="s">
        <v>92</v>
      </c>
      <c r="AN773" t="s">
        <v>93</v>
      </c>
      <c r="AO773" t="s">
        <v>94</v>
      </c>
      <c r="AP773" t="s">
        <v>95</v>
      </c>
      <c r="AQ773" t="s">
        <v>74</v>
      </c>
      <c r="AR773" t="s">
        <v>77</v>
      </c>
      <c r="AS773" t="s">
        <v>96</v>
      </c>
      <c r="AT773" t="s">
        <v>15359</v>
      </c>
      <c r="AU773">
        <v>2020</v>
      </c>
      <c r="AV773">
        <v>14</v>
      </c>
      <c r="AW773">
        <v>8</v>
      </c>
      <c r="AX773" t="s">
        <v>74</v>
      </c>
      <c r="AY773" t="s">
        <v>74</v>
      </c>
      <c r="AZ773" t="s">
        <v>74</v>
      </c>
      <c r="BA773" t="s">
        <v>74</v>
      </c>
      <c r="BB773">
        <v>2715</v>
      </c>
      <c r="BC773">
        <v>2727</v>
      </c>
      <c r="BD773" t="s">
        <v>74</v>
      </c>
      <c r="BE773" t="s">
        <v>15408</v>
      </c>
      <c r="BF773" t="str">
        <f>HYPERLINK("http://dx.doi.org/10.5194/tc-14-2715-2020","http://dx.doi.org/10.5194/tc-14-2715-2020")</f>
        <v>http://dx.doi.org/10.5194/tc-14-2715-2020</v>
      </c>
      <c r="BG773" t="s">
        <v>74</v>
      </c>
      <c r="BH773" t="s">
        <v>74</v>
      </c>
      <c r="BI773">
        <v>13</v>
      </c>
      <c r="BJ773" t="s">
        <v>99</v>
      </c>
      <c r="BK773" t="s">
        <v>100</v>
      </c>
      <c r="BL773" t="s">
        <v>101</v>
      </c>
      <c r="BM773" t="s">
        <v>15409</v>
      </c>
      <c r="BN773" t="s">
        <v>74</v>
      </c>
      <c r="BO773" t="s">
        <v>677</v>
      </c>
      <c r="BP773" t="s">
        <v>74</v>
      </c>
      <c r="BQ773" t="s">
        <v>74</v>
      </c>
      <c r="BR773" t="s">
        <v>104</v>
      </c>
      <c r="BS773" t="s">
        <v>15410</v>
      </c>
      <c r="BT773" t="str">
        <f>HYPERLINK("https%3A%2F%2Fwww.webofscience.com%2Fwos%2Fwoscc%2Ffull-record%2FWOS:000566702400002","View Full Record in Web of Science")</f>
        <v>View Full Record in Web of Science</v>
      </c>
    </row>
    <row r="774" spans="1:72" x14ac:dyDescent="0.15">
      <c r="A774" t="s">
        <v>72</v>
      </c>
      <c r="B774" t="s">
        <v>15411</v>
      </c>
      <c r="C774" t="s">
        <v>74</v>
      </c>
      <c r="D774" t="s">
        <v>74</v>
      </c>
      <c r="E774" t="s">
        <v>74</v>
      </c>
      <c r="F774" t="s">
        <v>15412</v>
      </c>
      <c r="G774" t="s">
        <v>74</v>
      </c>
      <c r="H774" t="s">
        <v>74</v>
      </c>
      <c r="I774" t="s">
        <v>15413</v>
      </c>
      <c r="J774" t="s">
        <v>901</v>
      </c>
      <c r="K774" t="s">
        <v>74</v>
      </c>
      <c r="L774" t="s">
        <v>74</v>
      </c>
      <c r="M774" t="s">
        <v>78</v>
      </c>
      <c r="N774" t="s">
        <v>79</v>
      </c>
      <c r="O774" t="s">
        <v>74</v>
      </c>
      <c r="P774" t="s">
        <v>74</v>
      </c>
      <c r="Q774" t="s">
        <v>74</v>
      </c>
      <c r="R774" t="s">
        <v>74</v>
      </c>
      <c r="S774" t="s">
        <v>74</v>
      </c>
      <c r="T774" t="s">
        <v>15414</v>
      </c>
      <c r="U774" t="s">
        <v>15415</v>
      </c>
      <c r="V774" t="s">
        <v>15416</v>
      </c>
      <c r="W774" t="s">
        <v>15417</v>
      </c>
      <c r="X774" t="s">
        <v>15418</v>
      </c>
      <c r="Y774" t="s">
        <v>15419</v>
      </c>
      <c r="Z774" t="s">
        <v>15420</v>
      </c>
      <c r="AA774" t="s">
        <v>15421</v>
      </c>
      <c r="AB774" t="s">
        <v>15422</v>
      </c>
      <c r="AC774" t="s">
        <v>15423</v>
      </c>
      <c r="AD774" t="s">
        <v>15423</v>
      </c>
      <c r="AE774" t="s">
        <v>15424</v>
      </c>
      <c r="AF774" t="s">
        <v>74</v>
      </c>
      <c r="AG774">
        <v>78</v>
      </c>
      <c r="AH774">
        <v>5</v>
      </c>
      <c r="AI774">
        <v>5</v>
      </c>
      <c r="AJ774">
        <v>1</v>
      </c>
      <c r="AK774">
        <v>13</v>
      </c>
      <c r="AL774" t="s">
        <v>866</v>
      </c>
      <c r="AM774" t="s">
        <v>867</v>
      </c>
      <c r="AN774" t="s">
        <v>868</v>
      </c>
      <c r="AO774" t="s">
        <v>74</v>
      </c>
      <c r="AP774" t="s">
        <v>914</v>
      </c>
      <c r="AQ774" t="s">
        <v>74</v>
      </c>
      <c r="AR774" t="s">
        <v>915</v>
      </c>
      <c r="AS774" t="s">
        <v>916</v>
      </c>
      <c r="AT774" t="s">
        <v>15359</v>
      </c>
      <c r="AU774">
        <v>2020</v>
      </c>
      <c r="AV774">
        <v>7</v>
      </c>
      <c r="AW774" t="s">
        <v>74</v>
      </c>
      <c r="AX774" t="s">
        <v>74</v>
      </c>
      <c r="AY774" t="s">
        <v>74</v>
      </c>
      <c r="AZ774" t="s">
        <v>74</v>
      </c>
      <c r="BA774" t="s">
        <v>74</v>
      </c>
      <c r="BB774" t="s">
        <v>74</v>
      </c>
      <c r="BC774" t="s">
        <v>74</v>
      </c>
      <c r="BD774">
        <v>654</v>
      </c>
      <c r="BE774" t="s">
        <v>15425</v>
      </c>
      <c r="BF774" t="str">
        <f>HYPERLINK("http://dx.doi.org/10.3389/fmars.2020.00654","http://dx.doi.org/10.3389/fmars.2020.00654")</f>
        <v>http://dx.doi.org/10.3389/fmars.2020.00654</v>
      </c>
      <c r="BG774" t="s">
        <v>74</v>
      </c>
      <c r="BH774" t="s">
        <v>74</v>
      </c>
      <c r="BI774">
        <v>17</v>
      </c>
      <c r="BJ774" t="s">
        <v>918</v>
      </c>
      <c r="BK774" t="s">
        <v>100</v>
      </c>
      <c r="BL774" t="s">
        <v>919</v>
      </c>
      <c r="BM774" t="s">
        <v>15426</v>
      </c>
      <c r="BN774" t="s">
        <v>74</v>
      </c>
      <c r="BO774" t="s">
        <v>677</v>
      </c>
      <c r="BP774" t="s">
        <v>74</v>
      </c>
      <c r="BQ774" t="s">
        <v>74</v>
      </c>
      <c r="BR774" t="s">
        <v>104</v>
      </c>
      <c r="BS774" t="s">
        <v>15427</v>
      </c>
      <c r="BT774" t="str">
        <f>HYPERLINK("https%3A%2F%2Fwww.webofscience.com%2Fwos%2Fwoscc%2Ffull-record%2FWOS:000566552400001","View Full Record in Web of Science")</f>
        <v>View Full Record in Web of Science</v>
      </c>
    </row>
    <row r="775" spans="1:72" x14ac:dyDescent="0.15">
      <c r="A775" t="s">
        <v>72</v>
      </c>
      <c r="B775" t="s">
        <v>15428</v>
      </c>
      <c r="C775" t="s">
        <v>74</v>
      </c>
      <c r="D775" t="s">
        <v>74</v>
      </c>
      <c r="E775" t="s">
        <v>74</v>
      </c>
      <c r="F775" t="s">
        <v>15429</v>
      </c>
      <c r="G775" t="s">
        <v>74</v>
      </c>
      <c r="H775" t="s">
        <v>74</v>
      </c>
      <c r="I775" t="s">
        <v>15430</v>
      </c>
      <c r="J775" t="s">
        <v>4067</v>
      </c>
      <c r="K775" t="s">
        <v>74</v>
      </c>
      <c r="L775" t="s">
        <v>74</v>
      </c>
      <c r="M775" t="s">
        <v>78</v>
      </c>
      <c r="N775" t="s">
        <v>79</v>
      </c>
      <c r="O775" t="s">
        <v>74</v>
      </c>
      <c r="P775" t="s">
        <v>74</v>
      </c>
      <c r="Q775" t="s">
        <v>74</v>
      </c>
      <c r="R775" t="s">
        <v>74</v>
      </c>
      <c r="S775" t="s">
        <v>74</v>
      </c>
      <c r="T775" t="s">
        <v>15431</v>
      </c>
      <c r="U775" t="s">
        <v>15432</v>
      </c>
      <c r="V775" t="s">
        <v>15433</v>
      </c>
      <c r="W775" t="s">
        <v>15434</v>
      </c>
      <c r="X775" t="s">
        <v>15435</v>
      </c>
      <c r="Y775" t="s">
        <v>15436</v>
      </c>
      <c r="Z775" t="s">
        <v>15437</v>
      </c>
      <c r="AA775" t="s">
        <v>15438</v>
      </c>
      <c r="AB775" t="s">
        <v>15439</v>
      </c>
      <c r="AC775" t="s">
        <v>15440</v>
      </c>
      <c r="AD775" t="s">
        <v>15441</v>
      </c>
      <c r="AE775" t="s">
        <v>15442</v>
      </c>
      <c r="AF775" t="s">
        <v>74</v>
      </c>
      <c r="AG775">
        <v>84</v>
      </c>
      <c r="AH775">
        <v>6</v>
      </c>
      <c r="AI775">
        <v>7</v>
      </c>
      <c r="AJ775">
        <v>1</v>
      </c>
      <c r="AK775">
        <v>21</v>
      </c>
      <c r="AL775" t="s">
        <v>1710</v>
      </c>
      <c r="AM775" t="s">
        <v>609</v>
      </c>
      <c r="AN775" t="s">
        <v>1711</v>
      </c>
      <c r="AO775" t="s">
        <v>4079</v>
      </c>
      <c r="AP775" t="s">
        <v>4080</v>
      </c>
      <c r="AQ775" t="s">
        <v>74</v>
      </c>
      <c r="AR775" t="s">
        <v>4081</v>
      </c>
      <c r="AS775" t="s">
        <v>4082</v>
      </c>
      <c r="AT775" t="s">
        <v>15359</v>
      </c>
      <c r="AU775">
        <v>2020</v>
      </c>
      <c r="AV775">
        <v>125</v>
      </c>
      <c r="AW775">
        <v>16</v>
      </c>
      <c r="AX775" t="s">
        <v>74</v>
      </c>
      <c r="AY775" t="s">
        <v>74</v>
      </c>
      <c r="AZ775" t="s">
        <v>74</v>
      </c>
      <c r="BA775" t="s">
        <v>74</v>
      </c>
      <c r="BB775" t="s">
        <v>74</v>
      </c>
      <c r="BC775" t="s">
        <v>74</v>
      </c>
      <c r="BD775" t="s">
        <v>15443</v>
      </c>
      <c r="BE775" t="s">
        <v>15444</v>
      </c>
      <c r="BF775" t="str">
        <f>HYPERLINK("http://dx.doi.org/10.1029/2020JD033074","http://dx.doi.org/10.1029/2020JD033074")</f>
        <v>http://dx.doi.org/10.1029/2020JD033074</v>
      </c>
      <c r="BG775" t="s">
        <v>74</v>
      </c>
      <c r="BH775" t="s">
        <v>74</v>
      </c>
      <c r="BI775">
        <v>23</v>
      </c>
      <c r="BJ775" t="s">
        <v>800</v>
      </c>
      <c r="BK775" t="s">
        <v>100</v>
      </c>
      <c r="BL775" t="s">
        <v>800</v>
      </c>
      <c r="BM775" t="s">
        <v>15445</v>
      </c>
      <c r="BN775" t="s">
        <v>74</v>
      </c>
      <c r="BO775" t="s">
        <v>1943</v>
      </c>
      <c r="BP775" t="s">
        <v>74</v>
      </c>
      <c r="BQ775" t="s">
        <v>74</v>
      </c>
      <c r="BR775" t="s">
        <v>104</v>
      </c>
      <c r="BS775" t="s">
        <v>15446</v>
      </c>
      <c r="BT775" t="str">
        <f>HYPERLINK("https%3A%2F%2Fwww.webofscience.com%2Fwos%2Fwoscc%2Ffull-record%2FWOS:000565638400011","View Full Record in Web of Science")</f>
        <v>View Full Record in Web of Science</v>
      </c>
    </row>
    <row r="776" spans="1:72" x14ac:dyDescent="0.15">
      <c r="A776" t="s">
        <v>72</v>
      </c>
      <c r="B776" t="s">
        <v>15447</v>
      </c>
      <c r="C776" t="s">
        <v>74</v>
      </c>
      <c r="D776" t="s">
        <v>74</v>
      </c>
      <c r="E776" t="s">
        <v>74</v>
      </c>
      <c r="F776" t="s">
        <v>15448</v>
      </c>
      <c r="G776" t="s">
        <v>74</v>
      </c>
      <c r="H776" t="s">
        <v>74</v>
      </c>
      <c r="I776" t="s">
        <v>15449</v>
      </c>
      <c r="J776" t="s">
        <v>4067</v>
      </c>
      <c r="K776" t="s">
        <v>74</v>
      </c>
      <c r="L776" t="s">
        <v>74</v>
      </c>
      <c r="M776" t="s">
        <v>78</v>
      </c>
      <c r="N776" t="s">
        <v>79</v>
      </c>
      <c r="O776" t="s">
        <v>74</v>
      </c>
      <c r="P776" t="s">
        <v>74</v>
      </c>
      <c r="Q776" t="s">
        <v>74</v>
      </c>
      <c r="R776" t="s">
        <v>74</v>
      </c>
      <c r="S776" t="s">
        <v>74</v>
      </c>
      <c r="T776" t="s">
        <v>15450</v>
      </c>
      <c r="U776" t="s">
        <v>15451</v>
      </c>
      <c r="V776" t="s">
        <v>15452</v>
      </c>
      <c r="W776" t="s">
        <v>15453</v>
      </c>
      <c r="X776" t="s">
        <v>15454</v>
      </c>
      <c r="Y776" t="s">
        <v>15455</v>
      </c>
      <c r="Z776" t="s">
        <v>15456</v>
      </c>
      <c r="AA776" t="s">
        <v>15457</v>
      </c>
      <c r="AB776" t="s">
        <v>15458</v>
      </c>
      <c r="AC776" t="s">
        <v>15459</v>
      </c>
      <c r="AD776" t="s">
        <v>15460</v>
      </c>
      <c r="AE776" t="s">
        <v>15461</v>
      </c>
      <c r="AF776" t="s">
        <v>74</v>
      </c>
      <c r="AG776">
        <v>44</v>
      </c>
      <c r="AH776">
        <v>3</v>
      </c>
      <c r="AI776">
        <v>3</v>
      </c>
      <c r="AJ776">
        <v>0</v>
      </c>
      <c r="AK776">
        <v>2</v>
      </c>
      <c r="AL776" t="s">
        <v>1710</v>
      </c>
      <c r="AM776" t="s">
        <v>609</v>
      </c>
      <c r="AN776" t="s">
        <v>1711</v>
      </c>
      <c r="AO776" t="s">
        <v>4079</v>
      </c>
      <c r="AP776" t="s">
        <v>4080</v>
      </c>
      <c r="AQ776" t="s">
        <v>74</v>
      </c>
      <c r="AR776" t="s">
        <v>4081</v>
      </c>
      <c r="AS776" t="s">
        <v>4082</v>
      </c>
      <c r="AT776" t="s">
        <v>15359</v>
      </c>
      <c r="AU776">
        <v>2020</v>
      </c>
      <c r="AV776">
        <v>125</v>
      </c>
      <c r="AW776">
        <v>16</v>
      </c>
      <c r="AX776" t="s">
        <v>74</v>
      </c>
      <c r="AY776" t="s">
        <v>74</v>
      </c>
      <c r="AZ776" t="s">
        <v>74</v>
      </c>
      <c r="BA776" t="s">
        <v>74</v>
      </c>
      <c r="BB776" t="s">
        <v>74</v>
      </c>
      <c r="BC776" t="s">
        <v>74</v>
      </c>
      <c r="BD776" t="s">
        <v>15462</v>
      </c>
      <c r="BE776" t="s">
        <v>15463</v>
      </c>
      <c r="BF776" t="str">
        <f>HYPERLINK("http://dx.doi.org/10.1029/2020JD032745","http://dx.doi.org/10.1029/2020JD032745")</f>
        <v>http://dx.doi.org/10.1029/2020JD032745</v>
      </c>
      <c r="BG776" t="s">
        <v>74</v>
      </c>
      <c r="BH776" t="s">
        <v>74</v>
      </c>
      <c r="BI776">
        <v>11</v>
      </c>
      <c r="BJ776" t="s">
        <v>800</v>
      </c>
      <c r="BK776" t="s">
        <v>100</v>
      </c>
      <c r="BL776" t="s">
        <v>800</v>
      </c>
      <c r="BM776" t="s">
        <v>15445</v>
      </c>
      <c r="BN776" t="s">
        <v>74</v>
      </c>
      <c r="BO776" t="s">
        <v>1894</v>
      </c>
      <c r="BP776" t="s">
        <v>74</v>
      </c>
      <c r="BQ776" t="s">
        <v>74</v>
      </c>
      <c r="BR776" t="s">
        <v>104</v>
      </c>
      <c r="BS776" t="s">
        <v>15464</v>
      </c>
      <c r="BT776" t="str">
        <f>HYPERLINK("https%3A%2F%2Fwww.webofscience.com%2Fwos%2Fwoscc%2Ffull-record%2FWOS:000565638400005","View Full Record in Web of Science")</f>
        <v>View Full Record in Web of Science</v>
      </c>
    </row>
    <row r="777" spans="1:72" x14ac:dyDescent="0.15">
      <c r="A777" t="s">
        <v>72</v>
      </c>
      <c r="B777" t="s">
        <v>15465</v>
      </c>
      <c r="C777" t="s">
        <v>74</v>
      </c>
      <c r="D777" t="s">
        <v>74</v>
      </c>
      <c r="E777" t="s">
        <v>74</v>
      </c>
      <c r="F777" t="s">
        <v>15466</v>
      </c>
      <c r="G777" t="s">
        <v>74</v>
      </c>
      <c r="H777" t="s">
        <v>74</v>
      </c>
      <c r="I777" t="s">
        <v>15467</v>
      </c>
      <c r="J777" t="s">
        <v>4067</v>
      </c>
      <c r="K777" t="s">
        <v>74</v>
      </c>
      <c r="L777" t="s">
        <v>74</v>
      </c>
      <c r="M777" t="s">
        <v>78</v>
      </c>
      <c r="N777" t="s">
        <v>79</v>
      </c>
      <c r="O777" t="s">
        <v>74</v>
      </c>
      <c r="P777" t="s">
        <v>74</v>
      </c>
      <c r="Q777" t="s">
        <v>74</v>
      </c>
      <c r="R777" t="s">
        <v>74</v>
      </c>
      <c r="S777" t="s">
        <v>74</v>
      </c>
      <c r="T777" t="s">
        <v>15468</v>
      </c>
      <c r="U777" t="s">
        <v>15469</v>
      </c>
      <c r="V777" t="s">
        <v>15470</v>
      </c>
      <c r="W777" t="s">
        <v>15471</v>
      </c>
      <c r="X777" t="s">
        <v>15472</v>
      </c>
      <c r="Y777" t="s">
        <v>3692</v>
      </c>
      <c r="Z777" t="s">
        <v>3693</v>
      </c>
      <c r="AA777" t="s">
        <v>15473</v>
      </c>
      <c r="AB777" t="s">
        <v>15474</v>
      </c>
      <c r="AC777" t="s">
        <v>15475</v>
      </c>
      <c r="AD777" t="s">
        <v>15476</v>
      </c>
      <c r="AE777" t="s">
        <v>15477</v>
      </c>
      <c r="AF777" t="s">
        <v>74</v>
      </c>
      <c r="AG777">
        <v>64</v>
      </c>
      <c r="AH777">
        <v>7</v>
      </c>
      <c r="AI777">
        <v>7</v>
      </c>
      <c r="AJ777">
        <v>0</v>
      </c>
      <c r="AK777">
        <v>4</v>
      </c>
      <c r="AL777" t="s">
        <v>1710</v>
      </c>
      <c r="AM777" t="s">
        <v>609</v>
      </c>
      <c r="AN777" t="s">
        <v>1711</v>
      </c>
      <c r="AO777" t="s">
        <v>4079</v>
      </c>
      <c r="AP777" t="s">
        <v>4080</v>
      </c>
      <c r="AQ777" t="s">
        <v>74</v>
      </c>
      <c r="AR777" t="s">
        <v>4081</v>
      </c>
      <c r="AS777" t="s">
        <v>4082</v>
      </c>
      <c r="AT777" t="s">
        <v>15359</v>
      </c>
      <c r="AU777">
        <v>2020</v>
      </c>
      <c r="AV777">
        <v>125</v>
      </c>
      <c r="AW777">
        <v>16</v>
      </c>
      <c r="AX777" t="s">
        <v>74</v>
      </c>
      <c r="AY777" t="s">
        <v>74</v>
      </c>
      <c r="AZ777" t="s">
        <v>74</v>
      </c>
      <c r="BA777" t="s">
        <v>74</v>
      </c>
      <c r="BB777" t="s">
        <v>74</v>
      </c>
      <c r="BC777" t="s">
        <v>74</v>
      </c>
      <c r="BD777" t="s">
        <v>15478</v>
      </c>
      <c r="BE777" t="s">
        <v>15479</v>
      </c>
      <c r="BF777" t="str">
        <f>HYPERLINK("http://dx.doi.org/10.1029/2020JD032866","http://dx.doi.org/10.1029/2020JD032866")</f>
        <v>http://dx.doi.org/10.1029/2020JD032866</v>
      </c>
      <c r="BG777" t="s">
        <v>74</v>
      </c>
      <c r="BH777" t="s">
        <v>74</v>
      </c>
      <c r="BI777">
        <v>22</v>
      </c>
      <c r="BJ777" t="s">
        <v>800</v>
      </c>
      <c r="BK777" t="s">
        <v>100</v>
      </c>
      <c r="BL777" t="s">
        <v>800</v>
      </c>
      <c r="BM777" t="s">
        <v>15445</v>
      </c>
      <c r="BN777" t="s">
        <v>74</v>
      </c>
      <c r="BO777" t="s">
        <v>74</v>
      </c>
      <c r="BP777" t="s">
        <v>74</v>
      </c>
      <c r="BQ777" t="s">
        <v>74</v>
      </c>
      <c r="BR777" t="s">
        <v>104</v>
      </c>
      <c r="BS777" t="s">
        <v>15480</v>
      </c>
      <c r="BT777" t="str">
        <f>HYPERLINK("https%3A%2F%2Fwww.webofscience.com%2Fwos%2Fwoscc%2Ffull-record%2FWOS:000565638400032","View Full Record in Web of Science")</f>
        <v>View Full Record in Web of Science</v>
      </c>
    </row>
    <row r="778" spans="1:72" x14ac:dyDescent="0.15">
      <c r="A778" t="s">
        <v>72</v>
      </c>
      <c r="B778" t="s">
        <v>15481</v>
      </c>
      <c r="C778" t="s">
        <v>74</v>
      </c>
      <c r="D778" t="s">
        <v>74</v>
      </c>
      <c r="E778" t="s">
        <v>74</v>
      </c>
      <c r="F778" t="s">
        <v>15482</v>
      </c>
      <c r="G778" t="s">
        <v>74</v>
      </c>
      <c r="H778" t="s">
        <v>74</v>
      </c>
      <c r="I778" t="s">
        <v>15483</v>
      </c>
      <c r="J778" t="s">
        <v>3455</v>
      </c>
      <c r="K778" t="s">
        <v>74</v>
      </c>
      <c r="L778" t="s">
        <v>74</v>
      </c>
      <c r="M778" t="s">
        <v>78</v>
      </c>
      <c r="N778" t="s">
        <v>79</v>
      </c>
      <c r="O778" t="s">
        <v>74</v>
      </c>
      <c r="P778" t="s">
        <v>74</v>
      </c>
      <c r="Q778" t="s">
        <v>74</v>
      </c>
      <c r="R778" t="s">
        <v>74</v>
      </c>
      <c r="S778" t="s">
        <v>74</v>
      </c>
      <c r="T778" t="s">
        <v>15484</v>
      </c>
      <c r="U778" t="s">
        <v>15485</v>
      </c>
      <c r="V778" t="s">
        <v>15486</v>
      </c>
      <c r="W778" t="s">
        <v>15487</v>
      </c>
      <c r="X778" t="s">
        <v>811</v>
      </c>
      <c r="Y778" t="s">
        <v>15488</v>
      </c>
      <c r="Z778" t="s">
        <v>15489</v>
      </c>
      <c r="AA778" t="s">
        <v>15490</v>
      </c>
      <c r="AB778" t="s">
        <v>15491</v>
      </c>
      <c r="AC778" t="s">
        <v>15492</v>
      </c>
      <c r="AD778" t="s">
        <v>15493</v>
      </c>
      <c r="AE778" t="s">
        <v>15494</v>
      </c>
      <c r="AF778" t="s">
        <v>74</v>
      </c>
      <c r="AG778">
        <v>51</v>
      </c>
      <c r="AH778">
        <v>14</v>
      </c>
      <c r="AI778">
        <v>14</v>
      </c>
      <c r="AJ778">
        <v>0</v>
      </c>
      <c r="AK778">
        <v>13</v>
      </c>
      <c r="AL778" t="s">
        <v>3464</v>
      </c>
      <c r="AM778" t="s">
        <v>3465</v>
      </c>
      <c r="AN778" t="s">
        <v>3466</v>
      </c>
      <c r="AO778" t="s">
        <v>3467</v>
      </c>
      <c r="AP778" t="s">
        <v>3468</v>
      </c>
      <c r="AQ778" t="s">
        <v>74</v>
      </c>
      <c r="AR778" t="s">
        <v>3469</v>
      </c>
      <c r="AS778" t="s">
        <v>3470</v>
      </c>
      <c r="AT778" t="s">
        <v>15359</v>
      </c>
      <c r="AU778">
        <v>2020</v>
      </c>
      <c r="AV778">
        <v>648</v>
      </c>
      <c r="AW778" t="s">
        <v>74</v>
      </c>
      <c r="AX778" t="s">
        <v>74</v>
      </c>
      <c r="AY778" t="s">
        <v>74</v>
      </c>
      <c r="AZ778" t="s">
        <v>74</v>
      </c>
      <c r="BA778" t="s">
        <v>74</v>
      </c>
      <c r="BB778">
        <v>111</v>
      </c>
      <c r="BC778">
        <v>123</v>
      </c>
      <c r="BD778" t="s">
        <v>74</v>
      </c>
      <c r="BE778" t="s">
        <v>15495</v>
      </c>
      <c r="BF778" t="str">
        <f>HYPERLINK("http://dx.doi.org/10.3354/meps13422","http://dx.doi.org/10.3354/meps13422")</f>
        <v>http://dx.doi.org/10.3354/meps13422</v>
      </c>
      <c r="BG778" t="s">
        <v>74</v>
      </c>
      <c r="BH778" t="s">
        <v>74</v>
      </c>
      <c r="BI778">
        <v>13</v>
      </c>
      <c r="BJ778" t="s">
        <v>3473</v>
      </c>
      <c r="BK778" t="s">
        <v>100</v>
      </c>
      <c r="BL778" t="s">
        <v>3474</v>
      </c>
      <c r="BM778" t="s">
        <v>15496</v>
      </c>
      <c r="BN778" t="s">
        <v>74</v>
      </c>
      <c r="BO778" t="s">
        <v>74</v>
      </c>
      <c r="BP778" t="s">
        <v>74</v>
      </c>
      <c r="BQ778" t="s">
        <v>74</v>
      </c>
      <c r="BR778" t="s">
        <v>104</v>
      </c>
      <c r="BS778" t="s">
        <v>15497</v>
      </c>
      <c r="BT778" t="str">
        <f>HYPERLINK("https%3A%2F%2Fwww.webofscience.com%2Fwos%2Fwoscc%2Ffull-record%2FWOS:000621222200008","View Full Record in Web of Science")</f>
        <v>View Full Record in Web of Science</v>
      </c>
    </row>
    <row r="779" spans="1:72" x14ac:dyDescent="0.15">
      <c r="A779" t="s">
        <v>72</v>
      </c>
      <c r="B779" t="s">
        <v>15498</v>
      </c>
      <c r="C779" t="s">
        <v>74</v>
      </c>
      <c r="D779" t="s">
        <v>74</v>
      </c>
      <c r="E779" t="s">
        <v>74</v>
      </c>
      <c r="F779" t="s">
        <v>15499</v>
      </c>
      <c r="G779" t="s">
        <v>74</v>
      </c>
      <c r="H779" t="s">
        <v>74</v>
      </c>
      <c r="I779" t="s">
        <v>15500</v>
      </c>
      <c r="J779" t="s">
        <v>3480</v>
      </c>
      <c r="K779" t="s">
        <v>74</v>
      </c>
      <c r="L779" t="s">
        <v>74</v>
      </c>
      <c r="M779" t="s">
        <v>78</v>
      </c>
      <c r="N779" t="s">
        <v>79</v>
      </c>
      <c r="O779" t="s">
        <v>74</v>
      </c>
      <c r="P779" t="s">
        <v>74</v>
      </c>
      <c r="Q779" t="s">
        <v>74</v>
      </c>
      <c r="R779" t="s">
        <v>74</v>
      </c>
      <c r="S779" t="s">
        <v>74</v>
      </c>
      <c r="T779" t="s">
        <v>74</v>
      </c>
      <c r="U779" t="s">
        <v>15501</v>
      </c>
      <c r="V779" t="s">
        <v>15502</v>
      </c>
      <c r="W779" t="s">
        <v>15503</v>
      </c>
      <c r="X779" t="s">
        <v>15504</v>
      </c>
      <c r="Y779" t="s">
        <v>15505</v>
      </c>
      <c r="Z779" t="s">
        <v>15506</v>
      </c>
      <c r="AA779" t="s">
        <v>15507</v>
      </c>
      <c r="AB779" t="s">
        <v>15508</v>
      </c>
      <c r="AC779" t="s">
        <v>74</v>
      </c>
      <c r="AD779" t="s">
        <v>74</v>
      </c>
      <c r="AE779" t="s">
        <v>74</v>
      </c>
      <c r="AF779" t="s">
        <v>74</v>
      </c>
      <c r="AG779">
        <v>43</v>
      </c>
      <c r="AH779">
        <v>92</v>
      </c>
      <c r="AI779">
        <v>100</v>
      </c>
      <c r="AJ779">
        <v>11</v>
      </c>
      <c r="AK779">
        <v>74</v>
      </c>
      <c r="AL779" t="s">
        <v>321</v>
      </c>
      <c r="AM779" t="s">
        <v>322</v>
      </c>
      <c r="AN779" t="s">
        <v>323</v>
      </c>
      <c r="AO779" t="s">
        <v>3484</v>
      </c>
      <c r="AP779" t="s">
        <v>3485</v>
      </c>
      <c r="AQ779" t="s">
        <v>74</v>
      </c>
      <c r="AR779" t="s">
        <v>3480</v>
      </c>
      <c r="AS779" t="s">
        <v>3486</v>
      </c>
      <c r="AT779" t="s">
        <v>15359</v>
      </c>
      <c r="AU779">
        <v>2020</v>
      </c>
      <c r="AV779">
        <v>584</v>
      </c>
      <c r="AW779">
        <v>7822</v>
      </c>
      <c r="AX779" t="s">
        <v>74</v>
      </c>
      <c r="AY779" t="s">
        <v>74</v>
      </c>
      <c r="AZ779" t="s">
        <v>74</v>
      </c>
      <c r="BA779" t="s">
        <v>74</v>
      </c>
      <c r="BB779">
        <v>574</v>
      </c>
      <c r="BC779" t="s">
        <v>614</v>
      </c>
      <c r="BD779" t="s">
        <v>74</v>
      </c>
      <c r="BE779" t="s">
        <v>15509</v>
      </c>
      <c r="BF779" t="str">
        <f>HYPERLINK("http://dx.doi.org/10.1038/s41586-020-2627-8","http://dx.doi.org/10.1038/s41586-020-2627-8")</f>
        <v>http://dx.doi.org/10.1038/s41586-020-2627-8</v>
      </c>
      <c r="BG779" t="s">
        <v>74</v>
      </c>
      <c r="BH779" t="s">
        <v>74</v>
      </c>
      <c r="BI779">
        <v>19</v>
      </c>
      <c r="BJ779" t="s">
        <v>329</v>
      </c>
      <c r="BK779" t="s">
        <v>100</v>
      </c>
      <c r="BL779" t="s">
        <v>330</v>
      </c>
      <c r="BM779" t="s">
        <v>15361</v>
      </c>
      <c r="BN779">
        <v>32848224</v>
      </c>
      <c r="BO779" t="s">
        <v>376</v>
      </c>
      <c r="BP779" t="s">
        <v>74</v>
      </c>
      <c r="BQ779" t="s">
        <v>74</v>
      </c>
      <c r="BR779" t="s">
        <v>104</v>
      </c>
      <c r="BS779" t="s">
        <v>15510</v>
      </c>
      <c r="BT779" t="str">
        <f>HYPERLINK("https%3A%2F%2Fwww.webofscience.com%2Fwos%2Fwoscc%2Ffull-record%2FWOS:000563223200017","View Full Record in Web of Science")</f>
        <v>View Full Record in Web of Science</v>
      </c>
    </row>
    <row r="780" spans="1:72" x14ac:dyDescent="0.15">
      <c r="A780" t="s">
        <v>72</v>
      </c>
      <c r="B780" t="s">
        <v>15511</v>
      </c>
      <c r="C780" t="s">
        <v>74</v>
      </c>
      <c r="D780" t="s">
        <v>74</v>
      </c>
      <c r="E780" t="s">
        <v>74</v>
      </c>
      <c r="F780" t="s">
        <v>15512</v>
      </c>
      <c r="G780" t="s">
        <v>74</v>
      </c>
      <c r="H780" t="s">
        <v>15513</v>
      </c>
      <c r="I780" t="s">
        <v>15514</v>
      </c>
      <c r="J780" t="s">
        <v>15515</v>
      </c>
      <c r="K780" t="s">
        <v>74</v>
      </c>
      <c r="L780" t="s">
        <v>74</v>
      </c>
      <c r="M780" t="s">
        <v>78</v>
      </c>
      <c r="N780" t="s">
        <v>79</v>
      </c>
      <c r="O780" t="s">
        <v>74</v>
      </c>
      <c r="P780" t="s">
        <v>74</v>
      </c>
      <c r="Q780" t="s">
        <v>74</v>
      </c>
      <c r="R780" t="s">
        <v>74</v>
      </c>
      <c r="S780" t="s">
        <v>74</v>
      </c>
      <c r="T780" t="s">
        <v>74</v>
      </c>
      <c r="U780" t="s">
        <v>15516</v>
      </c>
      <c r="V780" t="s">
        <v>15517</v>
      </c>
      <c r="W780" t="s">
        <v>15518</v>
      </c>
      <c r="X780" t="s">
        <v>15519</v>
      </c>
      <c r="Y780" t="s">
        <v>15520</v>
      </c>
      <c r="Z780" t="s">
        <v>15521</v>
      </c>
      <c r="AA780" t="s">
        <v>15522</v>
      </c>
      <c r="AB780" t="s">
        <v>15523</v>
      </c>
      <c r="AC780" t="s">
        <v>15524</v>
      </c>
      <c r="AD780" t="s">
        <v>15525</v>
      </c>
      <c r="AE780" t="s">
        <v>15526</v>
      </c>
      <c r="AF780" t="s">
        <v>74</v>
      </c>
      <c r="AG780">
        <v>54</v>
      </c>
      <c r="AH780">
        <v>40</v>
      </c>
      <c r="AI780">
        <v>43</v>
      </c>
      <c r="AJ780">
        <v>0</v>
      </c>
      <c r="AK780">
        <v>3</v>
      </c>
      <c r="AL780" t="s">
        <v>6098</v>
      </c>
      <c r="AM780" t="s">
        <v>6099</v>
      </c>
      <c r="AN780" t="s">
        <v>6100</v>
      </c>
      <c r="AO780" t="s">
        <v>15527</v>
      </c>
      <c r="AP780" t="s">
        <v>15528</v>
      </c>
      <c r="AQ780" t="s">
        <v>74</v>
      </c>
      <c r="AR780" t="s">
        <v>15529</v>
      </c>
      <c r="AS780" t="s">
        <v>15530</v>
      </c>
      <c r="AT780" t="s">
        <v>15359</v>
      </c>
      <c r="AU780">
        <v>2020</v>
      </c>
      <c r="AV780">
        <v>102</v>
      </c>
      <c r="AW780">
        <v>4</v>
      </c>
      <c r="AX780" t="s">
        <v>74</v>
      </c>
      <c r="AY780" t="s">
        <v>74</v>
      </c>
      <c r="AZ780" t="s">
        <v>74</v>
      </c>
      <c r="BA780" t="s">
        <v>74</v>
      </c>
      <c r="BB780" t="s">
        <v>74</v>
      </c>
      <c r="BC780" t="s">
        <v>74</v>
      </c>
      <c r="BD780">
        <v>43021</v>
      </c>
      <c r="BE780" t="s">
        <v>15531</v>
      </c>
      <c r="BF780" t="str">
        <f>HYPERLINK("http://dx.doi.org/10.1103/PhysRevD.102.043021","http://dx.doi.org/10.1103/PhysRevD.102.043021")</f>
        <v>http://dx.doi.org/10.1103/PhysRevD.102.043021</v>
      </c>
      <c r="BG780" t="s">
        <v>74</v>
      </c>
      <c r="BH780" t="s">
        <v>74</v>
      </c>
      <c r="BI780">
        <v>18</v>
      </c>
      <c r="BJ780" t="s">
        <v>15532</v>
      </c>
      <c r="BK780" t="s">
        <v>100</v>
      </c>
      <c r="BL780" t="s">
        <v>15533</v>
      </c>
      <c r="BM780" t="s">
        <v>15534</v>
      </c>
      <c r="BN780" t="s">
        <v>74</v>
      </c>
      <c r="BO780" t="s">
        <v>1794</v>
      </c>
      <c r="BP780" t="s">
        <v>74</v>
      </c>
      <c r="BQ780" t="s">
        <v>74</v>
      </c>
      <c r="BR780" t="s">
        <v>104</v>
      </c>
      <c r="BS780" t="s">
        <v>15535</v>
      </c>
      <c r="BT780" t="str">
        <f>HYPERLINK("https%3A%2F%2Fwww.webofscience.com%2Fwos%2Fwoscc%2Ffull-record%2FWOS:000562934100014","View Full Record in Web of Science")</f>
        <v>View Full Record in Web of Science</v>
      </c>
    </row>
    <row r="781" spans="1:72" x14ac:dyDescent="0.15">
      <c r="A781" t="s">
        <v>72</v>
      </c>
      <c r="B781" t="s">
        <v>15536</v>
      </c>
      <c r="C781" t="s">
        <v>74</v>
      </c>
      <c r="D781" t="s">
        <v>74</v>
      </c>
      <c r="E781" t="s">
        <v>74</v>
      </c>
      <c r="F781" t="s">
        <v>15537</v>
      </c>
      <c r="G781" t="s">
        <v>74</v>
      </c>
      <c r="H781" t="s">
        <v>74</v>
      </c>
      <c r="I781" t="s">
        <v>15538</v>
      </c>
      <c r="J781" t="s">
        <v>1010</v>
      </c>
      <c r="K781" t="s">
        <v>74</v>
      </c>
      <c r="L781" t="s">
        <v>74</v>
      </c>
      <c r="M781" t="s">
        <v>78</v>
      </c>
      <c r="N781" t="s">
        <v>79</v>
      </c>
      <c r="O781" t="s">
        <v>74</v>
      </c>
      <c r="P781" t="s">
        <v>74</v>
      </c>
      <c r="Q781" t="s">
        <v>74</v>
      </c>
      <c r="R781" t="s">
        <v>74</v>
      </c>
      <c r="S781" t="s">
        <v>74</v>
      </c>
      <c r="T781" t="s">
        <v>74</v>
      </c>
      <c r="U781" t="s">
        <v>15539</v>
      </c>
      <c r="V781" t="s">
        <v>15540</v>
      </c>
      <c r="W781" t="s">
        <v>15541</v>
      </c>
      <c r="X781" t="s">
        <v>15542</v>
      </c>
      <c r="Y781" t="s">
        <v>15543</v>
      </c>
      <c r="Z781" t="s">
        <v>15544</v>
      </c>
      <c r="AA781" t="s">
        <v>15545</v>
      </c>
      <c r="AB781" t="s">
        <v>15546</v>
      </c>
      <c r="AC781" t="s">
        <v>15547</v>
      </c>
      <c r="AD781" t="s">
        <v>3539</v>
      </c>
      <c r="AE781" t="s">
        <v>15548</v>
      </c>
      <c r="AF781" t="s">
        <v>74</v>
      </c>
      <c r="AG781">
        <v>79</v>
      </c>
      <c r="AH781">
        <v>32</v>
      </c>
      <c r="AI781">
        <v>35</v>
      </c>
      <c r="AJ781">
        <v>5</v>
      </c>
      <c r="AK781">
        <v>20</v>
      </c>
      <c r="AL781" t="s">
        <v>91</v>
      </c>
      <c r="AM781" t="s">
        <v>92</v>
      </c>
      <c r="AN781" t="s">
        <v>93</v>
      </c>
      <c r="AO781" t="s">
        <v>1022</v>
      </c>
      <c r="AP781" t="s">
        <v>1023</v>
      </c>
      <c r="AQ781" t="s">
        <v>74</v>
      </c>
      <c r="AR781" t="s">
        <v>1024</v>
      </c>
      <c r="AS781" t="s">
        <v>1025</v>
      </c>
      <c r="AT781" t="s">
        <v>15549</v>
      </c>
      <c r="AU781">
        <v>2020</v>
      </c>
      <c r="AV781">
        <v>20</v>
      </c>
      <c r="AW781">
        <v>16</v>
      </c>
      <c r="AX781" t="s">
        <v>74</v>
      </c>
      <c r="AY781" t="s">
        <v>74</v>
      </c>
      <c r="AZ781" t="s">
        <v>74</v>
      </c>
      <c r="BA781" t="s">
        <v>74</v>
      </c>
      <c r="BB781">
        <v>9895</v>
      </c>
      <c r="BC781">
        <v>9914</v>
      </c>
      <c r="BD781" t="s">
        <v>74</v>
      </c>
      <c r="BE781" t="s">
        <v>15550</v>
      </c>
      <c r="BF781" t="str">
        <f>HYPERLINK("http://dx.doi.org/10.5194/acp-20-9895-2020","http://dx.doi.org/10.5194/acp-20-9895-2020")</f>
        <v>http://dx.doi.org/10.5194/acp-20-9895-2020</v>
      </c>
      <c r="BG781" t="s">
        <v>74</v>
      </c>
      <c r="BH781" t="s">
        <v>74</v>
      </c>
      <c r="BI781">
        <v>20</v>
      </c>
      <c r="BJ781" t="s">
        <v>1027</v>
      </c>
      <c r="BK781" t="s">
        <v>100</v>
      </c>
      <c r="BL781" t="s">
        <v>1028</v>
      </c>
      <c r="BM781" t="s">
        <v>15551</v>
      </c>
      <c r="BN781" t="s">
        <v>74</v>
      </c>
      <c r="BO781" t="s">
        <v>677</v>
      </c>
      <c r="BP781" t="s">
        <v>74</v>
      </c>
      <c r="BQ781" t="s">
        <v>74</v>
      </c>
      <c r="BR781" t="s">
        <v>104</v>
      </c>
      <c r="BS781" t="s">
        <v>15552</v>
      </c>
      <c r="BT781" t="str">
        <f>HYPERLINK("https%3A%2F%2Fwww.webofscience.com%2Fwos%2Fwoscc%2Ffull-record%2FWOS:000566345900002","View Full Record in Web of Science")</f>
        <v>View Full Record in Web of Science</v>
      </c>
    </row>
    <row r="782" spans="1:72" x14ac:dyDescent="0.15">
      <c r="A782" t="s">
        <v>72</v>
      </c>
      <c r="B782" t="s">
        <v>15553</v>
      </c>
      <c r="C782" t="s">
        <v>74</v>
      </c>
      <c r="D782" t="s">
        <v>74</v>
      </c>
      <c r="E782" t="s">
        <v>74</v>
      </c>
      <c r="F782" t="s">
        <v>15554</v>
      </c>
      <c r="G782" t="s">
        <v>74</v>
      </c>
      <c r="H782" t="s">
        <v>74</v>
      </c>
      <c r="I782" t="s">
        <v>15555</v>
      </c>
      <c r="J782" t="s">
        <v>15556</v>
      </c>
      <c r="K782" t="s">
        <v>74</v>
      </c>
      <c r="L782" t="s">
        <v>74</v>
      </c>
      <c r="M782" t="s">
        <v>78</v>
      </c>
      <c r="N782" t="s">
        <v>79</v>
      </c>
      <c r="O782" t="s">
        <v>74</v>
      </c>
      <c r="P782" t="s">
        <v>74</v>
      </c>
      <c r="Q782" t="s">
        <v>74</v>
      </c>
      <c r="R782" t="s">
        <v>74</v>
      </c>
      <c r="S782" t="s">
        <v>74</v>
      </c>
      <c r="T782" t="s">
        <v>15557</v>
      </c>
      <c r="U782" t="s">
        <v>15558</v>
      </c>
      <c r="V782" t="s">
        <v>15559</v>
      </c>
      <c r="W782" t="s">
        <v>15560</v>
      </c>
      <c r="X782" t="s">
        <v>15561</v>
      </c>
      <c r="Y782" t="s">
        <v>15562</v>
      </c>
      <c r="Z782" t="s">
        <v>15563</v>
      </c>
      <c r="AA782" t="s">
        <v>15564</v>
      </c>
      <c r="AB782" t="s">
        <v>15565</v>
      </c>
      <c r="AC782" t="s">
        <v>15566</v>
      </c>
      <c r="AD782" t="s">
        <v>15567</v>
      </c>
      <c r="AE782" t="s">
        <v>15568</v>
      </c>
      <c r="AF782" t="s">
        <v>74</v>
      </c>
      <c r="AG782">
        <v>97</v>
      </c>
      <c r="AH782">
        <v>23</v>
      </c>
      <c r="AI782">
        <v>24</v>
      </c>
      <c r="AJ782">
        <v>3</v>
      </c>
      <c r="AK782">
        <v>14</v>
      </c>
      <c r="AL782" t="s">
        <v>482</v>
      </c>
      <c r="AM782" t="s">
        <v>483</v>
      </c>
      <c r="AN782" t="s">
        <v>484</v>
      </c>
      <c r="AO782" t="s">
        <v>15569</v>
      </c>
      <c r="AP782" t="s">
        <v>74</v>
      </c>
      <c r="AQ782" t="s">
        <v>74</v>
      </c>
      <c r="AR782" t="s">
        <v>15570</v>
      </c>
      <c r="AS782" t="s">
        <v>15571</v>
      </c>
      <c r="AT782" t="s">
        <v>15549</v>
      </c>
      <c r="AU782">
        <v>2020</v>
      </c>
      <c r="AV782">
        <v>7</v>
      </c>
      <c r="AW782">
        <v>1</v>
      </c>
      <c r="AX782" t="s">
        <v>74</v>
      </c>
      <c r="AY782" t="s">
        <v>74</v>
      </c>
      <c r="AZ782" t="s">
        <v>74</v>
      </c>
      <c r="BA782" t="s">
        <v>74</v>
      </c>
      <c r="BB782" t="s">
        <v>74</v>
      </c>
      <c r="BC782" t="s">
        <v>74</v>
      </c>
      <c r="BD782">
        <v>42</v>
      </c>
      <c r="BE782" t="s">
        <v>15572</v>
      </c>
      <c r="BF782" t="str">
        <f>HYPERLINK("http://dx.doi.org/10.1186/s40645-020-00357-9","http://dx.doi.org/10.1186/s40645-020-00357-9")</f>
        <v>http://dx.doi.org/10.1186/s40645-020-00357-9</v>
      </c>
      <c r="BG782" t="s">
        <v>74</v>
      </c>
      <c r="BH782" t="s">
        <v>74</v>
      </c>
      <c r="BI782">
        <v>17</v>
      </c>
      <c r="BJ782" t="s">
        <v>534</v>
      </c>
      <c r="BK782" t="s">
        <v>100</v>
      </c>
      <c r="BL782" t="s">
        <v>535</v>
      </c>
      <c r="BM782" t="s">
        <v>15573</v>
      </c>
      <c r="BN782" t="s">
        <v>74</v>
      </c>
      <c r="BO782" t="s">
        <v>332</v>
      </c>
      <c r="BP782" t="s">
        <v>74</v>
      </c>
      <c r="BQ782" t="s">
        <v>74</v>
      </c>
      <c r="BR782" t="s">
        <v>104</v>
      </c>
      <c r="BS782" t="s">
        <v>15574</v>
      </c>
      <c r="BT782" t="str">
        <f>HYPERLINK("https%3A%2F%2Fwww.webofscience.com%2Fwos%2Fwoscc%2Ffull-record%2FWOS:000566525600001","View Full Record in Web of Science")</f>
        <v>View Full Record in Web of Science</v>
      </c>
    </row>
    <row r="783" spans="1:72" x14ac:dyDescent="0.15">
      <c r="A783" t="s">
        <v>72</v>
      </c>
      <c r="B783" t="s">
        <v>15575</v>
      </c>
      <c r="C783" t="s">
        <v>74</v>
      </c>
      <c r="D783" t="s">
        <v>74</v>
      </c>
      <c r="E783" t="s">
        <v>74</v>
      </c>
      <c r="F783" t="s">
        <v>15576</v>
      </c>
      <c r="G783" t="s">
        <v>74</v>
      </c>
      <c r="H783" t="s">
        <v>74</v>
      </c>
      <c r="I783" t="s">
        <v>15577</v>
      </c>
      <c r="J783" t="s">
        <v>109</v>
      </c>
      <c r="K783" t="s">
        <v>74</v>
      </c>
      <c r="L783" t="s">
        <v>74</v>
      </c>
      <c r="M783" t="s">
        <v>78</v>
      </c>
      <c r="N783" t="s">
        <v>79</v>
      </c>
      <c r="O783" t="s">
        <v>74</v>
      </c>
      <c r="P783" t="s">
        <v>74</v>
      </c>
      <c r="Q783" t="s">
        <v>74</v>
      </c>
      <c r="R783" t="s">
        <v>74</v>
      </c>
      <c r="S783" t="s">
        <v>74</v>
      </c>
      <c r="T783" t="s">
        <v>15578</v>
      </c>
      <c r="U783" t="s">
        <v>15579</v>
      </c>
      <c r="V783" t="s">
        <v>15580</v>
      </c>
      <c r="W783" t="s">
        <v>15581</v>
      </c>
      <c r="X783" t="s">
        <v>15582</v>
      </c>
      <c r="Y783" t="s">
        <v>15583</v>
      </c>
      <c r="Z783" t="s">
        <v>15584</v>
      </c>
      <c r="AA783" t="s">
        <v>15585</v>
      </c>
      <c r="AB783" t="s">
        <v>15586</v>
      </c>
      <c r="AC783" t="s">
        <v>15587</v>
      </c>
      <c r="AD783" t="s">
        <v>15588</v>
      </c>
      <c r="AE783" t="s">
        <v>15589</v>
      </c>
      <c r="AF783" t="s">
        <v>74</v>
      </c>
      <c r="AG783">
        <v>85</v>
      </c>
      <c r="AH783">
        <v>6</v>
      </c>
      <c r="AI783">
        <v>6</v>
      </c>
      <c r="AJ783">
        <v>0</v>
      </c>
      <c r="AK783">
        <v>4</v>
      </c>
      <c r="AL783" t="s">
        <v>122</v>
      </c>
      <c r="AM783" t="s">
        <v>123</v>
      </c>
      <c r="AN783" t="s">
        <v>124</v>
      </c>
      <c r="AO783" t="s">
        <v>125</v>
      </c>
      <c r="AP783" t="s">
        <v>126</v>
      </c>
      <c r="AQ783" t="s">
        <v>74</v>
      </c>
      <c r="AR783" t="s">
        <v>127</v>
      </c>
      <c r="AS783" t="s">
        <v>128</v>
      </c>
      <c r="AT783" t="s">
        <v>15549</v>
      </c>
      <c r="AU783">
        <v>2020</v>
      </c>
      <c r="AV783">
        <v>287</v>
      </c>
      <c r="AW783">
        <v>1933</v>
      </c>
      <c r="AX783" t="s">
        <v>74</v>
      </c>
      <c r="AY783" t="s">
        <v>74</v>
      </c>
      <c r="AZ783" t="s">
        <v>74</v>
      </c>
      <c r="BA783" t="s">
        <v>74</v>
      </c>
      <c r="BB783" t="s">
        <v>74</v>
      </c>
      <c r="BC783" t="s">
        <v>74</v>
      </c>
      <c r="BD783">
        <v>20201544</v>
      </c>
      <c r="BE783" t="s">
        <v>15590</v>
      </c>
      <c r="BF783" t="str">
        <f>HYPERLINK("http://dx.doi.org/10.1098/rspb.2020.1544","http://dx.doi.org/10.1098/rspb.2020.1544")</f>
        <v>http://dx.doi.org/10.1098/rspb.2020.1544</v>
      </c>
      <c r="BG783" t="s">
        <v>74</v>
      </c>
      <c r="BH783" t="s">
        <v>74</v>
      </c>
      <c r="BI783">
        <v>10</v>
      </c>
      <c r="BJ783" t="s">
        <v>130</v>
      </c>
      <c r="BK783" t="s">
        <v>100</v>
      </c>
      <c r="BL783" t="s">
        <v>131</v>
      </c>
      <c r="BM783" t="s">
        <v>15591</v>
      </c>
      <c r="BN783">
        <v>32811318</v>
      </c>
      <c r="BO783" t="s">
        <v>5557</v>
      </c>
      <c r="BP783" t="s">
        <v>74</v>
      </c>
      <c r="BQ783" t="s">
        <v>74</v>
      </c>
      <c r="BR783" t="s">
        <v>104</v>
      </c>
      <c r="BS783" t="s">
        <v>15592</v>
      </c>
      <c r="BT783" t="str">
        <f>HYPERLINK("https%3A%2F%2Fwww.webofscience.com%2Fwos%2Fwoscc%2Ffull-record%2FWOS:000563925900003","View Full Record in Web of Science")</f>
        <v>View Full Record in Web of Science</v>
      </c>
    </row>
    <row r="784" spans="1:72" x14ac:dyDescent="0.15">
      <c r="A784" t="s">
        <v>72</v>
      </c>
      <c r="B784" t="s">
        <v>15593</v>
      </c>
      <c r="C784" t="s">
        <v>74</v>
      </c>
      <c r="D784" t="s">
        <v>74</v>
      </c>
      <c r="E784" t="s">
        <v>74</v>
      </c>
      <c r="F784" t="s">
        <v>15594</v>
      </c>
      <c r="G784" t="s">
        <v>74</v>
      </c>
      <c r="H784" t="s">
        <v>74</v>
      </c>
      <c r="I784" t="s">
        <v>15595</v>
      </c>
      <c r="J784" t="s">
        <v>1063</v>
      </c>
      <c r="K784" t="s">
        <v>74</v>
      </c>
      <c r="L784" t="s">
        <v>74</v>
      </c>
      <c r="M784" t="s">
        <v>78</v>
      </c>
      <c r="N784" t="s">
        <v>79</v>
      </c>
      <c r="O784" t="s">
        <v>74</v>
      </c>
      <c r="P784" t="s">
        <v>74</v>
      </c>
      <c r="Q784" t="s">
        <v>74</v>
      </c>
      <c r="R784" t="s">
        <v>74</v>
      </c>
      <c r="S784" t="s">
        <v>74</v>
      </c>
      <c r="T784" t="s">
        <v>15596</v>
      </c>
      <c r="U784" t="s">
        <v>15597</v>
      </c>
      <c r="V784" t="s">
        <v>15598</v>
      </c>
      <c r="W784" t="s">
        <v>15599</v>
      </c>
      <c r="X784" t="s">
        <v>15600</v>
      </c>
      <c r="Y784" t="s">
        <v>15601</v>
      </c>
      <c r="Z784" t="s">
        <v>15602</v>
      </c>
      <c r="AA784" t="s">
        <v>74</v>
      </c>
      <c r="AB784" t="s">
        <v>74</v>
      </c>
      <c r="AC784" t="s">
        <v>15603</v>
      </c>
      <c r="AD784" t="s">
        <v>15604</v>
      </c>
      <c r="AE784" t="s">
        <v>15605</v>
      </c>
      <c r="AF784" t="s">
        <v>74</v>
      </c>
      <c r="AG784">
        <v>57</v>
      </c>
      <c r="AH784">
        <v>6</v>
      </c>
      <c r="AI784">
        <v>7</v>
      </c>
      <c r="AJ784">
        <v>0</v>
      </c>
      <c r="AK784">
        <v>3</v>
      </c>
      <c r="AL784" t="s">
        <v>482</v>
      </c>
      <c r="AM784" t="s">
        <v>483</v>
      </c>
      <c r="AN784" t="s">
        <v>484</v>
      </c>
      <c r="AO784" t="s">
        <v>1075</v>
      </c>
      <c r="AP784" t="s">
        <v>1076</v>
      </c>
      <c r="AQ784" t="s">
        <v>74</v>
      </c>
      <c r="AR784" t="s">
        <v>1077</v>
      </c>
      <c r="AS784" t="s">
        <v>1078</v>
      </c>
      <c r="AT784" t="s">
        <v>6558</v>
      </c>
      <c r="AU784">
        <v>2020</v>
      </c>
      <c r="AV784">
        <v>43</v>
      </c>
      <c r="AW784">
        <v>10</v>
      </c>
      <c r="AX784" t="s">
        <v>74</v>
      </c>
      <c r="AY784" t="s">
        <v>74</v>
      </c>
      <c r="AZ784" t="s">
        <v>74</v>
      </c>
      <c r="BA784" t="s">
        <v>74</v>
      </c>
      <c r="BB784">
        <v>1643</v>
      </c>
      <c r="BC784">
        <v>1654</v>
      </c>
      <c r="BD784" t="s">
        <v>74</v>
      </c>
      <c r="BE784" t="s">
        <v>15606</v>
      </c>
      <c r="BF784" t="str">
        <f>HYPERLINK("http://dx.doi.org/10.1007/s00300-020-02735-x","http://dx.doi.org/10.1007/s00300-020-02735-x")</f>
        <v>http://dx.doi.org/10.1007/s00300-020-02735-x</v>
      </c>
      <c r="BG784" t="s">
        <v>74</v>
      </c>
      <c r="BH784" t="s">
        <v>15048</v>
      </c>
      <c r="BI784">
        <v>12</v>
      </c>
      <c r="BJ784" t="s">
        <v>1080</v>
      </c>
      <c r="BK784" t="s">
        <v>100</v>
      </c>
      <c r="BL784" t="s">
        <v>256</v>
      </c>
      <c r="BM784" t="s">
        <v>15607</v>
      </c>
      <c r="BN784" t="s">
        <v>74</v>
      </c>
      <c r="BO784" t="s">
        <v>74</v>
      </c>
      <c r="BP784" t="s">
        <v>74</v>
      </c>
      <c r="BQ784" t="s">
        <v>74</v>
      </c>
      <c r="BR784" t="s">
        <v>104</v>
      </c>
      <c r="BS784" t="s">
        <v>15608</v>
      </c>
      <c r="BT784" t="str">
        <f>HYPERLINK("https%3A%2F%2Fwww.webofscience.com%2Fwos%2Fwoscc%2Ffull-record%2FWOS:000563170700001","View Full Record in Web of Science")</f>
        <v>View Full Record in Web of Science</v>
      </c>
    </row>
    <row r="785" spans="1:72" x14ac:dyDescent="0.15">
      <c r="A785" t="s">
        <v>72</v>
      </c>
      <c r="B785" t="s">
        <v>15609</v>
      </c>
      <c r="C785" t="s">
        <v>74</v>
      </c>
      <c r="D785" t="s">
        <v>74</v>
      </c>
      <c r="E785" t="s">
        <v>74</v>
      </c>
      <c r="F785" t="s">
        <v>15610</v>
      </c>
      <c r="G785" t="s">
        <v>74</v>
      </c>
      <c r="H785" t="s">
        <v>74</v>
      </c>
      <c r="I785" t="s">
        <v>15611</v>
      </c>
      <c r="J785" t="s">
        <v>1010</v>
      </c>
      <c r="K785" t="s">
        <v>74</v>
      </c>
      <c r="L785" t="s">
        <v>74</v>
      </c>
      <c r="M785" t="s">
        <v>78</v>
      </c>
      <c r="N785" t="s">
        <v>79</v>
      </c>
      <c r="O785" t="s">
        <v>74</v>
      </c>
      <c r="P785" t="s">
        <v>74</v>
      </c>
      <c r="Q785" t="s">
        <v>74</v>
      </c>
      <c r="R785" t="s">
        <v>74</v>
      </c>
      <c r="S785" t="s">
        <v>74</v>
      </c>
      <c r="T785" t="s">
        <v>74</v>
      </c>
      <c r="U785" t="s">
        <v>15612</v>
      </c>
      <c r="V785" t="s">
        <v>15613</v>
      </c>
      <c r="W785" t="s">
        <v>15614</v>
      </c>
      <c r="X785" t="s">
        <v>15615</v>
      </c>
      <c r="Y785" t="s">
        <v>15616</v>
      </c>
      <c r="Z785" t="s">
        <v>15617</v>
      </c>
      <c r="AA785" t="s">
        <v>15618</v>
      </c>
      <c r="AB785" t="s">
        <v>15619</v>
      </c>
      <c r="AC785" t="s">
        <v>15620</v>
      </c>
      <c r="AD785" t="s">
        <v>15621</v>
      </c>
      <c r="AE785" t="s">
        <v>15622</v>
      </c>
      <c r="AF785" t="s">
        <v>74</v>
      </c>
      <c r="AG785">
        <v>95</v>
      </c>
      <c r="AH785">
        <v>13</v>
      </c>
      <c r="AI785">
        <v>14</v>
      </c>
      <c r="AJ785">
        <v>0</v>
      </c>
      <c r="AK785">
        <v>3</v>
      </c>
      <c r="AL785" t="s">
        <v>91</v>
      </c>
      <c r="AM785" t="s">
        <v>92</v>
      </c>
      <c r="AN785" t="s">
        <v>93</v>
      </c>
      <c r="AO785" t="s">
        <v>1022</v>
      </c>
      <c r="AP785" t="s">
        <v>1023</v>
      </c>
      <c r="AQ785" t="s">
        <v>74</v>
      </c>
      <c r="AR785" t="s">
        <v>1024</v>
      </c>
      <c r="AS785" t="s">
        <v>1025</v>
      </c>
      <c r="AT785" t="s">
        <v>15549</v>
      </c>
      <c r="AU785">
        <v>2020</v>
      </c>
      <c r="AV785">
        <v>20</v>
      </c>
      <c r="AW785">
        <v>16</v>
      </c>
      <c r="AX785" t="s">
        <v>74</v>
      </c>
      <c r="AY785" t="s">
        <v>74</v>
      </c>
      <c r="AZ785" t="s">
        <v>74</v>
      </c>
      <c r="BA785" t="s">
        <v>74</v>
      </c>
      <c r="BB785">
        <v>9961</v>
      </c>
      <c r="BC785">
        <v>9977</v>
      </c>
      <c r="BD785" t="s">
        <v>74</v>
      </c>
      <c r="BE785" t="s">
        <v>15623</v>
      </c>
      <c r="BF785" t="str">
        <f>HYPERLINK("http://dx.doi.org/10.5194/acp-20-9961-2020","http://dx.doi.org/10.5194/acp-20-9961-2020")</f>
        <v>http://dx.doi.org/10.5194/acp-20-9961-2020</v>
      </c>
      <c r="BG785" t="s">
        <v>74</v>
      </c>
      <c r="BH785" t="s">
        <v>74</v>
      </c>
      <c r="BI785">
        <v>17</v>
      </c>
      <c r="BJ785" t="s">
        <v>1027</v>
      </c>
      <c r="BK785" t="s">
        <v>100</v>
      </c>
      <c r="BL785" t="s">
        <v>1028</v>
      </c>
      <c r="BM785" t="s">
        <v>15551</v>
      </c>
      <c r="BN785" t="s">
        <v>74</v>
      </c>
      <c r="BO785" t="s">
        <v>15624</v>
      </c>
      <c r="BP785" t="s">
        <v>74</v>
      </c>
      <c r="BQ785" t="s">
        <v>74</v>
      </c>
      <c r="BR785" t="s">
        <v>104</v>
      </c>
      <c r="BS785" t="s">
        <v>15625</v>
      </c>
      <c r="BT785" t="str">
        <f>HYPERLINK("https%3A%2F%2Fwww.webofscience.com%2Fwos%2Fwoscc%2Ffull-record%2FWOS:000566345900005","View Full Record in Web of Science")</f>
        <v>View Full Record in Web of Science</v>
      </c>
    </row>
    <row r="786" spans="1:72" x14ac:dyDescent="0.15">
      <c r="A786" t="s">
        <v>72</v>
      </c>
      <c r="B786" t="s">
        <v>15626</v>
      </c>
      <c r="C786" t="s">
        <v>74</v>
      </c>
      <c r="D786" t="s">
        <v>74</v>
      </c>
      <c r="E786" t="s">
        <v>74</v>
      </c>
      <c r="F786" t="s">
        <v>15627</v>
      </c>
      <c r="G786" t="s">
        <v>74</v>
      </c>
      <c r="H786" t="s">
        <v>74</v>
      </c>
      <c r="I786" t="s">
        <v>15628</v>
      </c>
      <c r="J786" t="s">
        <v>5798</v>
      </c>
      <c r="K786" t="s">
        <v>74</v>
      </c>
      <c r="L786" t="s">
        <v>74</v>
      </c>
      <c r="M786" t="s">
        <v>78</v>
      </c>
      <c r="N786" t="s">
        <v>79</v>
      </c>
      <c r="O786" t="s">
        <v>74</v>
      </c>
      <c r="P786" t="s">
        <v>74</v>
      </c>
      <c r="Q786" t="s">
        <v>74</v>
      </c>
      <c r="R786" t="s">
        <v>74</v>
      </c>
      <c r="S786" t="s">
        <v>74</v>
      </c>
      <c r="T786" t="s">
        <v>74</v>
      </c>
      <c r="U786" t="s">
        <v>15629</v>
      </c>
      <c r="V786" t="s">
        <v>15630</v>
      </c>
      <c r="W786" t="s">
        <v>15631</v>
      </c>
      <c r="X786" t="s">
        <v>74</v>
      </c>
      <c r="Y786" t="s">
        <v>15632</v>
      </c>
      <c r="Z786" t="s">
        <v>15633</v>
      </c>
      <c r="AA786" t="s">
        <v>74</v>
      </c>
      <c r="AB786" t="s">
        <v>15634</v>
      </c>
      <c r="AC786" t="s">
        <v>15635</v>
      </c>
      <c r="AD786" t="s">
        <v>15636</v>
      </c>
      <c r="AE786" t="s">
        <v>15637</v>
      </c>
      <c r="AF786" t="s">
        <v>74</v>
      </c>
      <c r="AG786">
        <v>80</v>
      </c>
      <c r="AH786">
        <v>8</v>
      </c>
      <c r="AI786">
        <v>8</v>
      </c>
      <c r="AJ786">
        <v>0</v>
      </c>
      <c r="AK786">
        <v>14</v>
      </c>
      <c r="AL786" t="s">
        <v>5807</v>
      </c>
      <c r="AM786" t="s">
        <v>4984</v>
      </c>
      <c r="AN786" t="s">
        <v>5808</v>
      </c>
      <c r="AO786" t="s">
        <v>5809</v>
      </c>
      <c r="AP786" t="s">
        <v>74</v>
      </c>
      <c r="AQ786" t="s">
        <v>74</v>
      </c>
      <c r="AR786" t="s">
        <v>5798</v>
      </c>
      <c r="AS786" t="s">
        <v>5810</v>
      </c>
      <c r="AT786" t="s">
        <v>15638</v>
      </c>
      <c r="AU786">
        <v>2020</v>
      </c>
      <c r="AV786">
        <v>15</v>
      </c>
      <c r="AW786">
        <v>8</v>
      </c>
      <c r="AX786" t="s">
        <v>74</v>
      </c>
      <c r="AY786" t="s">
        <v>74</v>
      </c>
      <c r="AZ786" t="s">
        <v>74</v>
      </c>
      <c r="BA786" t="s">
        <v>74</v>
      </c>
      <c r="BB786" t="s">
        <v>74</v>
      </c>
      <c r="BC786" t="s">
        <v>74</v>
      </c>
      <c r="BD786" t="s">
        <v>15639</v>
      </c>
      <c r="BE786" t="s">
        <v>15640</v>
      </c>
      <c r="BF786" t="str">
        <f>HYPERLINK("http://dx.doi.org/10.1371/journal.pone.0237178","http://dx.doi.org/10.1371/journal.pone.0237178")</f>
        <v>http://dx.doi.org/10.1371/journal.pone.0237178</v>
      </c>
      <c r="BG786" t="s">
        <v>74</v>
      </c>
      <c r="BH786" t="s">
        <v>74</v>
      </c>
      <c r="BI786">
        <v>21</v>
      </c>
      <c r="BJ786" t="s">
        <v>329</v>
      </c>
      <c r="BK786" t="s">
        <v>100</v>
      </c>
      <c r="BL786" t="s">
        <v>330</v>
      </c>
      <c r="BM786" t="s">
        <v>15641</v>
      </c>
      <c r="BN786">
        <v>32841298</v>
      </c>
      <c r="BO786" t="s">
        <v>2113</v>
      </c>
      <c r="BP786" t="s">
        <v>74</v>
      </c>
      <c r="BQ786" t="s">
        <v>74</v>
      </c>
      <c r="BR786" t="s">
        <v>104</v>
      </c>
      <c r="BS786" t="s">
        <v>15642</v>
      </c>
      <c r="BT786" t="str">
        <f>HYPERLINK("https%3A%2F%2Fwww.webofscience.com%2Fwos%2Fwoscc%2Ffull-record%2FWOS:000565553400059","View Full Record in Web of Science")</f>
        <v>View Full Record in Web of Science</v>
      </c>
    </row>
    <row r="787" spans="1:72" x14ac:dyDescent="0.15">
      <c r="A787" t="s">
        <v>72</v>
      </c>
      <c r="B787" t="s">
        <v>15643</v>
      </c>
      <c r="C787" t="s">
        <v>74</v>
      </c>
      <c r="D787" t="s">
        <v>74</v>
      </c>
      <c r="E787" t="s">
        <v>74</v>
      </c>
      <c r="F787" t="s">
        <v>15644</v>
      </c>
      <c r="G787" t="s">
        <v>74</v>
      </c>
      <c r="H787" t="s">
        <v>74</v>
      </c>
      <c r="I787" t="s">
        <v>15645</v>
      </c>
      <c r="J787" t="s">
        <v>15646</v>
      </c>
      <c r="K787" t="s">
        <v>74</v>
      </c>
      <c r="L787" t="s">
        <v>74</v>
      </c>
      <c r="M787" t="s">
        <v>78</v>
      </c>
      <c r="N787" t="s">
        <v>2761</v>
      </c>
      <c r="O787" t="s">
        <v>74</v>
      </c>
      <c r="P787" t="s">
        <v>74</v>
      </c>
      <c r="Q787" t="s">
        <v>74</v>
      </c>
      <c r="R787" t="s">
        <v>74</v>
      </c>
      <c r="S787" t="s">
        <v>74</v>
      </c>
      <c r="T787" t="s">
        <v>74</v>
      </c>
      <c r="U787" t="s">
        <v>74</v>
      </c>
      <c r="V787" t="s">
        <v>15647</v>
      </c>
      <c r="W787" t="s">
        <v>15648</v>
      </c>
      <c r="X787" t="s">
        <v>15649</v>
      </c>
      <c r="Y787" t="s">
        <v>15650</v>
      </c>
      <c r="Z787" t="s">
        <v>15651</v>
      </c>
      <c r="AA787" t="s">
        <v>74</v>
      </c>
      <c r="AB787" t="s">
        <v>15652</v>
      </c>
      <c r="AC787" t="s">
        <v>74</v>
      </c>
      <c r="AD787" t="s">
        <v>74</v>
      </c>
      <c r="AE787" t="s">
        <v>74</v>
      </c>
      <c r="AF787" t="s">
        <v>74</v>
      </c>
      <c r="AG787">
        <v>1</v>
      </c>
      <c r="AH787">
        <v>0</v>
      </c>
      <c r="AI787">
        <v>0</v>
      </c>
      <c r="AJ787">
        <v>0</v>
      </c>
      <c r="AK787">
        <v>6</v>
      </c>
      <c r="AL787" t="s">
        <v>482</v>
      </c>
      <c r="AM787" t="s">
        <v>554</v>
      </c>
      <c r="AN787" t="s">
        <v>555</v>
      </c>
      <c r="AO787" t="s">
        <v>15653</v>
      </c>
      <c r="AP787" t="s">
        <v>15654</v>
      </c>
      <c r="AQ787" t="s">
        <v>74</v>
      </c>
      <c r="AR787" t="s">
        <v>15655</v>
      </c>
      <c r="AS787" t="s">
        <v>15656</v>
      </c>
      <c r="AT787" t="s">
        <v>720</v>
      </c>
      <c r="AU787">
        <v>2020</v>
      </c>
      <c r="AV787">
        <v>97</v>
      </c>
      <c r="AW787">
        <v>6</v>
      </c>
      <c r="AX787" t="s">
        <v>74</v>
      </c>
      <c r="AY787" t="s">
        <v>74</v>
      </c>
      <c r="AZ787" t="s">
        <v>74</v>
      </c>
      <c r="BA787" t="s">
        <v>74</v>
      </c>
      <c r="BB787">
        <v>859</v>
      </c>
      <c r="BC787">
        <v>861</v>
      </c>
      <c r="BD787" t="s">
        <v>74</v>
      </c>
      <c r="BE787" t="s">
        <v>15657</v>
      </c>
      <c r="BF787" t="str">
        <f>HYPERLINK("http://dx.doi.org/10.1007/s11230-020-09932-6","http://dx.doi.org/10.1007/s11230-020-09932-6")</f>
        <v>http://dx.doi.org/10.1007/s11230-020-09932-6</v>
      </c>
      <c r="BG787" t="s">
        <v>74</v>
      </c>
      <c r="BH787" t="s">
        <v>15048</v>
      </c>
      <c r="BI787">
        <v>3</v>
      </c>
      <c r="BJ787" t="s">
        <v>14008</v>
      </c>
      <c r="BK787" t="s">
        <v>100</v>
      </c>
      <c r="BL787" t="s">
        <v>14008</v>
      </c>
      <c r="BM787" t="s">
        <v>15658</v>
      </c>
      <c r="BN787">
        <v>32844377</v>
      </c>
      <c r="BO787" t="s">
        <v>1432</v>
      </c>
      <c r="BP787" t="s">
        <v>74</v>
      </c>
      <c r="BQ787" t="s">
        <v>74</v>
      </c>
      <c r="BR787" t="s">
        <v>104</v>
      </c>
      <c r="BS787" t="s">
        <v>15659</v>
      </c>
      <c r="BT787" t="str">
        <f>HYPERLINK("https%3A%2F%2Fwww.webofscience.com%2Fwos%2Fwoscc%2Ffull-record%2FWOS:000562698200001","View Full Record in Web of Science")</f>
        <v>View Full Record in Web of Science</v>
      </c>
    </row>
    <row r="788" spans="1:72" x14ac:dyDescent="0.15">
      <c r="A788" t="s">
        <v>72</v>
      </c>
      <c r="B788" t="s">
        <v>15660</v>
      </c>
      <c r="C788" t="s">
        <v>74</v>
      </c>
      <c r="D788" t="s">
        <v>74</v>
      </c>
      <c r="E788" t="s">
        <v>74</v>
      </c>
      <c r="F788" t="s">
        <v>15661</v>
      </c>
      <c r="G788" t="s">
        <v>74</v>
      </c>
      <c r="H788" t="s">
        <v>74</v>
      </c>
      <c r="I788" t="s">
        <v>15662</v>
      </c>
      <c r="J788" t="s">
        <v>10671</v>
      </c>
      <c r="K788" t="s">
        <v>74</v>
      </c>
      <c r="L788" t="s">
        <v>74</v>
      </c>
      <c r="M788" t="s">
        <v>78</v>
      </c>
      <c r="N788" t="s">
        <v>7302</v>
      </c>
      <c r="O788" t="s">
        <v>74</v>
      </c>
      <c r="P788" t="s">
        <v>74</v>
      </c>
      <c r="Q788" t="s">
        <v>74</v>
      </c>
      <c r="R788" t="s">
        <v>74</v>
      </c>
      <c r="S788" t="s">
        <v>74</v>
      </c>
      <c r="T788" t="s">
        <v>15663</v>
      </c>
      <c r="U788" t="s">
        <v>15664</v>
      </c>
      <c r="V788" t="s">
        <v>15665</v>
      </c>
      <c r="W788" t="s">
        <v>15666</v>
      </c>
      <c r="X788" t="s">
        <v>15667</v>
      </c>
      <c r="Y788" t="s">
        <v>15668</v>
      </c>
      <c r="Z788" t="s">
        <v>15669</v>
      </c>
      <c r="AA788" t="s">
        <v>15670</v>
      </c>
      <c r="AB788" t="s">
        <v>15671</v>
      </c>
      <c r="AC788" t="s">
        <v>15672</v>
      </c>
      <c r="AD788" t="s">
        <v>15673</v>
      </c>
      <c r="AE788" t="s">
        <v>15674</v>
      </c>
      <c r="AF788" t="s">
        <v>74</v>
      </c>
      <c r="AG788">
        <v>168</v>
      </c>
      <c r="AH788">
        <v>4</v>
      </c>
      <c r="AI788">
        <v>7</v>
      </c>
      <c r="AJ788">
        <v>0</v>
      </c>
      <c r="AK788">
        <v>12</v>
      </c>
      <c r="AL788" t="s">
        <v>9749</v>
      </c>
      <c r="AM788" t="s">
        <v>9750</v>
      </c>
      <c r="AN788" t="s">
        <v>9751</v>
      </c>
      <c r="AO788" t="s">
        <v>10681</v>
      </c>
      <c r="AP788" t="s">
        <v>10682</v>
      </c>
      <c r="AQ788" t="s">
        <v>74</v>
      </c>
      <c r="AR788" t="s">
        <v>10671</v>
      </c>
      <c r="AS788" t="s">
        <v>10683</v>
      </c>
      <c r="AT788" t="s">
        <v>15675</v>
      </c>
      <c r="AU788">
        <v>2020</v>
      </c>
      <c r="AV788" t="s">
        <v>74</v>
      </c>
      <c r="AW788">
        <v>963</v>
      </c>
      <c r="AX788" t="s">
        <v>74</v>
      </c>
      <c r="AY788" t="s">
        <v>74</v>
      </c>
      <c r="AZ788" t="s">
        <v>74</v>
      </c>
      <c r="BA788" t="s">
        <v>74</v>
      </c>
      <c r="BB788">
        <v>1</v>
      </c>
      <c r="BC788">
        <v>36</v>
      </c>
      <c r="BD788" t="s">
        <v>74</v>
      </c>
      <c r="BE788" t="s">
        <v>15676</v>
      </c>
      <c r="BF788" t="str">
        <f>HYPERLINK("http://dx.doi.org/10.3897/zookeys.963.52234","http://dx.doi.org/10.3897/zookeys.963.52234")</f>
        <v>http://dx.doi.org/10.3897/zookeys.963.52234</v>
      </c>
      <c r="BG788" t="s">
        <v>74</v>
      </c>
      <c r="BH788" t="s">
        <v>74</v>
      </c>
      <c r="BI788">
        <v>36</v>
      </c>
      <c r="BJ788" t="s">
        <v>1553</v>
      </c>
      <c r="BK788" t="s">
        <v>100</v>
      </c>
      <c r="BL788" t="s">
        <v>1553</v>
      </c>
      <c r="BM788" t="s">
        <v>15677</v>
      </c>
      <c r="BN788">
        <v>32922129</v>
      </c>
      <c r="BO788" t="s">
        <v>2113</v>
      </c>
      <c r="BP788" t="s">
        <v>74</v>
      </c>
      <c r="BQ788" t="s">
        <v>74</v>
      </c>
      <c r="BR788" t="s">
        <v>104</v>
      </c>
      <c r="BS788" t="s">
        <v>15678</v>
      </c>
      <c r="BT788" t="str">
        <f>HYPERLINK("https%3A%2F%2Fwww.webofscience.com%2Fwos%2Fwoscc%2Ffull-record%2FWOS:000571016100001","View Full Record in Web of Science")</f>
        <v>View Full Record in Web of Science</v>
      </c>
    </row>
    <row r="789" spans="1:72" x14ac:dyDescent="0.15">
      <c r="A789" t="s">
        <v>72</v>
      </c>
      <c r="B789" t="s">
        <v>15679</v>
      </c>
      <c r="C789" t="s">
        <v>74</v>
      </c>
      <c r="D789" t="s">
        <v>74</v>
      </c>
      <c r="E789" t="s">
        <v>74</v>
      </c>
      <c r="F789" t="s">
        <v>15680</v>
      </c>
      <c r="G789" t="s">
        <v>74</v>
      </c>
      <c r="H789" t="s">
        <v>74</v>
      </c>
      <c r="I789" t="s">
        <v>15681</v>
      </c>
      <c r="J789" t="s">
        <v>4046</v>
      </c>
      <c r="K789" t="s">
        <v>74</v>
      </c>
      <c r="L789" t="s">
        <v>74</v>
      </c>
      <c r="M789" t="s">
        <v>78</v>
      </c>
      <c r="N789" t="s">
        <v>79</v>
      </c>
      <c r="O789" t="s">
        <v>74</v>
      </c>
      <c r="P789" t="s">
        <v>74</v>
      </c>
      <c r="Q789" t="s">
        <v>74</v>
      </c>
      <c r="R789" t="s">
        <v>74</v>
      </c>
      <c r="S789" t="s">
        <v>74</v>
      </c>
      <c r="T789" t="s">
        <v>15682</v>
      </c>
      <c r="U789" t="s">
        <v>15683</v>
      </c>
      <c r="V789" t="s">
        <v>15684</v>
      </c>
      <c r="W789" t="s">
        <v>15685</v>
      </c>
      <c r="X789" t="s">
        <v>15686</v>
      </c>
      <c r="Y789" t="s">
        <v>15687</v>
      </c>
      <c r="Z789" t="s">
        <v>15688</v>
      </c>
      <c r="AA789" t="s">
        <v>15689</v>
      </c>
      <c r="AB789" t="s">
        <v>15690</v>
      </c>
      <c r="AC789" t="s">
        <v>15691</v>
      </c>
      <c r="AD789" t="s">
        <v>15692</v>
      </c>
      <c r="AE789" t="s">
        <v>15693</v>
      </c>
      <c r="AF789" t="s">
        <v>74</v>
      </c>
      <c r="AG789">
        <v>107</v>
      </c>
      <c r="AH789">
        <v>9</v>
      </c>
      <c r="AI789">
        <v>11</v>
      </c>
      <c r="AJ789">
        <v>4</v>
      </c>
      <c r="AK789">
        <v>22</v>
      </c>
      <c r="AL789" t="s">
        <v>866</v>
      </c>
      <c r="AM789" t="s">
        <v>867</v>
      </c>
      <c r="AN789" t="s">
        <v>868</v>
      </c>
      <c r="AO789" t="s">
        <v>4058</v>
      </c>
      <c r="AP789" t="s">
        <v>74</v>
      </c>
      <c r="AQ789" t="s">
        <v>74</v>
      </c>
      <c r="AR789" t="s">
        <v>4059</v>
      </c>
      <c r="AS789" t="s">
        <v>4060</v>
      </c>
      <c r="AT789" t="s">
        <v>15675</v>
      </c>
      <c r="AU789">
        <v>2020</v>
      </c>
      <c r="AV789">
        <v>11</v>
      </c>
      <c r="AW789" t="s">
        <v>74</v>
      </c>
      <c r="AX789" t="s">
        <v>74</v>
      </c>
      <c r="AY789" t="s">
        <v>74</v>
      </c>
      <c r="AZ789" t="s">
        <v>74</v>
      </c>
      <c r="BA789" t="s">
        <v>74</v>
      </c>
      <c r="BB789" t="s">
        <v>74</v>
      </c>
      <c r="BC789" t="s">
        <v>74</v>
      </c>
      <c r="BD789">
        <v>2015</v>
      </c>
      <c r="BE789" t="s">
        <v>15694</v>
      </c>
      <c r="BF789" t="str">
        <f>HYPERLINK("http://dx.doi.org/10.3389/fmicb.2020.02015","http://dx.doi.org/10.3389/fmicb.2020.02015")</f>
        <v>http://dx.doi.org/10.3389/fmicb.2020.02015</v>
      </c>
      <c r="BG789" t="s">
        <v>74</v>
      </c>
      <c r="BH789" t="s">
        <v>74</v>
      </c>
      <c r="BI789">
        <v>16</v>
      </c>
      <c r="BJ789" t="s">
        <v>229</v>
      </c>
      <c r="BK789" t="s">
        <v>100</v>
      </c>
      <c r="BL789" t="s">
        <v>229</v>
      </c>
      <c r="BM789" t="s">
        <v>15695</v>
      </c>
      <c r="BN789">
        <v>32983024</v>
      </c>
      <c r="BO789" t="s">
        <v>6286</v>
      </c>
      <c r="BP789" t="s">
        <v>74</v>
      </c>
      <c r="BQ789" t="s">
        <v>74</v>
      </c>
      <c r="BR789" t="s">
        <v>104</v>
      </c>
      <c r="BS789" t="s">
        <v>15696</v>
      </c>
      <c r="BT789" t="str">
        <f>HYPERLINK("https%3A%2F%2Fwww.webofscience.com%2Fwos%2Fwoscc%2Ffull-record%2FWOS:000570516200001","View Full Record in Web of Science")</f>
        <v>View Full Record in Web of Science</v>
      </c>
    </row>
    <row r="790" spans="1:72" x14ac:dyDescent="0.15">
      <c r="A790" t="s">
        <v>72</v>
      </c>
      <c r="B790" t="s">
        <v>15697</v>
      </c>
      <c r="C790" t="s">
        <v>74</v>
      </c>
      <c r="D790" t="s">
        <v>74</v>
      </c>
      <c r="E790" t="s">
        <v>74</v>
      </c>
      <c r="F790" t="s">
        <v>15698</v>
      </c>
      <c r="G790" t="s">
        <v>74</v>
      </c>
      <c r="H790" t="s">
        <v>74</v>
      </c>
      <c r="I790" t="s">
        <v>15699</v>
      </c>
      <c r="J790" t="s">
        <v>1063</v>
      </c>
      <c r="K790" t="s">
        <v>74</v>
      </c>
      <c r="L790" t="s">
        <v>74</v>
      </c>
      <c r="M790" t="s">
        <v>78</v>
      </c>
      <c r="N790" t="s">
        <v>79</v>
      </c>
      <c r="O790" t="s">
        <v>74</v>
      </c>
      <c r="P790" t="s">
        <v>74</v>
      </c>
      <c r="Q790" t="s">
        <v>74</v>
      </c>
      <c r="R790" t="s">
        <v>74</v>
      </c>
      <c r="S790" t="s">
        <v>74</v>
      </c>
      <c r="T790" t="s">
        <v>15700</v>
      </c>
      <c r="U790" t="s">
        <v>15701</v>
      </c>
      <c r="V790" t="s">
        <v>15702</v>
      </c>
      <c r="W790" t="s">
        <v>15703</v>
      </c>
      <c r="X790" t="s">
        <v>15704</v>
      </c>
      <c r="Y790" t="s">
        <v>15705</v>
      </c>
      <c r="Z790" t="s">
        <v>15706</v>
      </c>
      <c r="AA790" t="s">
        <v>74</v>
      </c>
      <c r="AB790" t="s">
        <v>74</v>
      </c>
      <c r="AC790" t="s">
        <v>15707</v>
      </c>
      <c r="AD790" t="s">
        <v>15708</v>
      </c>
      <c r="AE790" t="s">
        <v>15709</v>
      </c>
      <c r="AF790" t="s">
        <v>74</v>
      </c>
      <c r="AG790">
        <v>102</v>
      </c>
      <c r="AH790">
        <v>7</v>
      </c>
      <c r="AI790">
        <v>7</v>
      </c>
      <c r="AJ790">
        <v>0</v>
      </c>
      <c r="AK790">
        <v>7</v>
      </c>
      <c r="AL790" t="s">
        <v>482</v>
      </c>
      <c r="AM790" t="s">
        <v>483</v>
      </c>
      <c r="AN790" t="s">
        <v>484</v>
      </c>
      <c r="AO790" t="s">
        <v>1075</v>
      </c>
      <c r="AP790" t="s">
        <v>1076</v>
      </c>
      <c r="AQ790" t="s">
        <v>74</v>
      </c>
      <c r="AR790" t="s">
        <v>1077</v>
      </c>
      <c r="AS790" t="s">
        <v>1078</v>
      </c>
      <c r="AT790" t="s">
        <v>6558</v>
      </c>
      <c r="AU790">
        <v>2020</v>
      </c>
      <c r="AV790">
        <v>43</v>
      </c>
      <c r="AW790">
        <v>10</v>
      </c>
      <c r="AX790" t="s">
        <v>74</v>
      </c>
      <c r="AY790" t="s">
        <v>74</v>
      </c>
      <c r="AZ790" t="s">
        <v>74</v>
      </c>
      <c r="BA790" t="s">
        <v>74</v>
      </c>
      <c r="BB790">
        <v>1519</v>
      </c>
      <c r="BC790">
        <v>1534</v>
      </c>
      <c r="BD790" t="s">
        <v>74</v>
      </c>
      <c r="BE790" t="s">
        <v>15710</v>
      </c>
      <c r="BF790" t="str">
        <f>HYPERLINK("http://dx.doi.org/10.1007/s00300-020-02725-z","http://dx.doi.org/10.1007/s00300-020-02725-z")</f>
        <v>http://dx.doi.org/10.1007/s00300-020-02725-z</v>
      </c>
      <c r="BG790" t="s">
        <v>74</v>
      </c>
      <c r="BH790" t="s">
        <v>15048</v>
      </c>
      <c r="BI790">
        <v>16</v>
      </c>
      <c r="BJ790" t="s">
        <v>1080</v>
      </c>
      <c r="BK790" t="s">
        <v>100</v>
      </c>
      <c r="BL790" t="s">
        <v>256</v>
      </c>
      <c r="BM790" t="s">
        <v>15607</v>
      </c>
      <c r="BN790" t="s">
        <v>74</v>
      </c>
      <c r="BO790" t="s">
        <v>1259</v>
      </c>
      <c r="BP790" t="s">
        <v>74</v>
      </c>
      <c r="BQ790" t="s">
        <v>74</v>
      </c>
      <c r="BR790" t="s">
        <v>104</v>
      </c>
      <c r="BS790" t="s">
        <v>15711</v>
      </c>
      <c r="BT790" t="str">
        <f>HYPERLINK("https%3A%2F%2Fwww.webofscience.com%2Fwos%2Fwoscc%2Ffull-record%2FWOS:000562340000002","View Full Record in Web of Science")</f>
        <v>View Full Record in Web of Science</v>
      </c>
    </row>
    <row r="791" spans="1:72" x14ac:dyDescent="0.15">
      <c r="A791" t="s">
        <v>72</v>
      </c>
      <c r="B791" t="s">
        <v>15712</v>
      </c>
      <c r="C791" t="s">
        <v>74</v>
      </c>
      <c r="D791" t="s">
        <v>74</v>
      </c>
      <c r="E791" t="s">
        <v>74</v>
      </c>
      <c r="F791" t="s">
        <v>15713</v>
      </c>
      <c r="G791" t="s">
        <v>74</v>
      </c>
      <c r="H791" t="s">
        <v>74</v>
      </c>
      <c r="I791" t="s">
        <v>15714</v>
      </c>
      <c r="J791" t="s">
        <v>1063</v>
      </c>
      <c r="K791" t="s">
        <v>74</v>
      </c>
      <c r="L791" t="s">
        <v>74</v>
      </c>
      <c r="M791" t="s">
        <v>78</v>
      </c>
      <c r="N791" t="s">
        <v>79</v>
      </c>
      <c r="O791" t="s">
        <v>74</v>
      </c>
      <c r="P791" t="s">
        <v>74</v>
      </c>
      <c r="Q791" t="s">
        <v>74</v>
      </c>
      <c r="R791" t="s">
        <v>74</v>
      </c>
      <c r="S791" t="s">
        <v>74</v>
      </c>
      <c r="T791" t="s">
        <v>15715</v>
      </c>
      <c r="U791" t="s">
        <v>15716</v>
      </c>
      <c r="V791" t="s">
        <v>15717</v>
      </c>
      <c r="W791" t="s">
        <v>15718</v>
      </c>
      <c r="X791" t="s">
        <v>15719</v>
      </c>
      <c r="Y791" t="s">
        <v>15720</v>
      </c>
      <c r="Z791" t="s">
        <v>15721</v>
      </c>
      <c r="AA791" t="s">
        <v>15722</v>
      </c>
      <c r="AB791" t="s">
        <v>15723</v>
      </c>
      <c r="AC791" t="s">
        <v>15724</v>
      </c>
      <c r="AD791" t="s">
        <v>15725</v>
      </c>
      <c r="AE791" t="s">
        <v>15726</v>
      </c>
      <c r="AF791" t="s">
        <v>74</v>
      </c>
      <c r="AG791">
        <v>65</v>
      </c>
      <c r="AH791">
        <v>1</v>
      </c>
      <c r="AI791">
        <v>1</v>
      </c>
      <c r="AJ791">
        <v>2</v>
      </c>
      <c r="AK791">
        <v>13</v>
      </c>
      <c r="AL791" t="s">
        <v>482</v>
      </c>
      <c r="AM791" t="s">
        <v>483</v>
      </c>
      <c r="AN791" t="s">
        <v>484</v>
      </c>
      <c r="AO791" t="s">
        <v>1075</v>
      </c>
      <c r="AP791" t="s">
        <v>1076</v>
      </c>
      <c r="AQ791" t="s">
        <v>74</v>
      </c>
      <c r="AR791" t="s">
        <v>1077</v>
      </c>
      <c r="AS791" t="s">
        <v>1078</v>
      </c>
      <c r="AT791" t="s">
        <v>6558</v>
      </c>
      <c r="AU791">
        <v>2020</v>
      </c>
      <c r="AV791">
        <v>43</v>
      </c>
      <c r="AW791">
        <v>10</v>
      </c>
      <c r="AX791" t="s">
        <v>74</v>
      </c>
      <c r="AY791" t="s">
        <v>74</v>
      </c>
      <c r="AZ791" t="s">
        <v>74</v>
      </c>
      <c r="BA791" t="s">
        <v>74</v>
      </c>
      <c r="BB791">
        <v>1571</v>
      </c>
      <c r="BC791">
        <v>1582</v>
      </c>
      <c r="BD791" t="s">
        <v>74</v>
      </c>
      <c r="BE791" t="s">
        <v>15727</v>
      </c>
      <c r="BF791" t="str">
        <f>HYPERLINK("http://dx.doi.org/10.1007/s00300-020-02728-w","http://dx.doi.org/10.1007/s00300-020-02728-w")</f>
        <v>http://dx.doi.org/10.1007/s00300-020-02728-w</v>
      </c>
      <c r="BG791" t="s">
        <v>74</v>
      </c>
      <c r="BH791" t="s">
        <v>15048</v>
      </c>
      <c r="BI791">
        <v>12</v>
      </c>
      <c r="BJ791" t="s">
        <v>1080</v>
      </c>
      <c r="BK791" t="s">
        <v>100</v>
      </c>
      <c r="BL791" t="s">
        <v>256</v>
      </c>
      <c r="BM791" t="s">
        <v>15607</v>
      </c>
      <c r="BN791" t="s">
        <v>74</v>
      </c>
      <c r="BO791" t="s">
        <v>74</v>
      </c>
      <c r="BP791" t="s">
        <v>74</v>
      </c>
      <c r="BQ791" t="s">
        <v>74</v>
      </c>
      <c r="BR791" t="s">
        <v>104</v>
      </c>
      <c r="BS791" t="s">
        <v>15728</v>
      </c>
      <c r="BT791" t="str">
        <f>HYPERLINK("https%3A%2F%2Fwww.webofscience.com%2Fwos%2Fwoscc%2Ffull-record%2FWOS:000562340000003","View Full Record in Web of Science")</f>
        <v>View Full Record in Web of Science</v>
      </c>
    </row>
    <row r="792" spans="1:72" x14ac:dyDescent="0.15">
      <c r="A792" t="s">
        <v>72</v>
      </c>
      <c r="B792" t="s">
        <v>15729</v>
      </c>
      <c r="C792" t="s">
        <v>74</v>
      </c>
      <c r="D792" t="s">
        <v>74</v>
      </c>
      <c r="E792" t="s">
        <v>74</v>
      </c>
      <c r="F792" t="s">
        <v>15730</v>
      </c>
      <c r="G792" t="s">
        <v>74</v>
      </c>
      <c r="H792" t="s">
        <v>74</v>
      </c>
      <c r="I792" t="s">
        <v>15731</v>
      </c>
      <c r="J792" t="s">
        <v>1063</v>
      </c>
      <c r="K792" t="s">
        <v>74</v>
      </c>
      <c r="L792" t="s">
        <v>74</v>
      </c>
      <c r="M792" t="s">
        <v>78</v>
      </c>
      <c r="N792" t="s">
        <v>79</v>
      </c>
      <c r="O792" t="s">
        <v>74</v>
      </c>
      <c r="P792" t="s">
        <v>74</v>
      </c>
      <c r="Q792" t="s">
        <v>74</v>
      </c>
      <c r="R792" t="s">
        <v>74</v>
      </c>
      <c r="S792" t="s">
        <v>74</v>
      </c>
      <c r="T792" t="s">
        <v>15732</v>
      </c>
      <c r="U792" t="s">
        <v>15733</v>
      </c>
      <c r="V792" t="s">
        <v>15734</v>
      </c>
      <c r="W792" t="s">
        <v>15735</v>
      </c>
      <c r="X792" t="s">
        <v>15736</v>
      </c>
      <c r="Y792" t="s">
        <v>15737</v>
      </c>
      <c r="Z792" t="s">
        <v>15738</v>
      </c>
      <c r="AA792" t="s">
        <v>15739</v>
      </c>
      <c r="AB792" t="s">
        <v>15740</v>
      </c>
      <c r="AC792" t="s">
        <v>15741</v>
      </c>
      <c r="AD792" t="s">
        <v>15742</v>
      </c>
      <c r="AE792" t="s">
        <v>15743</v>
      </c>
      <c r="AF792" t="s">
        <v>74</v>
      </c>
      <c r="AG792">
        <v>69</v>
      </c>
      <c r="AH792">
        <v>1</v>
      </c>
      <c r="AI792">
        <v>1</v>
      </c>
      <c r="AJ792">
        <v>2</v>
      </c>
      <c r="AK792">
        <v>8</v>
      </c>
      <c r="AL792" t="s">
        <v>482</v>
      </c>
      <c r="AM792" t="s">
        <v>483</v>
      </c>
      <c r="AN792" t="s">
        <v>484</v>
      </c>
      <c r="AO792" t="s">
        <v>1075</v>
      </c>
      <c r="AP792" t="s">
        <v>1076</v>
      </c>
      <c r="AQ792" t="s">
        <v>74</v>
      </c>
      <c r="AR792" t="s">
        <v>1077</v>
      </c>
      <c r="AS792" t="s">
        <v>1078</v>
      </c>
      <c r="AT792" t="s">
        <v>6558</v>
      </c>
      <c r="AU792">
        <v>2020</v>
      </c>
      <c r="AV792">
        <v>43</v>
      </c>
      <c r="AW792">
        <v>10</v>
      </c>
      <c r="AX792" t="s">
        <v>74</v>
      </c>
      <c r="AY792" t="s">
        <v>74</v>
      </c>
      <c r="AZ792" t="s">
        <v>74</v>
      </c>
      <c r="BA792" t="s">
        <v>74</v>
      </c>
      <c r="BB792">
        <v>1583</v>
      </c>
      <c r="BC792">
        <v>1593</v>
      </c>
      <c r="BD792" t="s">
        <v>74</v>
      </c>
      <c r="BE792" t="s">
        <v>15744</v>
      </c>
      <c r="BF792" t="str">
        <f>HYPERLINK("http://dx.doi.org/10.1007/s00300-020-02729-9","http://dx.doi.org/10.1007/s00300-020-02729-9")</f>
        <v>http://dx.doi.org/10.1007/s00300-020-02729-9</v>
      </c>
      <c r="BG792" t="s">
        <v>74</v>
      </c>
      <c r="BH792" t="s">
        <v>15048</v>
      </c>
      <c r="BI792">
        <v>11</v>
      </c>
      <c r="BJ792" t="s">
        <v>1080</v>
      </c>
      <c r="BK792" t="s">
        <v>100</v>
      </c>
      <c r="BL792" t="s">
        <v>256</v>
      </c>
      <c r="BM792" t="s">
        <v>15607</v>
      </c>
      <c r="BN792" t="s">
        <v>74</v>
      </c>
      <c r="BO792" t="s">
        <v>74</v>
      </c>
      <c r="BP792" t="s">
        <v>74</v>
      </c>
      <c r="BQ792" t="s">
        <v>74</v>
      </c>
      <c r="BR792" t="s">
        <v>104</v>
      </c>
      <c r="BS792" t="s">
        <v>15745</v>
      </c>
      <c r="BT792" t="str">
        <f>HYPERLINK("https%3A%2F%2Fwww.webofscience.com%2Fwos%2Fwoscc%2Ffull-record%2FWOS:000562340000001","View Full Record in Web of Science")</f>
        <v>View Full Record in Web of Science</v>
      </c>
    </row>
    <row r="793" spans="1:72" x14ac:dyDescent="0.15">
      <c r="A793" t="s">
        <v>72</v>
      </c>
      <c r="B793" t="s">
        <v>15746</v>
      </c>
      <c r="C793" t="s">
        <v>74</v>
      </c>
      <c r="D793" t="s">
        <v>74</v>
      </c>
      <c r="E793" t="s">
        <v>74</v>
      </c>
      <c r="F793" t="s">
        <v>15747</v>
      </c>
      <c r="G793" t="s">
        <v>74</v>
      </c>
      <c r="H793" t="s">
        <v>74</v>
      </c>
      <c r="I793" t="s">
        <v>15748</v>
      </c>
      <c r="J793" t="s">
        <v>381</v>
      </c>
      <c r="K793" t="s">
        <v>74</v>
      </c>
      <c r="L793" t="s">
        <v>74</v>
      </c>
      <c r="M793" t="s">
        <v>78</v>
      </c>
      <c r="N793" t="s">
        <v>79</v>
      </c>
      <c r="O793" t="s">
        <v>74</v>
      </c>
      <c r="P793" t="s">
        <v>74</v>
      </c>
      <c r="Q793" t="s">
        <v>74</v>
      </c>
      <c r="R793" t="s">
        <v>74</v>
      </c>
      <c r="S793" t="s">
        <v>74</v>
      </c>
      <c r="T793" t="s">
        <v>74</v>
      </c>
      <c r="U793" t="s">
        <v>15749</v>
      </c>
      <c r="V793" t="s">
        <v>15750</v>
      </c>
      <c r="W793" t="s">
        <v>15751</v>
      </c>
      <c r="X793" t="s">
        <v>15752</v>
      </c>
      <c r="Y793" t="s">
        <v>15753</v>
      </c>
      <c r="Z793" t="s">
        <v>15754</v>
      </c>
      <c r="AA793" t="s">
        <v>15755</v>
      </c>
      <c r="AB793" t="s">
        <v>15756</v>
      </c>
      <c r="AC793" t="s">
        <v>15757</v>
      </c>
      <c r="AD793" t="s">
        <v>15758</v>
      </c>
      <c r="AE793" t="s">
        <v>15759</v>
      </c>
      <c r="AF793" t="s">
        <v>74</v>
      </c>
      <c r="AG793">
        <v>71</v>
      </c>
      <c r="AH793">
        <v>28</v>
      </c>
      <c r="AI793">
        <v>29</v>
      </c>
      <c r="AJ793">
        <v>1</v>
      </c>
      <c r="AK793">
        <v>13</v>
      </c>
      <c r="AL793" t="s">
        <v>15760</v>
      </c>
      <c r="AM793" t="s">
        <v>123</v>
      </c>
      <c r="AN793" t="s">
        <v>15761</v>
      </c>
      <c r="AO793" t="s">
        <v>392</v>
      </c>
      <c r="AP793" t="s">
        <v>74</v>
      </c>
      <c r="AQ793" t="s">
        <v>74</v>
      </c>
      <c r="AR793" t="s">
        <v>393</v>
      </c>
      <c r="AS793" t="s">
        <v>394</v>
      </c>
      <c r="AT793" t="s">
        <v>15675</v>
      </c>
      <c r="AU793">
        <v>2020</v>
      </c>
      <c r="AV793">
        <v>11</v>
      </c>
      <c r="AW793">
        <v>1</v>
      </c>
      <c r="AX793" t="s">
        <v>74</v>
      </c>
      <c r="AY793" t="s">
        <v>74</v>
      </c>
      <c r="AZ793" t="s">
        <v>74</v>
      </c>
      <c r="BA793" t="s">
        <v>74</v>
      </c>
      <c r="BB793" t="s">
        <v>74</v>
      </c>
      <c r="BC793" t="s">
        <v>74</v>
      </c>
      <c r="BD793">
        <v>4221</v>
      </c>
      <c r="BE793" t="s">
        <v>15762</v>
      </c>
      <c r="BF793" t="str">
        <f>HYPERLINK("http://dx.doi.org/10.1038/s41467-020-17527-4","http://dx.doi.org/10.1038/s41467-020-17527-4")</f>
        <v>http://dx.doi.org/10.1038/s41467-020-17527-4</v>
      </c>
      <c r="BG793" t="s">
        <v>74</v>
      </c>
      <c r="BH793" t="s">
        <v>74</v>
      </c>
      <c r="BI793">
        <v>12</v>
      </c>
      <c r="BJ793" t="s">
        <v>329</v>
      </c>
      <c r="BK793" t="s">
        <v>100</v>
      </c>
      <c r="BL793" t="s">
        <v>330</v>
      </c>
      <c r="BM793" t="s">
        <v>15763</v>
      </c>
      <c r="BN793">
        <v>32839464</v>
      </c>
      <c r="BO793" t="s">
        <v>8834</v>
      </c>
      <c r="BP793" t="s">
        <v>74</v>
      </c>
      <c r="BQ793" t="s">
        <v>74</v>
      </c>
      <c r="BR793" t="s">
        <v>104</v>
      </c>
      <c r="BS793" t="s">
        <v>15764</v>
      </c>
      <c r="BT793" t="str">
        <f>HYPERLINK("https%3A%2F%2Fwww.webofscience.com%2Fwos%2Fwoscc%2Ffull-record%2FWOS:000568891400004","View Full Record in Web of Science")</f>
        <v>View Full Record in Web of Science</v>
      </c>
    </row>
    <row r="794" spans="1:72" x14ac:dyDescent="0.15">
      <c r="A794" t="s">
        <v>72</v>
      </c>
      <c r="B794" t="s">
        <v>15765</v>
      </c>
      <c r="C794" t="s">
        <v>74</v>
      </c>
      <c r="D794" t="s">
        <v>74</v>
      </c>
      <c r="E794" t="s">
        <v>74</v>
      </c>
      <c r="F794" t="s">
        <v>15766</v>
      </c>
      <c r="G794" t="s">
        <v>74</v>
      </c>
      <c r="H794" t="s">
        <v>74</v>
      </c>
      <c r="I794" t="s">
        <v>15767</v>
      </c>
      <c r="J794" t="s">
        <v>4440</v>
      </c>
      <c r="K794" t="s">
        <v>74</v>
      </c>
      <c r="L794" t="s">
        <v>74</v>
      </c>
      <c r="M794" t="s">
        <v>78</v>
      </c>
      <c r="N794" t="s">
        <v>3481</v>
      </c>
      <c r="O794" t="s">
        <v>74</v>
      </c>
      <c r="P794" t="s">
        <v>74</v>
      </c>
      <c r="Q794" t="s">
        <v>74</v>
      </c>
      <c r="R794" t="s">
        <v>74</v>
      </c>
      <c r="S794" t="s">
        <v>74</v>
      </c>
      <c r="T794" t="s">
        <v>74</v>
      </c>
      <c r="U794" t="s">
        <v>74</v>
      </c>
      <c r="V794" t="s">
        <v>15768</v>
      </c>
      <c r="W794" t="s">
        <v>15769</v>
      </c>
      <c r="X794" t="s">
        <v>15770</v>
      </c>
      <c r="Y794" t="s">
        <v>15771</v>
      </c>
      <c r="Z794" t="s">
        <v>15772</v>
      </c>
      <c r="AA794" t="s">
        <v>15773</v>
      </c>
      <c r="AB794" t="s">
        <v>15774</v>
      </c>
      <c r="AC794" t="s">
        <v>15775</v>
      </c>
      <c r="AD794" t="s">
        <v>15776</v>
      </c>
      <c r="AE794" t="s">
        <v>15777</v>
      </c>
      <c r="AF794" t="s">
        <v>74</v>
      </c>
      <c r="AG794">
        <v>16</v>
      </c>
      <c r="AH794">
        <v>67</v>
      </c>
      <c r="AI794">
        <v>70</v>
      </c>
      <c r="AJ794">
        <v>5</v>
      </c>
      <c r="AK794">
        <v>21</v>
      </c>
      <c r="AL794" t="s">
        <v>4451</v>
      </c>
      <c r="AM794" t="s">
        <v>4452</v>
      </c>
      <c r="AN794" t="s">
        <v>4453</v>
      </c>
      <c r="AO794" t="s">
        <v>4454</v>
      </c>
      <c r="AP794" t="s">
        <v>4455</v>
      </c>
      <c r="AQ794" t="s">
        <v>74</v>
      </c>
      <c r="AR794" t="s">
        <v>4440</v>
      </c>
      <c r="AS794" t="s">
        <v>4456</v>
      </c>
      <c r="AT794" t="s">
        <v>15778</v>
      </c>
      <c r="AU794">
        <v>2020</v>
      </c>
      <c r="AV794">
        <v>3</v>
      </c>
      <c r="AW794">
        <v>2</v>
      </c>
      <c r="AX794" t="s">
        <v>74</v>
      </c>
      <c r="AY794" t="s">
        <v>74</v>
      </c>
      <c r="AZ794" t="s">
        <v>74</v>
      </c>
      <c r="BA794" t="s">
        <v>74</v>
      </c>
      <c r="BB794">
        <v>162</v>
      </c>
      <c r="BC794">
        <v>165</v>
      </c>
      <c r="BD794" t="s">
        <v>74</v>
      </c>
      <c r="BE794" t="s">
        <v>15779</v>
      </c>
      <c r="BF794" t="str">
        <f>HYPERLINK("http://dx.doi.org/10.1016/j.oneear.2020.07.006","http://dx.doi.org/10.1016/j.oneear.2020.07.006")</f>
        <v>http://dx.doi.org/10.1016/j.oneear.2020.07.006</v>
      </c>
      <c r="BG794" t="s">
        <v>74</v>
      </c>
      <c r="BH794" t="s">
        <v>74</v>
      </c>
      <c r="BI794">
        <v>4</v>
      </c>
      <c r="BJ794" t="s">
        <v>4459</v>
      </c>
      <c r="BK794" t="s">
        <v>255</v>
      </c>
      <c r="BL794" t="s">
        <v>4460</v>
      </c>
      <c r="BM794" t="s">
        <v>15780</v>
      </c>
      <c r="BN794" t="s">
        <v>74</v>
      </c>
      <c r="BO794" t="s">
        <v>1188</v>
      </c>
      <c r="BP794" t="s">
        <v>74</v>
      </c>
      <c r="BQ794" t="s">
        <v>74</v>
      </c>
      <c r="BR794" t="s">
        <v>104</v>
      </c>
      <c r="BS794" t="s">
        <v>15781</v>
      </c>
      <c r="BT794" t="str">
        <f>HYPERLINK("https%3A%2F%2Fwww.webofscience.com%2Fwos%2Fwoscc%2Ffull-record%2FWOS:000645627500008","View Full Record in Web of Science")</f>
        <v>View Full Record in Web of Science</v>
      </c>
    </row>
    <row r="795" spans="1:72" x14ac:dyDescent="0.15">
      <c r="A795" t="s">
        <v>72</v>
      </c>
      <c r="B795" t="s">
        <v>15782</v>
      </c>
      <c r="C795" t="s">
        <v>74</v>
      </c>
      <c r="D795" t="s">
        <v>74</v>
      </c>
      <c r="E795" t="s">
        <v>74</v>
      </c>
      <c r="F795" t="s">
        <v>15783</v>
      </c>
      <c r="G795" t="s">
        <v>74</v>
      </c>
      <c r="H795" t="s">
        <v>74</v>
      </c>
      <c r="I795" t="s">
        <v>15784</v>
      </c>
      <c r="J795" t="s">
        <v>596</v>
      </c>
      <c r="K795" t="s">
        <v>74</v>
      </c>
      <c r="L795" t="s">
        <v>74</v>
      </c>
      <c r="M795" t="s">
        <v>78</v>
      </c>
      <c r="N795" t="s">
        <v>79</v>
      </c>
      <c r="O795" t="s">
        <v>74</v>
      </c>
      <c r="P795" t="s">
        <v>74</v>
      </c>
      <c r="Q795" t="s">
        <v>74</v>
      </c>
      <c r="R795" t="s">
        <v>74</v>
      </c>
      <c r="S795" t="s">
        <v>74</v>
      </c>
      <c r="T795" t="s">
        <v>74</v>
      </c>
      <c r="U795" t="s">
        <v>15785</v>
      </c>
      <c r="V795" t="s">
        <v>15786</v>
      </c>
      <c r="W795" t="s">
        <v>15787</v>
      </c>
      <c r="X795" t="s">
        <v>15788</v>
      </c>
      <c r="Y795" t="s">
        <v>15789</v>
      </c>
      <c r="Z795" t="s">
        <v>15790</v>
      </c>
      <c r="AA795" t="s">
        <v>15791</v>
      </c>
      <c r="AB795" t="s">
        <v>15792</v>
      </c>
      <c r="AC795" t="s">
        <v>15793</v>
      </c>
      <c r="AD795" t="s">
        <v>15794</v>
      </c>
      <c r="AE795" t="s">
        <v>15795</v>
      </c>
      <c r="AF795" t="s">
        <v>74</v>
      </c>
      <c r="AG795">
        <v>117</v>
      </c>
      <c r="AH795">
        <v>55</v>
      </c>
      <c r="AI795">
        <v>60</v>
      </c>
      <c r="AJ795">
        <v>9</v>
      </c>
      <c r="AK795">
        <v>87</v>
      </c>
      <c r="AL795" t="s">
        <v>608</v>
      </c>
      <c r="AM795" t="s">
        <v>609</v>
      </c>
      <c r="AN795" t="s">
        <v>610</v>
      </c>
      <c r="AO795" t="s">
        <v>611</v>
      </c>
      <c r="AP795" t="s">
        <v>612</v>
      </c>
      <c r="AQ795" t="s">
        <v>74</v>
      </c>
      <c r="AR795" t="s">
        <v>596</v>
      </c>
      <c r="AS795" t="s">
        <v>613</v>
      </c>
      <c r="AT795" t="s">
        <v>15778</v>
      </c>
      <c r="AU795">
        <v>2020</v>
      </c>
      <c r="AV795">
        <v>369</v>
      </c>
      <c r="AW795">
        <v>6506</v>
      </c>
      <c r="AX795" t="s">
        <v>74</v>
      </c>
      <c r="AY795" t="s">
        <v>74</v>
      </c>
      <c r="AZ795" t="s">
        <v>489</v>
      </c>
      <c r="BA795" t="s">
        <v>74</v>
      </c>
      <c r="BB795">
        <v>963</v>
      </c>
      <c r="BC795" t="s">
        <v>614</v>
      </c>
      <c r="BD795" t="s">
        <v>74</v>
      </c>
      <c r="BE795" t="s">
        <v>15796</v>
      </c>
      <c r="BF795" t="str">
        <f>HYPERLINK("http://dx.doi.org/10.1126/science.aay5538","http://dx.doi.org/10.1126/science.aay5538")</f>
        <v>http://dx.doi.org/10.1126/science.aay5538</v>
      </c>
      <c r="BG795" t="s">
        <v>74</v>
      </c>
      <c r="BH795" t="s">
        <v>74</v>
      </c>
      <c r="BI795">
        <v>51</v>
      </c>
      <c r="BJ795" t="s">
        <v>329</v>
      </c>
      <c r="BK795" t="s">
        <v>100</v>
      </c>
      <c r="BL795" t="s">
        <v>330</v>
      </c>
      <c r="BM795" t="s">
        <v>15797</v>
      </c>
      <c r="BN795">
        <v>32820122</v>
      </c>
      <c r="BO795" t="s">
        <v>701</v>
      </c>
      <c r="BP795" t="s">
        <v>74</v>
      </c>
      <c r="BQ795" t="s">
        <v>74</v>
      </c>
      <c r="BR795" t="s">
        <v>104</v>
      </c>
      <c r="BS795" t="s">
        <v>15798</v>
      </c>
      <c r="BT795" t="str">
        <f>HYPERLINK("https%3A%2F%2Fwww.webofscience.com%2Fwos%2Fwoscc%2Ffull-record%2FWOS:000562436800045","View Full Record in Web of Science")</f>
        <v>View Full Record in Web of Science</v>
      </c>
    </row>
    <row r="796" spans="1:72" x14ac:dyDescent="0.15">
      <c r="A796" t="s">
        <v>72</v>
      </c>
      <c r="B796" t="s">
        <v>15799</v>
      </c>
      <c r="C796" t="s">
        <v>74</v>
      </c>
      <c r="D796" t="s">
        <v>74</v>
      </c>
      <c r="E796" t="s">
        <v>74</v>
      </c>
      <c r="F796" t="s">
        <v>15800</v>
      </c>
      <c r="G796" t="s">
        <v>74</v>
      </c>
      <c r="H796" t="s">
        <v>74</v>
      </c>
      <c r="I796" t="s">
        <v>15801</v>
      </c>
      <c r="J796" t="s">
        <v>596</v>
      </c>
      <c r="K796" t="s">
        <v>74</v>
      </c>
      <c r="L796" t="s">
        <v>74</v>
      </c>
      <c r="M796" t="s">
        <v>78</v>
      </c>
      <c r="N796" t="s">
        <v>79</v>
      </c>
      <c r="O796" t="s">
        <v>74</v>
      </c>
      <c r="P796" t="s">
        <v>74</v>
      </c>
      <c r="Q796" t="s">
        <v>74</v>
      </c>
      <c r="R796" t="s">
        <v>74</v>
      </c>
      <c r="S796" t="s">
        <v>74</v>
      </c>
      <c r="T796" t="s">
        <v>74</v>
      </c>
      <c r="U796" t="s">
        <v>15802</v>
      </c>
      <c r="V796" t="s">
        <v>15803</v>
      </c>
      <c r="W796" t="s">
        <v>15804</v>
      </c>
      <c r="X796" t="s">
        <v>15805</v>
      </c>
      <c r="Y796" t="s">
        <v>15806</v>
      </c>
      <c r="Z796" t="s">
        <v>15807</v>
      </c>
      <c r="AA796" t="s">
        <v>15808</v>
      </c>
      <c r="AB796" t="s">
        <v>15809</v>
      </c>
      <c r="AC796" t="s">
        <v>15810</v>
      </c>
      <c r="AD796" t="s">
        <v>15811</v>
      </c>
      <c r="AE796" t="s">
        <v>15812</v>
      </c>
      <c r="AF796" t="s">
        <v>74</v>
      </c>
      <c r="AG796">
        <v>84</v>
      </c>
      <c r="AH796">
        <v>29</v>
      </c>
      <c r="AI796">
        <v>30</v>
      </c>
      <c r="AJ796">
        <v>3</v>
      </c>
      <c r="AK796">
        <v>57</v>
      </c>
      <c r="AL796" t="s">
        <v>608</v>
      </c>
      <c r="AM796" t="s">
        <v>609</v>
      </c>
      <c r="AN796" t="s">
        <v>610</v>
      </c>
      <c r="AO796" t="s">
        <v>611</v>
      </c>
      <c r="AP796" t="s">
        <v>612</v>
      </c>
      <c r="AQ796" t="s">
        <v>74</v>
      </c>
      <c r="AR796" t="s">
        <v>596</v>
      </c>
      <c r="AS796" t="s">
        <v>613</v>
      </c>
      <c r="AT796" t="s">
        <v>15778</v>
      </c>
      <c r="AU796">
        <v>2020</v>
      </c>
      <c r="AV796">
        <v>369</v>
      </c>
      <c r="AW796">
        <v>6506</v>
      </c>
      <c r="AX796" t="s">
        <v>74</v>
      </c>
      <c r="AY796" t="s">
        <v>74</v>
      </c>
      <c r="AZ796" t="s">
        <v>489</v>
      </c>
      <c r="BA796" t="s">
        <v>74</v>
      </c>
      <c r="BB796">
        <v>1000</v>
      </c>
      <c r="BC796" t="s">
        <v>614</v>
      </c>
      <c r="BD796" t="s">
        <v>74</v>
      </c>
      <c r="BE796" t="s">
        <v>15813</v>
      </c>
      <c r="BF796" t="str">
        <f>HYPERLINK("http://dx.doi.org/10.1126/science.aay8178","http://dx.doi.org/10.1126/science.aay8178")</f>
        <v>http://dx.doi.org/10.1126/science.aay8178</v>
      </c>
      <c r="BG796" t="s">
        <v>74</v>
      </c>
      <c r="BH796" t="s">
        <v>74</v>
      </c>
      <c r="BI796">
        <v>36</v>
      </c>
      <c r="BJ796" t="s">
        <v>329</v>
      </c>
      <c r="BK796" t="s">
        <v>100</v>
      </c>
      <c r="BL796" t="s">
        <v>330</v>
      </c>
      <c r="BM796" t="s">
        <v>15797</v>
      </c>
      <c r="BN796">
        <v>32820127</v>
      </c>
      <c r="BO796" t="s">
        <v>376</v>
      </c>
      <c r="BP796" t="s">
        <v>74</v>
      </c>
      <c r="BQ796" t="s">
        <v>74</v>
      </c>
      <c r="BR796" t="s">
        <v>104</v>
      </c>
      <c r="BS796" t="s">
        <v>15814</v>
      </c>
      <c r="BT796" t="str">
        <f>HYPERLINK("https%3A%2F%2Fwww.webofscience.com%2Fwos%2Fwoscc%2Ffull-record%2FWOS:000562436800052","View Full Record in Web of Science")</f>
        <v>View Full Record in Web of Science</v>
      </c>
    </row>
    <row r="797" spans="1:72" x14ac:dyDescent="0.15">
      <c r="A797" t="s">
        <v>72</v>
      </c>
      <c r="B797" t="s">
        <v>15815</v>
      </c>
      <c r="C797" t="s">
        <v>74</v>
      </c>
      <c r="D797" t="s">
        <v>74</v>
      </c>
      <c r="E797" t="s">
        <v>74</v>
      </c>
      <c r="F797" t="s">
        <v>15816</v>
      </c>
      <c r="G797" t="s">
        <v>74</v>
      </c>
      <c r="H797" t="s">
        <v>74</v>
      </c>
      <c r="I797" t="s">
        <v>15817</v>
      </c>
      <c r="J797" t="s">
        <v>77</v>
      </c>
      <c r="K797" t="s">
        <v>74</v>
      </c>
      <c r="L797" t="s">
        <v>74</v>
      </c>
      <c r="M797" t="s">
        <v>78</v>
      </c>
      <c r="N797" t="s">
        <v>79</v>
      </c>
      <c r="O797" t="s">
        <v>74</v>
      </c>
      <c r="P797" t="s">
        <v>74</v>
      </c>
      <c r="Q797" t="s">
        <v>74</v>
      </c>
      <c r="R797" t="s">
        <v>74</v>
      </c>
      <c r="S797" t="s">
        <v>74</v>
      </c>
      <c r="T797" t="s">
        <v>74</v>
      </c>
      <c r="U797" t="s">
        <v>15818</v>
      </c>
      <c r="V797" t="s">
        <v>15819</v>
      </c>
      <c r="W797" t="s">
        <v>15820</v>
      </c>
      <c r="X797" t="s">
        <v>15821</v>
      </c>
      <c r="Y797" t="s">
        <v>15822</v>
      </c>
      <c r="Z797" t="s">
        <v>15823</v>
      </c>
      <c r="AA797" t="s">
        <v>15824</v>
      </c>
      <c r="AB797" t="s">
        <v>15825</v>
      </c>
      <c r="AC797" t="s">
        <v>74</v>
      </c>
      <c r="AD797" t="s">
        <v>74</v>
      </c>
      <c r="AE797" t="s">
        <v>74</v>
      </c>
      <c r="AF797" t="s">
        <v>74</v>
      </c>
      <c r="AG797">
        <v>46</v>
      </c>
      <c r="AH797">
        <v>21</v>
      </c>
      <c r="AI797">
        <v>22</v>
      </c>
      <c r="AJ797">
        <v>0</v>
      </c>
      <c r="AK797">
        <v>17</v>
      </c>
      <c r="AL797" t="s">
        <v>91</v>
      </c>
      <c r="AM797" t="s">
        <v>92</v>
      </c>
      <c r="AN797" t="s">
        <v>93</v>
      </c>
      <c r="AO797" t="s">
        <v>94</v>
      </c>
      <c r="AP797" t="s">
        <v>95</v>
      </c>
      <c r="AQ797" t="s">
        <v>74</v>
      </c>
      <c r="AR797" t="s">
        <v>77</v>
      </c>
      <c r="AS797" t="s">
        <v>96</v>
      </c>
      <c r="AT797" t="s">
        <v>15778</v>
      </c>
      <c r="AU797">
        <v>2020</v>
      </c>
      <c r="AV797">
        <v>14</v>
      </c>
      <c r="AW797">
        <v>8</v>
      </c>
      <c r="AX797" t="s">
        <v>74</v>
      </c>
      <c r="AY797" t="s">
        <v>74</v>
      </c>
      <c r="AZ797" t="s">
        <v>74</v>
      </c>
      <c r="BA797" t="s">
        <v>74</v>
      </c>
      <c r="BB797">
        <v>2673</v>
      </c>
      <c r="BC797">
        <v>2686</v>
      </c>
      <c r="BD797" t="s">
        <v>74</v>
      </c>
      <c r="BE797" t="s">
        <v>15826</v>
      </c>
      <c r="BF797" t="str">
        <f>HYPERLINK("http://dx.doi.org/10.5194/tc-14-2673-2020","http://dx.doi.org/10.5194/tc-14-2673-2020")</f>
        <v>http://dx.doi.org/10.5194/tc-14-2673-2020</v>
      </c>
      <c r="BG797" t="s">
        <v>74</v>
      </c>
      <c r="BH797" t="s">
        <v>74</v>
      </c>
      <c r="BI797">
        <v>14</v>
      </c>
      <c r="BJ797" t="s">
        <v>99</v>
      </c>
      <c r="BK797" t="s">
        <v>100</v>
      </c>
      <c r="BL797" t="s">
        <v>101</v>
      </c>
      <c r="BM797" t="s">
        <v>15827</v>
      </c>
      <c r="BN797" t="s">
        <v>74</v>
      </c>
      <c r="BO797" t="s">
        <v>350</v>
      </c>
      <c r="BP797" t="s">
        <v>74</v>
      </c>
      <c r="BQ797" t="s">
        <v>74</v>
      </c>
      <c r="BR797" t="s">
        <v>104</v>
      </c>
      <c r="BS797" t="s">
        <v>15828</v>
      </c>
      <c r="BT797" t="str">
        <f>HYPERLINK("https%3A%2F%2Fwww.webofscience.com%2Fwos%2Fwoscc%2Ffull-record%2FWOS:000563086000001","View Full Record in Web of Science")</f>
        <v>View Full Record in Web of Science</v>
      </c>
    </row>
    <row r="798" spans="1:72" x14ac:dyDescent="0.15">
      <c r="A798" t="s">
        <v>72</v>
      </c>
      <c r="B798" t="s">
        <v>15829</v>
      </c>
      <c r="C798" t="s">
        <v>74</v>
      </c>
      <c r="D798" t="s">
        <v>74</v>
      </c>
      <c r="E798" t="s">
        <v>74</v>
      </c>
      <c r="F798" t="s">
        <v>15830</v>
      </c>
      <c r="G798" t="s">
        <v>74</v>
      </c>
      <c r="H798" t="s">
        <v>74</v>
      </c>
      <c r="I798" t="s">
        <v>15831</v>
      </c>
      <c r="J798" t="s">
        <v>6291</v>
      </c>
      <c r="K798" t="s">
        <v>74</v>
      </c>
      <c r="L798" t="s">
        <v>74</v>
      </c>
      <c r="M798" t="s">
        <v>78</v>
      </c>
      <c r="N798" t="s">
        <v>79</v>
      </c>
      <c r="O798" t="s">
        <v>74</v>
      </c>
      <c r="P798" t="s">
        <v>74</v>
      </c>
      <c r="Q798" t="s">
        <v>74</v>
      </c>
      <c r="R798" t="s">
        <v>74</v>
      </c>
      <c r="S798" t="s">
        <v>74</v>
      </c>
      <c r="T798" t="s">
        <v>74</v>
      </c>
      <c r="U798" t="s">
        <v>15832</v>
      </c>
      <c r="V798" t="s">
        <v>15833</v>
      </c>
      <c r="W798" t="s">
        <v>15834</v>
      </c>
      <c r="X798" t="s">
        <v>15835</v>
      </c>
      <c r="Y798" t="s">
        <v>15836</v>
      </c>
      <c r="Z798" t="s">
        <v>15837</v>
      </c>
      <c r="AA798" t="s">
        <v>15838</v>
      </c>
      <c r="AB798" t="s">
        <v>15839</v>
      </c>
      <c r="AC798" t="s">
        <v>15840</v>
      </c>
      <c r="AD798" t="s">
        <v>15841</v>
      </c>
      <c r="AE798" t="s">
        <v>15842</v>
      </c>
      <c r="AF798" t="s">
        <v>74</v>
      </c>
      <c r="AG798">
        <v>178</v>
      </c>
      <c r="AH798">
        <v>100</v>
      </c>
      <c r="AI798">
        <v>105</v>
      </c>
      <c r="AJ798">
        <v>2</v>
      </c>
      <c r="AK798">
        <v>24</v>
      </c>
      <c r="AL798" t="s">
        <v>91</v>
      </c>
      <c r="AM798" t="s">
        <v>92</v>
      </c>
      <c r="AN798" t="s">
        <v>93</v>
      </c>
      <c r="AO798" t="s">
        <v>6303</v>
      </c>
      <c r="AP798" t="s">
        <v>6304</v>
      </c>
      <c r="AQ798" t="s">
        <v>74</v>
      </c>
      <c r="AR798" t="s">
        <v>6305</v>
      </c>
      <c r="AS798" t="s">
        <v>6306</v>
      </c>
      <c r="AT798" t="s">
        <v>15778</v>
      </c>
      <c r="AU798">
        <v>2020</v>
      </c>
      <c r="AV798">
        <v>13</v>
      </c>
      <c r="AW798">
        <v>8</v>
      </c>
      <c r="AX798" t="s">
        <v>74</v>
      </c>
      <c r="AY798" t="s">
        <v>74</v>
      </c>
      <c r="AZ798" t="s">
        <v>74</v>
      </c>
      <c r="BA798" t="s">
        <v>74</v>
      </c>
      <c r="BB798">
        <v>3643</v>
      </c>
      <c r="BC798">
        <v>3708</v>
      </c>
      <c r="BD798" t="s">
        <v>74</v>
      </c>
      <c r="BE798" t="s">
        <v>15843</v>
      </c>
      <c r="BF798" t="str">
        <f>HYPERLINK("http://dx.doi.org/10.5194/gmd-13-3643-2020","http://dx.doi.org/10.5194/gmd-13-3643-2020")</f>
        <v>http://dx.doi.org/10.5194/gmd-13-3643-2020</v>
      </c>
      <c r="BG798" t="s">
        <v>74</v>
      </c>
      <c r="BH798" t="s">
        <v>74</v>
      </c>
      <c r="BI798">
        <v>66</v>
      </c>
      <c r="BJ798" t="s">
        <v>534</v>
      </c>
      <c r="BK798" t="s">
        <v>100</v>
      </c>
      <c r="BL798" t="s">
        <v>535</v>
      </c>
      <c r="BM798" t="s">
        <v>15844</v>
      </c>
      <c r="BN798" t="s">
        <v>74</v>
      </c>
      <c r="BO798" t="s">
        <v>15624</v>
      </c>
      <c r="BP798" t="s">
        <v>74</v>
      </c>
      <c r="BQ798" t="s">
        <v>74</v>
      </c>
      <c r="BR798" t="s">
        <v>104</v>
      </c>
      <c r="BS798" t="s">
        <v>15845</v>
      </c>
      <c r="BT798" t="str">
        <f>HYPERLINK("https%3A%2F%2Fwww.webofscience.com%2Fwos%2Fwoscc%2Ffull-record%2FWOS:000563085800002","View Full Record in Web of Science")</f>
        <v>View Full Record in Web of Science</v>
      </c>
    </row>
    <row r="799" spans="1:72" x14ac:dyDescent="0.15">
      <c r="A799" t="s">
        <v>72</v>
      </c>
      <c r="B799" t="s">
        <v>15846</v>
      </c>
      <c r="C799" t="s">
        <v>74</v>
      </c>
      <c r="D799" t="s">
        <v>74</v>
      </c>
      <c r="E799" t="s">
        <v>74</v>
      </c>
      <c r="F799" t="s">
        <v>15847</v>
      </c>
      <c r="G799" t="s">
        <v>74</v>
      </c>
      <c r="H799" t="s">
        <v>74</v>
      </c>
      <c r="I799" t="s">
        <v>15848</v>
      </c>
      <c r="J799" t="s">
        <v>15849</v>
      </c>
      <c r="K799" t="s">
        <v>74</v>
      </c>
      <c r="L799" t="s">
        <v>74</v>
      </c>
      <c r="M799" t="s">
        <v>78</v>
      </c>
      <c r="N799" t="s">
        <v>79</v>
      </c>
      <c r="O799" t="s">
        <v>74</v>
      </c>
      <c r="P799" t="s">
        <v>74</v>
      </c>
      <c r="Q799" t="s">
        <v>74</v>
      </c>
      <c r="R799" t="s">
        <v>74</v>
      </c>
      <c r="S799" t="s">
        <v>74</v>
      </c>
      <c r="T799" t="s">
        <v>15850</v>
      </c>
      <c r="U799" t="s">
        <v>15851</v>
      </c>
      <c r="V799" t="s">
        <v>15852</v>
      </c>
      <c r="W799" t="s">
        <v>15853</v>
      </c>
      <c r="X799" t="s">
        <v>15854</v>
      </c>
      <c r="Y799" t="s">
        <v>15855</v>
      </c>
      <c r="Z799" t="s">
        <v>15856</v>
      </c>
      <c r="AA799" t="s">
        <v>15857</v>
      </c>
      <c r="AB799" t="s">
        <v>15858</v>
      </c>
      <c r="AC799" t="s">
        <v>15859</v>
      </c>
      <c r="AD799" t="s">
        <v>15860</v>
      </c>
      <c r="AE799" t="s">
        <v>15861</v>
      </c>
      <c r="AF799" t="s">
        <v>74</v>
      </c>
      <c r="AG799">
        <v>37</v>
      </c>
      <c r="AH799">
        <v>12</v>
      </c>
      <c r="AI799">
        <v>13</v>
      </c>
      <c r="AJ799">
        <v>1</v>
      </c>
      <c r="AK799">
        <v>3</v>
      </c>
      <c r="AL799" t="s">
        <v>11540</v>
      </c>
      <c r="AM799" t="s">
        <v>11541</v>
      </c>
      <c r="AN799" t="s">
        <v>11542</v>
      </c>
      <c r="AO799" t="s">
        <v>15862</v>
      </c>
      <c r="AP799" t="s">
        <v>74</v>
      </c>
      <c r="AQ799" t="s">
        <v>74</v>
      </c>
      <c r="AR799" t="s">
        <v>15863</v>
      </c>
      <c r="AS799" t="s">
        <v>15864</v>
      </c>
      <c r="AT799" t="s">
        <v>15778</v>
      </c>
      <c r="AU799">
        <v>2020</v>
      </c>
      <c r="AV799">
        <v>10</v>
      </c>
      <c r="AW799" t="s">
        <v>74</v>
      </c>
      <c r="AX799" t="s">
        <v>74</v>
      </c>
      <c r="AY799" t="s">
        <v>74</v>
      </c>
      <c r="AZ799" t="s">
        <v>74</v>
      </c>
      <c r="BA799" t="s">
        <v>74</v>
      </c>
      <c r="BB799" t="s">
        <v>74</v>
      </c>
      <c r="BC799" t="s">
        <v>74</v>
      </c>
      <c r="BD799">
        <v>39</v>
      </c>
      <c r="BE799" t="s">
        <v>15865</v>
      </c>
      <c r="BF799" t="str">
        <f>HYPERLINK("http://dx.doi.org/10.1051/swsc/2020038","http://dx.doi.org/10.1051/swsc/2020038")</f>
        <v>http://dx.doi.org/10.1051/swsc/2020038</v>
      </c>
      <c r="BG799" t="s">
        <v>74</v>
      </c>
      <c r="BH799" t="s">
        <v>74</v>
      </c>
      <c r="BI799">
        <v>12</v>
      </c>
      <c r="BJ799" t="s">
        <v>1917</v>
      </c>
      <c r="BK799" t="s">
        <v>100</v>
      </c>
      <c r="BL799" t="s">
        <v>1917</v>
      </c>
      <c r="BM799" t="s">
        <v>15866</v>
      </c>
      <c r="BN799" t="s">
        <v>74</v>
      </c>
      <c r="BO799" t="s">
        <v>6286</v>
      </c>
      <c r="BP799" t="s">
        <v>74</v>
      </c>
      <c r="BQ799" t="s">
        <v>74</v>
      </c>
      <c r="BR799" t="s">
        <v>104</v>
      </c>
      <c r="BS799" t="s">
        <v>15867</v>
      </c>
      <c r="BT799" t="str">
        <f>HYPERLINK("https%3A%2F%2Fwww.webofscience.com%2Fwos%2Fwoscc%2Ffull-record%2FWOS:000563538900003","View Full Record in Web of Science")</f>
        <v>View Full Record in Web of Science</v>
      </c>
    </row>
    <row r="800" spans="1:72" x14ac:dyDescent="0.15">
      <c r="A800" t="s">
        <v>72</v>
      </c>
      <c r="B800" t="s">
        <v>15868</v>
      </c>
      <c r="C800" t="s">
        <v>74</v>
      </c>
      <c r="D800" t="s">
        <v>74</v>
      </c>
      <c r="E800" t="s">
        <v>74</v>
      </c>
      <c r="F800" t="s">
        <v>15869</v>
      </c>
      <c r="G800" t="s">
        <v>74</v>
      </c>
      <c r="H800" t="s">
        <v>74</v>
      </c>
      <c r="I800" t="s">
        <v>15870</v>
      </c>
      <c r="J800" t="s">
        <v>309</v>
      </c>
      <c r="K800" t="s">
        <v>74</v>
      </c>
      <c r="L800" t="s">
        <v>74</v>
      </c>
      <c r="M800" t="s">
        <v>78</v>
      </c>
      <c r="N800" t="s">
        <v>79</v>
      </c>
      <c r="O800" t="s">
        <v>74</v>
      </c>
      <c r="P800" t="s">
        <v>74</v>
      </c>
      <c r="Q800" t="s">
        <v>74</v>
      </c>
      <c r="R800" t="s">
        <v>74</v>
      </c>
      <c r="S800" t="s">
        <v>74</v>
      </c>
      <c r="T800" t="s">
        <v>74</v>
      </c>
      <c r="U800" t="s">
        <v>15871</v>
      </c>
      <c r="V800" t="s">
        <v>15872</v>
      </c>
      <c r="W800" t="s">
        <v>15873</v>
      </c>
      <c r="X800" t="s">
        <v>15874</v>
      </c>
      <c r="Y800" t="s">
        <v>15875</v>
      </c>
      <c r="Z800" t="s">
        <v>15876</v>
      </c>
      <c r="AA800" t="s">
        <v>15877</v>
      </c>
      <c r="AB800" t="s">
        <v>15878</v>
      </c>
      <c r="AC800" t="s">
        <v>6056</v>
      </c>
      <c r="AD800" t="s">
        <v>6056</v>
      </c>
      <c r="AE800" t="s">
        <v>15879</v>
      </c>
      <c r="AF800" t="s">
        <v>74</v>
      </c>
      <c r="AG800">
        <v>74</v>
      </c>
      <c r="AH800">
        <v>14</v>
      </c>
      <c r="AI800">
        <v>16</v>
      </c>
      <c r="AJ800">
        <v>2</v>
      </c>
      <c r="AK800">
        <v>21</v>
      </c>
      <c r="AL800" t="s">
        <v>413</v>
      </c>
      <c r="AM800" t="s">
        <v>322</v>
      </c>
      <c r="AN800" t="s">
        <v>323</v>
      </c>
      <c r="AO800" t="s">
        <v>324</v>
      </c>
      <c r="AP800" t="s">
        <v>74</v>
      </c>
      <c r="AQ800" t="s">
        <v>74</v>
      </c>
      <c r="AR800" t="s">
        <v>325</v>
      </c>
      <c r="AS800" t="s">
        <v>326</v>
      </c>
      <c r="AT800" t="s">
        <v>15778</v>
      </c>
      <c r="AU800">
        <v>2020</v>
      </c>
      <c r="AV800">
        <v>10</v>
      </c>
      <c r="AW800">
        <v>1</v>
      </c>
      <c r="AX800" t="s">
        <v>74</v>
      </c>
      <c r="AY800" t="s">
        <v>74</v>
      </c>
      <c r="AZ800" t="s">
        <v>74</v>
      </c>
      <c r="BA800" t="s">
        <v>74</v>
      </c>
      <c r="BB800" t="s">
        <v>74</v>
      </c>
      <c r="BC800" t="s">
        <v>74</v>
      </c>
      <c r="BD800">
        <v>14067</v>
      </c>
      <c r="BE800" t="s">
        <v>15880</v>
      </c>
      <c r="BF800" t="str">
        <f>HYPERLINK("http://dx.doi.org/10.1038/s41598-020-70901-6","http://dx.doi.org/10.1038/s41598-020-70901-6")</f>
        <v>http://dx.doi.org/10.1038/s41598-020-70901-6</v>
      </c>
      <c r="BG800" t="s">
        <v>74</v>
      </c>
      <c r="BH800" t="s">
        <v>74</v>
      </c>
      <c r="BI800">
        <v>14</v>
      </c>
      <c r="BJ800" t="s">
        <v>329</v>
      </c>
      <c r="BK800" t="s">
        <v>100</v>
      </c>
      <c r="BL800" t="s">
        <v>330</v>
      </c>
      <c r="BM800" t="s">
        <v>15881</v>
      </c>
      <c r="BN800">
        <v>32826931</v>
      </c>
      <c r="BO800" t="s">
        <v>332</v>
      </c>
      <c r="BP800" t="s">
        <v>74</v>
      </c>
      <c r="BQ800" t="s">
        <v>74</v>
      </c>
      <c r="BR800" t="s">
        <v>104</v>
      </c>
      <c r="BS800" t="s">
        <v>15882</v>
      </c>
      <c r="BT800" t="str">
        <f>HYPERLINK("https%3A%2F%2Fwww.webofscience.com%2Fwos%2Fwoscc%2Ffull-record%2FWOS:000567105200003","View Full Record in Web of Science")</f>
        <v>View Full Record in Web of Science</v>
      </c>
    </row>
    <row r="801" spans="1:72" x14ac:dyDescent="0.15">
      <c r="A801" t="s">
        <v>72</v>
      </c>
      <c r="B801" t="s">
        <v>15883</v>
      </c>
      <c r="C801" t="s">
        <v>74</v>
      </c>
      <c r="D801" t="s">
        <v>74</v>
      </c>
      <c r="E801" t="s">
        <v>74</v>
      </c>
      <c r="F801" t="s">
        <v>15884</v>
      </c>
      <c r="G801" t="s">
        <v>74</v>
      </c>
      <c r="H801" t="s">
        <v>74</v>
      </c>
      <c r="I801" t="s">
        <v>15885</v>
      </c>
      <c r="J801" t="s">
        <v>15201</v>
      </c>
      <c r="K801" t="s">
        <v>74</v>
      </c>
      <c r="L801" t="s">
        <v>74</v>
      </c>
      <c r="M801" t="s">
        <v>78</v>
      </c>
      <c r="N801" t="s">
        <v>79</v>
      </c>
      <c r="O801" t="s">
        <v>74</v>
      </c>
      <c r="P801" t="s">
        <v>74</v>
      </c>
      <c r="Q801" t="s">
        <v>74</v>
      </c>
      <c r="R801" t="s">
        <v>74</v>
      </c>
      <c r="S801" t="s">
        <v>74</v>
      </c>
      <c r="T801" t="s">
        <v>15886</v>
      </c>
      <c r="U801" t="s">
        <v>15887</v>
      </c>
      <c r="V801" t="s">
        <v>15888</v>
      </c>
      <c r="W801" t="s">
        <v>15889</v>
      </c>
      <c r="X801" t="s">
        <v>15890</v>
      </c>
      <c r="Y801" t="s">
        <v>15891</v>
      </c>
      <c r="Z801" t="s">
        <v>15892</v>
      </c>
      <c r="AA801" t="s">
        <v>74</v>
      </c>
      <c r="AB801" t="s">
        <v>74</v>
      </c>
      <c r="AC801" t="s">
        <v>15893</v>
      </c>
      <c r="AD801" t="s">
        <v>15894</v>
      </c>
      <c r="AE801" t="s">
        <v>15895</v>
      </c>
      <c r="AF801" t="s">
        <v>74</v>
      </c>
      <c r="AG801">
        <v>44</v>
      </c>
      <c r="AH801">
        <v>10</v>
      </c>
      <c r="AI801">
        <v>12</v>
      </c>
      <c r="AJ801">
        <v>1</v>
      </c>
      <c r="AK801">
        <v>11</v>
      </c>
      <c r="AL801" t="s">
        <v>866</v>
      </c>
      <c r="AM801" t="s">
        <v>867</v>
      </c>
      <c r="AN801" t="s">
        <v>868</v>
      </c>
      <c r="AO801" t="s">
        <v>15214</v>
      </c>
      <c r="AP801" t="s">
        <v>74</v>
      </c>
      <c r="AQ801" t="s">
        <v>74</v>
      </c>
      <c r="AR801" t="s">
        <v>15215</v>
      </c>
      <c r="AS801" t="s">
        <v>15216</v>
      </c>
      <c r="AT801" t="s">
        <v>15896</v>
      </c>
      <c r="AU801">
        <v>2020</v>
      </c>
      <c r="AV801">
        <v>11</v>
      </c>
      <c r="AW801" t="s">
        <v>74</v>
      </c>
      <c r="AX801" t="s">
        <v>74</v>
      </c>
      <c r="AY801" t="s">
        <v>74</v>
      </c>
      <c r="AZ801" t="s">
        <v>74</v>
      </c>
      <c r="BA801" t="s">
        <v>74</v>
      </c>
      <c r="BB801" t="s">
        <v>74</v>
      </c>
      <c r="BC801" t="s">
        <v>74</v>
      </c>
      <c r="BD801">
        <v>1259</v>
      </c>
      <c r="BE801" t="s">
        <v>15897</v>
      </c>
      <c r="BF801" t="str">
        <f>HYPERLINK("http://dx.doi.org/10.3389/fpls.2020.01259","http://dx.doi.org/10.3389/fpls.2020.01259")</f>
        <v>http://dx.doi.org/10.3389/fpls.2020.01259</v>
      </c>
      <c r="BG801" t="s">
        <v>74</v>
      </c>
      <c r="BH801" t="s">
        <v>74</v>
      </c>
      <c r="BI801">
        <v>8</v>
      </c>
      <c r="BJ801" t="s">
        <v>176</v>
      </c>
      <c r="BK801" t="s">
        <v>100</v>
      </c>
      <c r="BL801" t="s">
        <v>176</v>
      </c>
      <c r="BM801" t="s">
        <v>15898</v>
      </c>
      <c r="BN801">
        <v>32973829</v>
      </c>
      <c r="BO801" t="s">
        <v>416</v>
      </c>
      <c r="BP801" t="s">
        <v>74</v>
      </c>
      <c r="BQ801" t="s">
        <v>74</v>
      </c>
      <c r="BR801" t="s">
        <v>104</v>
      </c>
      <c r="BS801" t="s">
        <v>15899</v>
      </c>
      <c r="BT801" t="str">
        <f>HYPERLINK("https%3A%2F%2Fwww.webofscience.com%2Fwos%2Fwoscc%2Ffull-record%2FWOS:000566167200001","View Full Record in Web of Science")</f>
        <v>View Full Record in Web of Science</v>
      </c>
    </row>
    <row r="802" spans="1:72" x14ac:dyDescent="0.15">
      <c r="A802" t="s">
        <v>72</v>
      </c>
      <c r="B802" t="s">
        <v>15900</v>
      </c>
      <c r="C802" t="s">
        <v>74</v>
      </c>
      <c r="D802" t="s">
        <v>74</v>
      </c>
      <c r="E802" t="s">
        <v>74</v>
      </c>
      <c r="F802" t="s">
        <v>15901</v>
      </c>
      <c r="G802" t="s">
        <v>74</v>
      </c>
      <c r="H802" t="s">
        <v>74</v>
      </c>
      <c r="I802" t="s">
        <v>15902</v>
      </c>
      <c r="J802" t="s">
        <v>77</v>
      </c>
      <c r="K802" t="s">
        <v>74</v>
      </c>
      <c r="L802" t="s">
        <v>74</v>
      </c>
      <c r="M802" t="s">
        <v>78</v>
      </c>
      <c r="N802" t="s">
        <v>79</v>
      </c>
      <c r="O802" t="s">
        <v>74</v>
      </c>
      <c r="P802" t="s">
        <v>74</v>
      </c>
      <c r="Q802" t="s">
        <v>74</v>
      </c>
      <c r="R802" t="s">
        <v>74</v>
      </c>
      <c r="S802" t="s">
        <v>74</v>
      </c>
      <c r="T802" t="s">
        <v>74</v>
      </c>
      <c r="U802" t="s">
        <v>15903</v>
      </c>
      <c r="V802" t="s">
        <v>15904</v>
      </c>
      <c r="W802" t="s">
        <v>15905</v>
      </c>
      <c r="X802" t="s">
        <v>15906</v>
      </c>
      <c r="Y802" t="s">
        <v>15907</v>
      </c>
      <c r="Z802" t="s">
        <v>15908</v>
      </c>
      <c r="AA802" t="s">
        <v>74</v>
      </c>
      <c r="AB802" t="s">
        <v>15909</v>
      </c>
      <c r="AC802" t="s">
        <v>15910</v>
      </c>
      <c r="AD802" t="s">
        <v>15911</v>
      </c>
      <c r="AE802" t="s">
        <v>15912</v>
      </c>
      <c r="AF802" t="s">
        <v>74</v>
      </c>
      <c r="AG802">
        <v>101</v>
      </c>
      <c r="AH802">
        <v>24</v>
      </c>
      <c r="AI802">
        <v>27</v>
      </c>
      <c r="AJ802">
        <v>2</v>
      </c>
      <c r="AK802">
        <v>9</v>
      </c>
      <c r="AL802" t="s">
        <v>91</v>
      </c>
      <c r="AM802" t="s">
        <v>92</v>
      </c>
      <c r="AN802" t="s">
        <v>93</v>
      </c>
      <c r="AO802" t="s">
        <v>94</v>
      </c>
      <c r="AP802" t="s">
        <v>95</v>
      </c>
      <c r="AQ802" t="s">
        <v>74</v>
      </c>
      <c r="AR802" t="s">
        <v>77</v>
      </c>
      <c r="AS802" t="s">
        <v>96</v>
      </c>
      <c r="AT802" t="s">
        <v>15896</v>
      </c>
      <c r="AU802">
        <v>2020</v>
      </c>
      <c r="AV802">
        <v>14</v>
      </c>
      <c r="AW802">
        <v>8</v>
      </c>
      <c r="AX802" t="s">
        <v>74</v>
      </c>
      <c r="AY802" t="s">
        <v>74</v>
      </c>
      <c r="AZ802" t="s">
        <v>74</v>
      </c>
      <c r="BA802" t="s">
        <v>74</v>
      </c>
      <c r="BB802">
        <v>2647</v>
      </c>
      <c r="BC802">
        <v>2672</v>
      </c>
      <c r="BD802" t="s">
        <v>74</v>
      </c>
      <c r="BE802" t="s">
        <v>15913</v>
      </c>
      <c r="BF802" t="str">
        <f>HYPERLINK("http://dx.doi.org/10.5194/tc-14-2647-2020","http://dx.doi.org/10.5194/tc-14-2647-2020")</f>
        <v>http://dx.doi.org/10.5194/tc-14-2647-2020</v>
      </c>
      <c r="BG802" t="s">
        <v>74</v>
      </c>
      <c r="BH802" t="s">
        <v>74</v>
      </c>
      <c r="BI802">
        <v>26</v>
      </c>
      <c r="BJ802" t="s">
        <v>99</v>
      </c>
      <c r="BK802" t="s">
        <v>100</v>
      </c>
      <c r="BL802" t="s">
        <v>101</v>
      </c>
      <c r="BM802" t="s">
        <v>15914</v>
      </c>
      <c r="BN802" t="s">
        <v>74</v>
      </c>
      <c r="BO802" t="s">
        <v>677</v>
      </c>
      <c r="BP802" t="s">
        <v>74</v>
      </c>
      <c r="BQ802" t="s">
        <v>74</v>
      </c>
      <c r="BR802" t="s">
        <v>104</v>
      </c>
      <c r="BS802" t="s">
        <v>15915</v>
      </c>
      <c r="BT802" t="str">
        <f>HYPERLINK("https%3A%2F%2Fwww.webofscience.com%2Fwos%2Fwoscc%2Ffull-record%2FWOS:000563077700003","View Full Record in Web of Science")</f>
        <v>View Full Record in Web of Science</v>
      </c>
    </row>
    <row r="803" spans="1:72" x14ac:dyDescent="0.15">
      <c r="A803" t="s">
        <v>72</v>
      </c>
      <c r="B803" t="s">
        <v>15916</v>
      </c>
      <c r="C803" t="s">
        <v>74</v>
      </c>
      <c r="D803" t="s">
        <v>74</v>
      </c>
      <c r="E803" t="s">
        <v>74</v>
      </c>
      <c r="F803" t="s">
        <v>15917</v>
      </c>
      <c r="G803" t="s">
        <v>74</v>
      </c>
      <c r="H803" t="s">
        <v>74</v>
      </c>
      <c r="I803" t="s">
        <v>15918</v>
      </c>
      <c r="J803" t="s">
        <v>15919</v>
      </c>
      <c r="K803" t="s">
        <v>74</v>
      </c>
      <c r="L803" t="s">
        <v>74</v>
      </c>
      <c r="M803" t="s">
        <v>78</v>
      </c>
      <c r="N803" t="s">
        <v>79</v>
      </c>
      <c r="O803" t="s">
        <v>74</v>
      </c>
      <c r="P803" t="s">
        <v>74</v>
      </c>
      <c r="Q803" t="s">
        <v>74</v>
      </c>
      <c r="R803" t="s">
        <v>74</v>
      </c>
      <c r="S803" t="s">
        <v>74</v>
      </c>
      <c r="T803" t="s">
        <v>15920</v>
      </c>
      <c r="U803" t="s">
        <v>15921</v>
      </c>
      <c r="V803" t="s">
        <v>15922</v>
      </c>
      <c r="W803" t="s">
        <v>15923</v>
      </c>
      <c r="X803" t="s">
        <v>15924</v>
      </c>
      <c r="Y803" t="s">
        <v>15925</v>
      </c>
      <c r="Z803" t="s">
        <v>15926</v>
      </c>
      <c r="AA803" t="s">
        <v>15927</v>
      </c>
      <c r="AB803" t="s">
        <v>15928</v>
      </c>
      <c r="AC803" t="s">
        <v>15929</v>
      </c>
      <c r="AD803" t="s">
        <v>15930</v>
      </c>
      <c r="AE803" t="s">
        <v>15931</v>
      </c>
      <c r="AF803" t="s">
        <v>74</v>
      </c>
      <c r="AG803">
        <v>82</v>
      </c>
      <c r="AH803">
        <v>5</v>
      </c>
      <c r="AI803">
        <v>6</v>
      </c>
      <c r="AJ803">
        <v>5</v>
      </c>
      <c r="AK803">
        <v>21</v>
      </c>
      <c r="AL803" t="s">
        <v>1406</v>
      </c>
      <c r="AM803" t="s">
        <v>1407</v>
      </c>
      <c r="AN803" t="s">
        <v>1408</v>
      </c>
      <c r="AO803" t="s">
        <v>15932</v>
      </c>
      <c r="AP803" t="s">
        <v>74</v>
      </c>
      <c r="AQ803" t="s">
        <v>74</v>
      </c>
      <c r="AR803" t="s">
        <v>15933</v>
      </c>
      <c r="AS803" t="s">
        <v>15934</v>
      </c>
      <c r="AT803" t="s">
        <v>15896</v>
      </c>
      <c r="AU803">
        <v>2020</v>
      </c>
      <c r="AV803">
        <v>8</v>
      </c>
      <c r="AW803" t="s">
        <v>74</v>
      </c>
      <c r="AX803" t="s">
        <v>74</v>
      </c>
      <c r="AY803" t="s">
        <v>74</v>
      </c>
      <c r="AZ803" t="s">
        <v>74</v>
      </c>
      <c r="BA803" t="s">
        <v>74</v>
      </c>
      <c r="BB803" t="s">
        <v>74</v>
      </c>
      <c r="BC803" t="s">
        <v>74</v>
      </c>
      <c r="BD803" t="s">
        <v>15935</v>
      </c>
      <c r="BE803" t="s">
        <v>15936</v>
      </c>
      <c r="BF803" t="str">
        <f>HYPERLINK("http://dx.doi.org/10.1093/conphys/coaa065","http://dx.doi.org/10.1093/conphys/coaa065")</f>
        <v>http://dx.doi.org/10.1093/conphys/coaa065</v>
      </c>
      <c r="BG803" t="s">
        <v>74</v>
      </c>
      <c r="BH803" t="s">
        <v>74</v>
      </c>
      <c r="BI803">
        <v>16</v>
      </c>
      <c r="BJ803" t="s">
        <v>15937</v>
      </c>
      <c r="BK803" t="s">
        <v>100</v>
      </c>
      <c r="BL803" t="s">
        <v>15938</v>
      </c>
      <c r="BM803" t="s">
        <v>15939</v>
      </c>
      <c r="BN803">
        <v>32843966</v>
      </c>
      <c r="BO803" t="s">
        <v>2113</v>
      </c>
      <c r="BP803" t="s">
        <v>74</v>
      </c>
      <c r="BQ803" t="s">
        <v>74</v>
      </c>
      <c r="BR803" t="s">
        <v>104</v>
      </c>
      <c r="BS803" t="s">
        <v>15940</v>
      </c>
      <c r="BT803" t="str">
        <f>HYPERLINK("https%3A%2F%2Fwww.webofscience.com%2Fwos%2Fwoscc%2Ffull-record%2FWOS:000562758900001","View Full Record in Web of Science")</f>
        <v>View Full Record in Web of Science</v>
      </c>
    </row>
    <row r="804" spans="1:72" x14ac:dyDescent="0.15">
      <c r="A804" t="s">
        <v>72</v>
      </c>
      <c r="B804" t="s">
        <v>15941</v>
      </c>
      <c r="C804" t="s">
        <v>74</v>
      </c>
      <c r="D804" t="s">
        <v>74</v>
      </c>
      <c r="E804" t="s">
        <v>74</v>
      </c>
      <c r="F804" t="s">
        <v>15942</v>
      </c>
      <c r="G804" t="s">
        <v>74</v>
      </c>
      <c r="H804" t="s">
        <v>74</v>
      </c>
      <c r="I804" t="s">
        <v>15943</v>
      </c>
      <c r="J804" t="s">
        <v>15944</v>
      </c>
      <c r="K804" t="s">
        <v>74</v>
      </c>
      <c r="L804" t="s">
        <v>74</v>
      </c>
      <c r="M804" t="s">
        <v>78</v>
      </c>
      <c r="N804" t="s">
        <v>79</v>
      </c>
      <c r="O804" t="s">
        <v>74</v>
      </c>
      <c r="P804" t="s">
        <v>74</v>
      </c>
      <c r="Q804" t="s">
        <v>74</v>
      </c>
      <c r="R804" t="s">
        <v>74</v>
      </c>
      <c r="S804" t="s">
        <v>74</v>
      </c>
      <c r="T804" t="s">
        <v>15945</v>
      </c>
      <c r="U804" t="s">
        <v>15946</v>
      </c>
      <c r="V804" t="s">
        <v>15947</v>
      </c>
      <c r="W804" t="s">
        <v>15948</v>
      </c>
      <c r="X804" t="s">
        <v>15949</v>
      </c>
      <c r="Y804" t="s">
        <v>15950</v>
      </c>
      <c r="Z804" t="s">
        <v>15951</v>
      </c>
      <c r="AA804" t="s">
        <v>15952</v>
      </c>
      <c r="AB804" t="s">
        <v>15953</v>
      </c>
      <c r="AC804" t="s">
        <v>15954</v>
      </c>
      <c r="AD804" t="s">
        <v>15955</v>
      </c>
      <c r="AE804" t="s">
        <v>15956</v>
      </c>
      <c r="AF804" t="s">
        <v>74</v>
      </c>
      <c r="AG804">
        <v>69</v>
      </c>
      <c r="AH804">
        <v>5</v>
      </c>
      <c r="AI804">
        <v>6</v>
      </c>
      <c r="AJ804">
        <v>1</v>
      </c>
      <c r="AK804">
        <v>18</v>
      </c>
      <c r="AL804" t="s">
        <v>581</v>
      </c>
      <c r="AM804" t="s">
        <v>582</v>
      </c>
      <c r="AN804" t="s">
        <v>583</v>
      </c>
      <c r="AO804" t="s">
        <v>15957</v>
      </c>
      <c r="AP804" t="s">
        <v>15958</v>
      </c>
      <c r="AQ804" t="s">
        <v>74</v>
      </c>
      <c r="AR804" t="s">
        <v>15959</v>
      </c>
      <c r="AS804" t="s">
        <v>15960</v>
      </c>
      <c r="AT804" t="s">
        <v>1212</v>
      </c>
      <c r="AU804">
        <v>2020</v>
      </c>
      <c r="AV804">
        <v>412</v>
      </c>
      <c r="AW804">
        <v>27</v>
      </c>
      <c r="AX804" t="s">
        <v>74</v>
      </c>
      <c r="AY804" t="s">
        <v>74</v>
      </c>
      <c r="AZ804" t="s">
        <v>489</v>
      </c>
      <c r="BA804" t="s">
        <v>74</v>
      </c>
      <c r="BB804">
        <v>7429</v>
      </c>
      <c r="BC804">
        <v>7440</v>
      </c>
      <c r="BD804" t="s">
        <v>74</v>
      </c>
      <c r="BE804" t="s">
        <v>15961</v>
      </c>
      <c r="BF804" t="str">
        <f>HYPERLINK("http://dx.doi.org/10.1007/s00216-020-02874-4","http://dx.doi.org/10.1007/s00216-020-02874-4")</f>
        <v>http://dx.doi.org/10.1007/s00216-020-02874-4</v>
      </c>
      <c r="BG804" t="s">
        <v>74</v>
      </c>
      <c r="BH804" t="s">
        <v>15048</v>
      </c>
      <c r="BI804">
        <v>12</v>
      </c>
      <c r="BJ804" t="s">
        <v>15962</v>
      </c>
      <c r="BK804" t="s">
        <v>100</v>
      </c>
      <c r="BL804" t="s">
        <v>2649</v>
      </c>
      <c r="BM804" t="s">
        <v>15963</v>
      </c>
      <c r="BN804">
        <v>32816089</v>
      </c>
      <c r="BO804" t="s">
        <v>1894</v>
      </c>
      <c r="BP804" t="s">
        <v>74</v>
      </c>
      <c r="BQ804" t="s">
        <v>74</v>
      </c>
      <c r="BR804" t="s">
        <v>104</v>
      </c>
      <c r="BS804" t="s">
        <v>15964</v>
      </c>
      <c r="BT804" t="str">
        <f>HYPERLINK("https%3A%2F%2Fwww.webofscience.com%2Fwos%2Fwoscc%2Ffull-record%2FWOS:000561256200002","View Full Record in Web of Science")</f>
        <v>View Full Record in Web of Science</v>
      </c>
    </row>
    <row r="805" spans="1:72" x14ac:dyDescent="0.15">
      <c r="A805" t="s">
        <v>72</v>
      </c>
      <c r="B805" t="s">
        <v>15965</v>
      </c>
      <c r="C805" t="s">
        <v>74</v>
      </c>
      <c r="D805" t="s">
        <v>74</v>
      </c>
      <c r="E805" t="s">
        <v>74</v>
      </c>
      <c r="F805" t="s">
        <v>15966</v>
      </c>
      <c r="G805" t="s">
        <v>74</v>
      </c>
      <c r="H805" t="s">
        <v>74</v>
      </c>
      <c r="I805" t="s">
        <v>15967</v>
      </c>
      <c r="J805" t="s">
        <v>1063</v>
      </c>
      <c r="K805" t="s">
        <v>74</v>
      </c>
      <c r="L805" t="s">
        <v>74</v>
      </c>
      <c r="M805" t="s">
        <v>78</v>
      </c>
      <c r="N805" t="s">
        <v>79</v>
      </c>
      <c r="O805" t="s">
        <v>74</v>
      </c>
      <c r="P805" t="s">
        <v>74</v>
      </c>
      <c r="Q805" t="s">
        <v>74</v>
      </c>
      <c r="R805" t="s">
        <v>74</v>
      </c>
      <c r="S805" t="s">
        <v>74</v>
      </c>
      <c r="T805" t="s">
        <v>15968</v>
      </c>
      <c r="U805" t="s">
        <v>15969</v>
      </c>
      <c r="V805" t="s">
        <v>15970</v>
      </c>
      <c r="W805" t="s">
        <v>15971</v>
      </c>
      <c r="X805" t="s">
        <v>15972</v>
      </c>
      <c r="Y805" t="s">
        <v>15973</v>
      </c>
      <c r="Z805" t="s">
        <v>15974</v>
      </c>
      <c r="AA805" t="s">
        <v>15975</v>
      </c>
      <c r="AB805" t="s">
        <v>15976</v>
      </c>
      <c r="AC805" t="s">
        <v>15977</v>
      </c>
      <c r="AD805" t="s">
        <v>15978</v>
      </c>
      <c r="AE805" t="s">
        <v>15979</v>
      </c>
      <c r="AF805" t="s">
        <v>74</v>
      </c>
      <c r="AG805">
        <v>79</v>
      </c>
      <c r="AH805">
        <v>7</v>
      </c>
      <c r="AI805">
        <v>7</v>
      </c>
      <c r="AJ805">
        <v>0</v>
      </c>
      <c r="AK805">
        <v>79</v>
      </c>
      <c r="AL805" t="s">
        <v>482</v>
      </c>
      <c r="AM805" t="s">
        <v>483</v>
      </c>
      <c r="AN805" t="s">
        <v>484</v>
      </c>
      <c r="AO805" t="s">
        <v>1075</v>
      </c>
      <c r="AP805" t="s">
        <v>1076</v>
      </c>
      <c r="AQ805" t="s">
        <v>74</v>
      </c>
      <c r="AR805" t="s">
        <v>1077</v>
      </c>
      <c r="AS805" t="s">
        <v>1078</v>
      </c>
      <c r="AT805" t="s">
        <v>6558</v>
      </c>
      <c r="AU805">
        <v>2020</v>
      </c>
      <c r="AV805">
        <v>43</v>
      </c>
      <c r="AW805">
        <v>10</v>
      </c>
      <c r="AX805" t="s">
        <v>74</v>
      </c>
      <c r="AY805" t="s">
        <v>74</v>
      </c>
      <c r="AZ805" t="s">
        <v>74</v>
      </c>
      <c r="BA805" t="s">
        <v>74</v>
      </c>
      <c r="BB805">
        <v>1605</v>
      </c>
      <c r="BC805">
        <v>1621</v>
      </c>
      <c r="BD805" t="s">
        <v>74</v>
      </c>
      <c r="BE805" t="s">
        <v>15980</v>
      </c>
      <c r="BF805" t="str">
        <f>HYPERLINK("http://dx.doi.org/10.1007/s00300-020-02731-1","http://dx.doi.org/10.1007/s00300-020-02731-1")</f>
        <v>http://dx.doi.org/10.1007/s00300-020-02731-1</v>
      </c>
      <c r="BG805" t="s">
        <v>74</v>
      </c>
      <c r="BH805" t="s">
        <v>15048</v>
      </c>
      <c r="BI805">
        <v>17</v>
      </c>
      <c r="BJ805" t="s">
        <v>1080</v>
      </c>
      <c r="BK805" t="s">
        <v>100</v>
      </c>
      <c r="BL805" t="s">
        <v>256</v>
      </c>
      <c r="BM805" t="s">
        <v>15607</v>
      </c>
      <c r="BN805" t="s">
        <v>74</v>
      </c>
      <c r="BO805" t="s">
        <v>1188</v>
      </c>
      <c r="BP805" t="s">
        <v>74</v>
      </c>
      <c r="BQ805" t="s">
        <v>74</v>
      </c>
      <c r="BR805" t="s">
        <v>104</v>
      </c>
      <c r="BS805" t="s">
        <v>15981</v>
      </c>
      <c r="BT805" t="str">
        <f>HYPERLINK("https%3A%2F%2Fwww.webofscience.com%2Fwos%2Fwoscc%2Ffull-record%2FWOS:000561251600001","View Full Record in Web of Science")</f>
        <v>View Full Record in Web of Science</v>
      </c>
    </row>
    <row r="806" spans="1:72" x14ac:dyDescent="0.15">
      <c r="A806" t="s">
        <v>72</v>
      </c>
      <c r="B806" t="s">
        <v>15982</v>
      </c>
      <c r="C806" t="s">
        <v>74</v>
      </c>
      <c r="D806" t="s">
        <v>74</v>
      </c>
      <c r="E806" t="s">
        <v>74</v>
      </c>
      <c r="F806" t="s">
        <v>15983</v>
      </c>
      <c r="G806" t="s">
        <v>74</v>
      </c>
      <c r="H806" t="s">
        <v>74</v>
      </c>
      <c r="I806" t="s">
        <v>15984</v>
      </c>
      <c r="J806" t="s">
        <v>15985</v>
      </c>
      <c r="K806" t="s">
        <v>74</v>
      </c>
      <c r="L806" t="s">
        <v>74</v>
      </c>
      <c r="M806" t="s">
        <v>78</v>
      </c>
      <c r="N806" t="s">
        <v>79</v>
      </c>
      <c r="O806" t="s">
        <v>74</v>
      </c>
      <c r="P806" t="s">
        <v>74</v>
      </c>
      <c r="Q806" t="s">
        <v>74</v>
      </c>
      <c r="R806" t="s">
        <v>74</v>
      </c>
      <c r="S806" t="s">
        <v>74</v>
      </c>
      <c r="T806" t="s">
        <v>15986</v>
      </c>
      <c r="U806" t="s">
        <v>15987</v>
      </c>
      <c r="V806" t="s">
        <v>15988</v>
      </c>
      <c r="W806" t="s">
        <v>15989</v>
      </c>
      <c r="X806" t="s">
        <v>15990</v>
      </c>
      <c r="Y806" t="s">
        <v>15991</v>
      </c>
      <c r="Z806" t="s">
        <v>15992</v>
      </c>
      <c r="AA806" t="s">
        <v>15993</v>
      </c>
      <c r="AB806" t="s">
        <v>15994</v>
      </c>
      <c r="AC806" t="s">
        <v>15995</v>
      </c>
      <c r="AD806" t="s">
        <v>15996</v>
      </c>
      <c r="AE806" t="s">
        <v>15997</v>
      </c>
      <c r="AF806" t="s">
        <v>74</v>
      </c>
      <c r="AG806">
        <v>73</v>
      </c>
      <c r="AH806">
        <v>3</v>
      </c>
      <c r="AI806">
        <v>3</v>
      </c>
      <c r="AJ806">
        <v>1</v>
      </c>
      <c r="AK806">
        <v>6</v>
      </c>
      <c r="AL806" t="s">
        <v>692</v>
      </c>
      <c r="AM806" t="s">
        <v>693</v>
      </c>
      <c r="AN806" t="s">
        <v>694</v>
      </c>
      <c r="AO806" t="s">
        <v>15998</v>
      </c>
      <c r="AP806" t="s">
        <v>15999</v>
      </c>
      <c r="AQ806" t="s">
        <v>74</v>
      </c>
      <c r="AR806" t="s">
        <v>16000</v>
      </c>
      <c r="AS806" t="s">
        <v>16001</v>
      </c>
      <c r="AT806" t="s">
        <v>16002</v>
      </c>
      <c r="AU806">
        <v>2020</v>
      </c>
      <c r="AV806">
        <v>35</v>
      </c>
      <c r="AW806">
        <v>3</v>
      </c>
      <c r="AX806" t="s">
        <v>74</v>
      </c>
      <c r="AY806" t="s">
        <v>74</v>
      </c>
      <c r="AZ806" t="s">
        <v>74</v>
      </c>
      <c r="BA806" t="s">
        <v>74</v>
      </c>
      <c r="BB806">
        <v>231</v>
      </c>
      <c r="BC806">
        <v>254</v>
      </c>
      <c r="BD806" t="s">
        <v>74</v>
      </c>
      <c r="BE806" t="s">
        <v>16003</v>
      </c>
      <c r="BF806" t="str">
        <f>HYPERLINK("http://dx.doi.org/10.1080/0269249X.2020.1794982","http://dx.doi.org/10.1080/0269249X.2020.1794982")</f>
        <v>http://dx.doi.org/10.1080/0269249X.2020.1794982</v>
      </c>
      <c r="BG806" t="s">
        <v>74</v>
      </c>
      <c r="BH806" t="s">
        <v>15048</v>
      </c>
      <c r="BI806">
        <v>24</v>
      </c>
      <c r="BJ806" t="s">
        <v>9597</v>
      </c>
      <c r="BK806" t="s">
        <v>100</v>
      </c>
      <c r="BL806" t="s">
        <v>9597</v>
      </c>
      <c r="BM806" t="s">
        <v>16004</v>
      </c>
      <c r="BN806" t="s">
        <v>74</v>
      </c>
      <c r="BO806" t="s">
        <v>74</v>
      </c>
      <c r="BP806" t="s">
        <v>74</v>
      </c>
      <c r="BQ806" t="s">
        <v>74</v>
      </c>
      <c r="BR806" t="s">
        <v>104</v>
      </c>
      <c r="BS806" t="s">
        <v>16005</v>
      </c>
      <c r="BT806" t="str">
        <f>HYPERLINK("https%3A%2F%2Fwww.webofscience.com%2Fwos%2Fwoscc%2Ffull-record%2FWOS:000560852800001","View Full Record in Web of Science")</f>
        <v>View Full Record in Web of Science</v>
      </c>
    </row>
    <row r="807" spans="1:72" x14ac:dyDescent="0.15">
      <c r="A807" t="s">
        <v>72</v>
      </c>
      <c r="B807" t="s">
        <v>16006</v>
      </c>
      <c r="C807" t="s">
        <v>74</v>
      </c>
      <c r="D807" t="s">
        <v>74</v>
      </c>
      <c r="E807" t="s">
        <v>74</v>
      </c>
      <c r="F807" t="s">
        <v>16007</v>
      </c>
      <c r="G807" t="s">
        <v>74</v>
      </c>
      <c r="H807" t="s">
        <v>74</v>
      </c>
      <c r="I807" t="s">
        <v>16008</v>
      </c>
      <c r="J807" t="s">
        <v>9871</v>
      </c>
      <c r="K807" t="s">
        <v>74</v>
      </c>
      <c r="L807" t="s">
        <v>74</v>
      </c>
      <c r="M807" t="s">
        <v>78</v>
      </c>
      <c r="N807" t="s">
        <v>79</v>
      </c>
      <c r="O807" t="s">
        <v>74</v>
      </c>
      <c r="P807" t="s">
        <v>74</v>
      </c>
      <c r="Q807" t="s">
        <v>74</v>
      </c>
      <c r="R807" t="s">
        <v>74</v>
      </c>
      <c r="S807" t="s">
        <v>74</v>
      </c>
      <c r="T807" t="s">
        <v>74</v>
      </c>
      <c r="U807" t="s">
        <v>16009</v>
      </c>
      <c r="V807" t="s">
        <v>16010</v>
      </c>
      <c r="W807" t="s">
        <v>16011</v>
      </c>
      <c r="X807" t="s">
        <v>16012</v>
      </c>
      <c r="Y807" t="s">
        <v>16013</v>
      </c>
      <c r="Z807" t="s">
        <v>16014</v>
      </c>
      <c r="AA807" t="s">
        <v>16015</v>
      </c>
      <c r="AB807" t="s">
        <v>16016</v>
      </c>
      <c r="AC807" t="s">
        <v>16017</v>
      </c>
      <c r="AD807" t="s">
        <v>16018</v>
      </c>
      <c r="AE807" t="s">
        <v>16019</v>
      </c>
      <c r="AF807" t="s">
        <v>74</v>
      </c>
      <c r="AG807">
        <v>152</v>
      </c>
      <c r="AH807">
        <v>34</v>
      </c>
      <c r="AI807">
        <v>34</v>
      </c>
      <c r="AJ807">
        <v>3</v>
      </c>
      <c r="AK807">
        <v>25</v>
      </c>
      <c r="AL807" t="s">
        <v>219</v>
      </c>
      <c r="AM807" t="s">
        <v>220</v>
      </c>
      <c r="AN807" t="s">
        <v>221</v>
      </c>
      <c r="AO807" t="s">
        <v>9880</v>
      </c>
      <c r="AP807" t="s">
        <v>9881</v>
      </c>
      <c r="AQ807" t="s">
        <v>74</v>
      </c>
      <c r="AR807" t="s">
        <v>9882</v>
      </c>
      <c r="AS807" t="s">
        <v>9883</v>
      </c>
      <c r="AT807" t="s">
        <v>11892</v>
      </c>
      <c r="AU807">
        <v>2020</v>
      </c>
      <c r="AV807">
        <v>55</v>
      </c>
      <c r="AW807">
        <v>9</v>
      </c>
      <c r="AX807" t="s">
        <v>74</v>
      </c>
      <c r="AY807" t="s">
        <v>74</v>
      </c>
      <c r="AZ807" t="s">
        <v>74</v>
      </c>
      <c r="BA807" t="s">
        <v>74</v>
      </c>
      <c r="BB807">
        <v>1979</v>
      </c>
      <c r="BC807">
        <v>2006</v>
      </c>
      <c r="BD807" t="s">
        <v>74</v>
      </c>
      <c r="BE807" t="s">
        <v>16020</v>
      </c>
      <c r="BF807" t="str">
        <f>HYPERLINK("http://dx.doi.org/10.1111/maps.13560","http://dx.doi.org/10.1111/maps.13560")</f>
        <v>http://dx.doi.org/10.1111/maps.13560</v>
      </c>
      <c r="BG807" t="s">
        <v>74</v>
      </c>
      <c r="BH807" t="s">
        <v>15048</v>
      </c>
      <c r="BI807">
        <v>28</v>
      </c>
      <c r="BJ807" t="s">
        <v>1361</v>
      </c>
      <c r="BK807" t="s">
        <v>100</v>
      </c>
      <c r="BL807" t="s">
        <v>1361</v>
      </c>
      <c r="BM807" t="s">
        <v>11984</v>
      </c>
      <c r="BN807" t="s">
        <v>74</v>
      </c>
      <c r="BO807" t="s">
        <v>701</v>
      </c>
      <c r="BP807" t="s">
        <v>74</v>
      </c>
      <c r="BQ807" t="s">
        <v>74</v>
      </c>
      <c r="BR807" t="s">
        <v>104</v>
      </c>
      <c r="BS807" t="s">
        <v>16021</v>
      </c>
      <c r="BT807" t="str">
        <f>HYPERLINK("https%3A%2F%2Fwww.webofscience.com%2Fwos%2Fwoscc%2Ffull-record%2FWOS:000560834500001","View Full Record in Web of Science")</f>
        <v>View Full Record in Web of Science</v>
      </c>
    </row>
    <row r="808" spans="1:72" x14ac:dyDescent="0.15">
      <c r="A808" t="s">
        <v>72</v>
      </c>
      <c r="B808" t="s">
        <v>16022</v>
      </c>
      <c r="C808" t="s">
        <v>74</v>
      </c>
      <c r="D808" t="s">
        <v>74</v>
      </c>
      <c r="E808" t="s">
        <v>74</v>
      </c>
      <c r="F808" t="s">
        <v>16023</v>
      </c>
      <c r="G808" t="s">
        <v>74</v>
      </c>
      <c r="H808" t="s">
        <v>74</v>
      </c>
      <c r="I808" t="s">
        <v>16024</v>
      </c>
      <c r="J808" t="s">
        <v>16025</v>
      </c>
      <c r="K808" t="s">
        <v>74</v>
      </c>
      <c r="L808" t="s">
        <v>74</v>
      </c>
      <c r="M808" t="s">
        <v>78</v>
      </c>
      <c r="N808" t="s">
        <v>79</v>
      </c>
      <c r="O808" t="s">
        <v>74</v>
      </c>
      <c r="P808" t="s">
        <v>74</v>
      </c>
      <c r="Q808" t="s">
        <v>74</v>
      </c>
      <c r="R808" t="s">
        <v>74</v>
      </c>
      <c r="S808" t="s">
        <v>74</v>
      </c>
      <c r="T808" t="s">
        <v>16026</v>
      </c>
      <c r="U808" t="s">
        <v>16027</v>
      </c>
      <c r="V808" t="s">
        <v>16028</v>
      </c>
      <c r="W808" t="s">
        <v>16029</v>
      </c>
      <c r="X808" t="s">
        <v>16030</v>
      </c>
      <c r="Y808" t="s">
        <v>16031</v>
      </c>
      <c r="Z808" t="s">
        <v>16032</v>
      </c>
      <c r="AA808" t="s">
        <v>16033</v>
      </c>
      <c r="AB808" t="s">
        <v>16034</v>
      </c>
      <c r="AC808" t="s">
        <v>16035</v>
      </c>
      <c r="AD808" t="s">
        <v>5420</v>
      </c>
      <c r="AE808" t="s">
        <v>16036</v>
      </c>
      <c r="AF808" t="s">
        <v>74</v>
      </c>
      <c r="AG808">
        <v>50</v>
      </c>
      <c r="AH808">
        <v>6</v>
      </c>
      <c r="AI808">
        <v>6</v>
      </c>
      <c r="AJ808">
        <v>8</v>
      </c>
      <c r="AK808">
        <v>79</v>
      </c>
      <c r="AL808" t="s">
        <v>16037</v>
      </c>
      <c r="AM808" t="s">
        <v>16038</v>
      </c>
      <c r="AN808" t="s">
        <v>16039</v>
      </c>
      <c r="AO808" t="s">
        <v>16040</v>
      </c>
      <c r="AP808" t="s">
        <v>16041</v>
      </c>
      <c r="AQ808" t="s">
        <v>74</v>
      </c>
      <c r="AR808" t="s">
        <v>16042</v>
      </c>
      <c r="AS808" t="s">
        <v>16043</v>
      </c>
      <c r="AT808" t="s">
        <v>894</v>
      </c>
      <c r="AU808">
        <v>2020</v>
      </c>
      <c r="AV808">
        <v>88</v>
      </c>
      <c r="AW808" t="s">
        <v>16044</v>
      </c>
      <c r="AX808" t="s">
        <v>74</v>
      </c>
      <c r="AY808" t="s">
        <v>74</v>
      </c>
      <c r="AZ808" t="s">
        <v>74</v>
      </c>
      <c r="BA808" t="s">
        <v>74</v>
      </c>
      <c r="BB808">
        <v>291</v>
      </c>
      <c r="BC808">
        <v>304</v>
      </c>
      <c r="BD808" t="s">
        <v>74</v>
      </c>
      <c r="BE808" t="s">
        <v>16045</v>
      </c>
      <c r="BF808" t="str">
        <f>HYPERLINK("http://dx.doi.org/10.1007/s41064-020-00118-9","http://dx.doi.org/10.1007/s41064-020-00118-9")</f>
        <v>http://dx.doi.org/10.1007/s41064-020-00118-9</v>
      </c>
      <c r="BG808" t="s">
        <v>74</v>
      </c>
      <c r="BH808" t="s">
        <v>15048</v>
      </c>
      <c r="BI808">
        <v>14</v>
      </c>
      <c r="BJ808" t="s">
        <v>9459</v>
      </c>
      <c r="BK808" t="s">
        <v>100</v>
      </c>
      <c r="BL808" t="s">
        <v>9459</v>
      </c>
      <c r="BM808" t="s">
        <v>16046</v>
      </c>
      <c r="BN808" t="s">
        <v>74</v>
      </c>
      <c r="BO808" t="s">
        <v>74</v>
      </c>
      <c r="BP808" t="s">
        <v>74</v>
      </c>
      <c r="BQ808" t="s">
        <v>74</v>
      </c>
      <c r="BR808" t="s">
        <v>104</v>
      </c>
      <c r="BS808" t="s">
        <v>16047</v>
      </c>
      <c r="BT808" t="str">
        <f>HYPERLINK("https%3A%2F%2Fwww.webofscience.com%2Fwos%2Fwoscc%2Ffull-record%2FWOS:000561260600001","View Full Record in Web of Science")</f>
        <v>View Full Record in Web of Science</v>
      </c>
    </row>
    <row r="809" spans="1:72" x14ac:dyDescent="0.15">
      <c r="A809" t="s">
        <v>72</v>
      </c>
      <c r="B809" t="s">
        <v>16048</v>
      </c>
      <c r="C809" t="s">
        <v>74</v>
      </c>
      <c r="D809" t="s">
        <v>74</v>
      </c>
      <c r="E809" t="s">
        <v>74</v>
      </c>
      <c r="F809" t="s">
        <v>16049</v>
      </c>
      <c r="G809" t="s">
        <v>74</v>
      </c>
      <c r="H809" t="s">
        <v>74</v>
      </c>
      <c r="I809" t="s">
        <v>16050</v>
      </c>
      <c r="J809" t="s">
        <v>9765</v>
      </c>
      <c r="K809" t="s">
        <v>74</v>
      </c>
      <c r="L809" t="s">
        <v>74</v>
      </c>
      <c r="M809" t="s">
        <v>78</v>
      </c>
      <c r="N809" t="s">
        <v>79</v>
      </c>
      <c r="O809" t="s">
        <v>74</v>
      </c>
      <c r="P809" t="s">
        <v>74</v>
      </c>
      <c r="Q809" t="s">
        <v>74</v>
      </c>
      <c r="R809" t="s">
        <v>74</v>
      </c>
      <c r="S809" t="s">
        <v>74</v>
      </c>
      <c r="T809" t="s">
        <v>74</v>
      </c>
      <c r="U809" t="s">
        <v>16051</v>
      </c>
      <c r="V809" t="s">
        <v>16052</v>
      </c>
      <c r="W809" t="s">
        <v>16053</v>
      </c>
      <c r="X809" t="s">
        <v>16054</v>
      </c>
      <c r="Y809" t="s">
        <v>16055</v>
      </c>
      <c r="Z809" t="s">
        <v>16056</v>
      </c>
      <c r="AA809" t="s">
        <v>16057</v>
      </c>
      <c r="AB809" t="s">
        <v>16058</v>
      </c>
      <c r="AC809" t="s">
        <v>16059</v>
      </c>
      <c r="AD809" t="s">
        <v>16060</v>
      </c>
      <c r="AE809" t="s">
        <v>16061</v>
      </c>
      <c r="AF809" t="s">
        <v>74</v>
      </c>
      <c r="AG809">
        <v>97</v>
      </c>
      <c r="AH809">
        <v>38</v>
      </c>
      <c r="AI809">
        <v>42</v>
      </c>
      <c r="AJ809">
        <v>1</v>
      </c>
      <c r="AK809">
        <v>27</v>
      </c>
      <c r="AL809" t="s">
        <v>91</v>
      </c>
      <c r="AM809" t="s">
        <v>92</v>
      </c>
      <c r="AN809" t="s">
        <v>93</v>
      </c>
      <c r="AO809" t="s">
        <v>9777</v>
      </c>
      <c r="AP809" t="s">
        <v>9778</v>
      </c>
      <c r="AQ809" t="s">
        <v>74</v>
      </c>
      <c r="AR809" t="s">
        <v>9779</v>
      </c>
      <c r="AS809" t="s">
        <v>9780</v>
      </c>
      <c r="AT809" t="s">
        <v>16062</v>
      </c>
      <c r="AU809">
        <v>2020</v>
      </c>
      <c r="AV809">
        <v>16</v>
      </c>
      <c r="AW809">
        <v>4</v>
      </c>
      <c r="AX809" t="s">
        <v>74</v>
      </c>
      <c r="AY809" t="s">
        <v>74</v>
      </c>
      <c r="AZ809" t="s">
        <v>74</v>
      </c>
      <c r="BA809" t="s">
        <v>74</v>
      </c>
      <c r="BB809">
        <v>1565</v>
      </c>
      <c r="BC809">
        <v>1580</v>
      </c>
      <c r="BD809" t="s">
        <v>74</v>
      </c>
      <c r="BE809" t="s">
        <v>16063</v>
      </c>
      <c r="BF809" t="str">
        <f>HYPERLINK("http://dx.doi.org/10.5194/cp-16-1565-2020","http://dx.doi.org/10.5194/cp-16-1565-2020")</f>
        <v>http://dx.doi.org/10.5194/cp-16-1565-2020</v>
      </c>
      <c r="BG809" t="s">
        <v>74</v>
      </c>
      <c r="BH809" t="s">
        <v>74</v>
      </c>
      <c r="BI809">
        <v>16</v>
      </c>
      <c r="BJ809" t="s">
        <v>3614</v>
      </c>
      <c r="BK809" t="s">
        <v>100</v>
      </c>
      <c r="BL809" t="s">
        <v>3615</v>
      </c>
      <c r="BM809" t="s">
        <v>16064</v>
      </c>
      <c r="BN809" t="s">
        <v>74</v>
      </c>
      <c r="BO809" t="s">
        <v>103</v>
      </c>
      <c r="BP809" t="s">
        <v>74</v>
      </c>
      <c r="BQ809" t="s">
        <v>74</v>
      </c>
      <c r="BR809" t="s">
        <v>104</v>
      </c>
      <c r="BS809" t="s">
        <v>16065</v>
      </c>
      <c r="BT809" t="str">
        <f>HYPERLINK("https%3A%2F%2Fwww.webofscience.com%2Fwos%2Fwoscc%2Ffull-record%2FWOS:000563035200002","View Full Record in Web of Science")</f>
        <v>View Full Record in Web of Science</v>
      </c>
    </row>
    <row r="810" spans="1:72" x14ac:dyDescent="0.15">
      <c r="A810" t="s">
        <v>72</v>
      </c>
      <c r="B810" t="s">
        <v>16066</v>
      </c>
      <c r="C810" t="s">
        <v>74</v>
      </c>
      <c r="D810" t="s">
        <v>74</v>
      </c>
      <c r="E810" t="s">
        <v>74</v>
      </c>
      <c r="F810" t="s">
        <v>16067</v>
      </c>
      <c r="G810" t="s">
        <v>74</v>
      </c>
      <c r="H810" t="s">
        <v>74</v>
      </c>
      <c r="I810" t="s">
        <v>16068</v>
      </c>
      <c r="J810" t="s">
        <v>16069</v>
      </c>
      <c r="K810" t="s">
        <v>74</v>
      </c>
      <c r="L810" t="s">
        <v>74</v>
      </c>
      <c r="M810" t="s">
        <v>78</v>
      </c>
      <c r="N810" t="s">
        <v>79</v>
      </c>
      <c r="O810" t="s">
        <v>74</v>
      </c>
      <c r="P810" t="s">
        <v>74</v>
      </c>
      <c r="Q810" t="s">
        <v>74</v>
      </c>
      <c r="R810" t="s">
        <v>74</v>
      </c>
      <c r="S810" t="s">
        <v>74</v>
      </c>
      <c r="T810" t="s">
        <v>16070</v>
      </c>
      <c r="U810" t="s">
        <v>16071</v>
      </c>
      <c r="V810" t="s">
        <v>16072</v>
      </c>
      <c r="W810" t="s">
        <v>16073</v>
      </c>
      <c r="X810" t="s">
        <v>16074</v>
      </c>
      <c r="Y810" t="s">
        <v>16075</v>
      </c>
      <c r="Z810" t="s">
        <v>16076</v>
      </c>
      <c r="AA810" t="s">
        <v>16077</v>
      </c>
      <c r="AB810" t="s">
        <v>16078</v>
      </c>
      <c r="AC810" t="s">
        <v>16079</v>
      </c>
      <c r="AD810" t="s">
        <v>16080</v>
      </c>
      <c r="AE810" t="s">
        <v>16081</v>
      </c>
      <c r="AF810" t="s">
        <v>74</v>
      </c>
      <c r="AG810">
        <v>598</v>
      </c>
      <c r="AH810">
        <v>21</v>
      </c>
      <c r="AI810">
        <v>21</v>
      </c>
      <c r="AJ810">
        <v>4</v>
      </c>
      <c r="AK810">
        <v>27</v>
      </c>
      <c r="AL810" t="s">
        <v>219</v>
      </c>
      <c r="AM810" t="s">
        <v>220</v>
      </c>
      <c r="AN810" t="s">
        <v>221</v>
      </c>
      <c r="AO810" t="s">
        <v>16082</v>
      </c>
      <c r="AP810" t="s">
        <v>16083</v>
      </c>
      <c r="AQ810" t="s">
        <v>74</v>
      </c>
      <c r="AR810" t="s">
        <v>16084</v>
      </c>
      <c r="AS810" t="s">
        <v>16085</v>
      </c>
      <c r="AT810" t="s">
        <v>720</v>
      </c>
      <c r="AU810">
        <v>2020</v>
      </c>
      <c r="AV810">
        <v>95</v>
      </c>
      <c r="AW810">
        <v>6</v>
      </c>
      <c r="AX810" t="s">
        <v>74</v>
      </c>
      <c r="AY810" t="s">
        <v>74</v>
      </c>
      <c r="AZ810" t="s">
        <v>74</v>
      </c>
      <c r="BA810" t="s">
        <v>74</v>
      </c>
      <c r="BB810">
        <v>1720</v>
      </c>
      <c r="BC810">
        <v>1758</v>
      </c>
      <c r="BD810" t="s">
        <v>74</v>
      </c>
      <c r="BE810" t="s">
        <v>16086</v>
      </c>
      <c r="BF810" t="str">
        <f>HYPERLINK("http://dx.doi.org/10.1111/brv.12637","http://dx.doi.org/10.1111/brv.12637")</f>
        <v>http://dx.doi.org/10.1111/brv.12637</v>
      </c>
      <c r="BG810" t="s">
        <v>74</v>
      </c>
      <c r="BH810" t="s">
        <v>15048</v>
      </c>
      <c r="BI810">
        <v>39</v>
      </c>
      <c r="BJ810" t="s">
        <v>1454</v>
      </c>
      <c r="BK810" t="s">
        <v>100</v>
      </c>
      <c r="BL810" t="s">
        <v>1455</v>
      </c>
      <c r="BM810" t="s">
        <v>16087</v>
      </c>
      <c r="BN810">
        <v>32812691</v>
      </c>
      <c r="BO810" t="s">
        <v>74</v>
      </c>
      <c r="BP810" t="s">
        <v>74</v>
      </c>
      <c r="BQ810" t="s">
        <v>74</v>
      </c>
      <c r="BR810" t="s">
        <v>104</v>
      </c>
      <c r="BS810" t="s">
        <v>16088</v>
      </c>
      <c r="BT810" t="str">
        <f>HYPERLINK("https%3A%2F%2Fwww.webofscience.com%2Fwos%2Fwoscc%2Ffull-record%2FWOS:000561836100001","View Full Record in Web of Science")</f>
        <v>View Full Record in Web of Science</v>
      </c>
    </row>
    <row r="811" spans="1:72" x14ac:dyDescent="0.15">
      <c r="A811" t="s">
        <v>72</v>
      </c>
      <c r="B811" t="s">
        <v>16089</v>
      </c>
      <c r="C811" t="s">
        <v>74</v>
      </c>
      <c r="D811" t="s">
        <v>74</v>
      </c>
      <c r="E811" t="s">
        <v>74</v>
      </c>
      <c r="F811" t="s">
        <v>16090</v>
      </c>
      <c r="G811" t="s">
        <v>74</v>
      </c>
      <c r="H811" t="s">
        <v>74</v>
      </c>
      <c r="I811" t="s">
        <v>16091</v>
      </c>
      <c r="J811" t="s">
        <v>3093</v>
      </c>
      <c r="K811" t="s">
        <v>74</v>
      </c>
      <c r="L811" t="s">
        <v>74</v>
      </c>
      <c r="M811" t="s">
        <v>78</v>
      </c>
      <c r="N811" t="s">
        <v>79</v>
      </c>
      <c r="O811" t="s">
        <v>74</v>
      </c>
      <c r="P811" t="s">
        <v>74</v>
      </c>
      <c r="Q811" t="s">
        <v>74</v>
      </c>
      <c r="R811" t="s">
        <v>74</v>
      </c>
      <c r="S811" t="s">
        <v>74</v>
      </c>
      <c r="T811" t="s">
        <v>16092</v>
      </c>
      <c r="U811" t="s">
        <v>16093</v>
      </c>
      <c r="V811" t="s">
        <v>16094</v>
      </c>
      <c r="W811" t="s">
        <v>16095</v>
      </c>
      <c r="X811" t="s">
        <v>16096</v>
      </c>
      <c r="Y811" t="s">
        <v>16097</v>
      </c>
      <c r="Z811" t="s">
        <v>16098</v>
      </c>
      <c r="AA811" t="s">
        <v>16099</v>
      </c>
      <c r="AB811" t="s">
        <v>74</v>
      </c>
      <c r="AC811" t="s">
        <v>16100</v>
      </c>
      <c r="AD811" t="s">
        <v>16101</v>
      </c>
      <c r="AE811" t="s">
        <v>16102</v>
      </c>
      <c r="AF811" t="s">
        <v>74</v>
      </c>
      <c r="AG811">
        <v>35</v>
      </c>
      <c r="AH811">
        <v>1</v>
      </c>
      <c r="AI811">
        <v>2</v>
      </c>
      <c r="AJ811">
        <v>7</v>
      </c>
      <c r="AK811">
        <v>35</v>
      </c>
      <c r="AL811" t="s">
        <v>219</v>
      </c>
      <c r="AM811" t="s">
        <v>220</v>
      </c>
      <c r="AN811" t="s">
        <v>221</v>
      </c>
      <c r="AO811" t="s">
        <v>3102</v>
      </c>
      <c r="AP811" t="s">
        <v>3103</v>
      </c>
      <c r="AQ811" t="s">
        <v>74</v>
      </c>
      <c r="AR811" t="s">
        <v>3104</v>
      </c>
      <c r="AS811" t="s">
        <v>3105</v>
      </c>
      <c r="AT811" t="s">
        <v>2623</v>
      </c>
      <c r="AU811">
        <v>2021</v>
      </c>
      <c r="AV811">
        <v>56</v>
      </c>
      <c r="AW811">
        <v>2</v>
      </c>
      <c r="AX811" t="s">
        <v>74</v>
      </c>
      <c r="AY811" t="s">
        <v>74</v>
      </c>
      <c r="AZ811" t="s">
        <v>74</v>
      </c>
      <c r="BA811" t="s">
        <v>74</v>
      </c>
      <c r="BB811">
        <v>682</v>
      </c>
      <c r="BC811">
        <v>691</v>
      </c>
      <c r="BD811" t="s">
        <v>74</v>
      </c>
      <c r="BE811" t="s">
        <v>16103</v>
      </c>
      <c r="BF811" t="str">
        <f>HYPERLINK("http://dx.doi.org/10.1111/ijfs.14702","http://dx.doi.org/10.1111/ijfs.14702")</f>
        <v>http://dx.doi.org/10.1111/ijfs.14702</v>
      </c>
      <c r="BG811" t="s">
        <v>74</v>
      </c>
      <c r="BH811" t="s">
        <v>15048</v>
      </c>
      <c r="BI811">
        <v>10</v>
      </c>
      <c r="BJ811" t="s">
        <v>3107</v>
      </c>
      <c r="BK811" t="s">
        <v>100</v>
      </c>
      <c r="BL811" t="s">
        <v>3107</v>
      </c>
      <c r="BM811" t="s">
        <v>16104</v>
      </c>
      <c r="BN811" t="s">
        <v>74</v>
      </c>
      <c r="BO811" t="s">
        <v>74</v>
      </c>
      <c r="BP811" t="s">
        <v>74</v>
      </c>
      <c r="BQ811" t="s">
        <v>74</v>
      </c>
      <c r="BR811" t="s">
        <v>104</v>
      </c>
      <c r="BS811" t="s">
        <v>16105</v>
      </c>
      <c r="BT811" t="str">
        <f>HYPERLINK("https%3A%2F%2Fwww.webofscience.com%2Fwos%2Fwoscc%2Ffull-record%2FWOS:000563908600001","View Full Record in Web of Science")</f>
        <v>View Full Record in Web of Science</v>
      </c>
    </row>
    <row r="812" spans="1:72" x14ac:dyDescent="0.15">
      <c r="A812" t="s">
        <v>72</v>
      </c>
      <c r="B812" t="s">
        <v>16106</v>
      </c>
      <c r="C812" t="s">
        <v>74</v>
      </c>
      <c r="D812" t="s">
        <v>74</v>
      </c>
      <c r="E812" t="s">
        <v>74</v>
      </c>
      <c r="F812" t="s">
        <v>16107</v>
      </c>
      <c r="G812" t="s">
        <v>74</v>
      </c>
      <c r="H812" t="s">
        <v>74</v>
      </c>
      <c r="I812" t="s">
        <v>16108</v>
      </c>
      <c r="J812" t="s">
        <v>5603</v>
      </c>
      <c r="K812" t="s">
        <v>74</v>
      </c>
      <c r="L812" t="s">
        <v>74</v>
      </c>
      <c r="M812" t="s">
        <v>78</v>
      </c>
      <c r="N812" t="s">
        <v>79</v>
      </c>
      <c r="O812" t="s">
        <v>74</v>
      </c>
      <c r="P812" t="s">
        <v>74</v>
      </c>
      <c r="Q812" t="s">
        <v>74</v>
      </c>
      <c r="R812" t="s">
        <v>74</v>
      </c>
      <c r="S812" t="s">
        <v>74</v>
      </c>
      <c r="T812" t="s">
        <v>74</v>
      </c>
      <c r="U812" t="s">
        <v>16109</v>
      </c>
      <c r="V812" t="s">
        <v>16110</v>
      </c>
      <c r="W812" t="s">
        <v>16111</v>
      </c>
      <c r="X812" t="s">
        <v>16112</v>
      </c>
      <c r="Y812" t="s">
        <v>16113</v>
      </c>
      <c r="Z812" t="s">
        <v>16114</v>
      </c>
      <c r="AA812" t="s">
        <v>16115</v>
      </c>
      <c r="AB812" t="s">
        <v>16116</v>
      </c>
      <c r="AC812" t="s">
        <v>16117</v>
      </c>
      <c r="AD812" t="s">
        <v>16118</v>
      </c>
      <c r="AE812" t="s">
        <v>16119</v>
      </c>
      <c r="AF812" t="s">
        <v>74</v>
      </c>
      <c r="AG812">
        <v>110</v>
      </c>
      <c r="AH812">
        <v>2</v>
      </c>
      <c r="AI812">
        <v>2</v>
      </c>
      <c r="AJ812">
        <v>5</v>
      </c>
      <c r="AK812">
        <v>35</v>
      </c>
      <c r="AL812" t="s">
        <v>91</v>
      </c>
      <c r="AM812" t="s">
        <v>92</v>
      </c>
      <c r="AN812" t="s">
        <v>93</v>
      </c>
      <c r="AO812" t="s">
        <v>5615</v>
      </c>
      <c r="AP812" t="s">
        <v>5616</v>
      </c>
      <c r="AQ812" t="s">
        <v>74</v>
      </c>
      <c r="AR812" t="s">
        <v>5603</v>
      </c>
      <c r="AS812" t="s">
        <v>5617</v>
      </c>
      <c r="AT812" t="s">
        <v>16120</v>
      </c>
      <c r="AU812">
        <v>2020</v>
      </c>
      <c r="AV812">
        <v>17</v>
      </c>
      <c r="AW812">
        <v>16</v>
      </c>
      <c r="AX812" t="s">
        <v>74</v>
      </c>
      <c r="AY812" t="s">
        <v>74</v>
      </c>
      <c r="AZ812" t="s">
        <v>74</v>
      </c>
      <c r="BA812" t="s">
        <v>74</v>
      </c>
      <c r="BB812">
        <v>4153</v>
      </c>
      <c r="BC812">
        <v>4171</v>
      </c>
      <c r="BD812" t="s">
        <v>74</v>
      </c>
      <c r="BE812" t="s">
        <v>16121</v>
      </c>
      <c r="BF812" t="str">
        <f>HYPERLINK("http://dx.doi.org/10.5194/bg-17-4153-2020","http://dx.doi.org/10.5194/bg-17-4153-2020")</f>
        <v>http://dx.doi.org/10.5194/bg-17-4153-2020</v>
      </c>
      <c r="BG812" t="s">
        <v>74</v>
      </c>
      <c r="BH812" t="s">
        <v>74</v>
      </c>
      <c r="BI812">
        <v>19</v>
      </c>
      <c r="BJ812" t="s">
        <v>5619</v>
      </c>
      <c r="BK812" t="s">
        <v>100</v>
      </c>
      <c r="BL812" t="s">
        <v>5620</v>
      </c>
      <c r="BM812" t="s">
        <v>16122</v>
      </c>
      <c r="BN812" t="s">
        <v>74</v>
      </c>
      <c r="BO812" t="s">
        <v>9575</v>
      </c>
      <c r="BP812" t="s">
        <v>74</v>
      </c>
      <c r="BQ812" t="s">
        <v>74</v>
      </c>
      <c r="BR812" t="s">
        <v>104</v>
      </c>
      <c r="BS812" t="s">
        <v>16123</v>
      </c>
      <c r="BT812" t="str">
        <f>HYPERLINK("https%3A%2F%2Fwww.webofscience.com%2Fwos%2Fwoscc%2Ffull-record%2FWOS:000562977000001","View Full Record in Web of Science")</f>
        <v>View Full Record in Web of Science</v>
      </c>
    </row>
    <row r="813" spans="1:72" x14ac:dyDescent="0.15">
      <c r="A813" t="s">
        <v>72</v>
      </c>
      <c r="B813" t="s">
        <v>16124</v>
      </c>
      <c r="C813" t="s">
        <v>74</v>
      </c>
      <c r="D813" t="s">
        <v>74</v>
      </c>
      <c r="E813" t="s">
        <v>74</v>
      </c>
      <c r="F813" t="s">
        <v>16125</v>
      </c>
      <c r="G813" t="s">
        <v>74</v>
      </c>
      <c r="H813" t="s">
        <v>74</v>
      </c>
      <c r="I813" t="s">
        <v>16126</v>
      </c>
      <c r="J813" t="s">
        <v>16127</v>
      </c>
      <c r="K813" t="s">
        <v>74</v>
      </c>
      <c r="L813" t="s">
        <v>74</v>
      </c>
      <c r="M813" t="s">
        <v>78</v>
      </c>
      <c r="N813" t="s">
        <v>79</v>
      </c>
      <c r="O813" t="s">
        <v>74</v>
      </c>
      <c r="P813" t="s">
        <v>74</v>
      </c>
      <c r="Q813" t="s">
        <v>74</v>
      </c>
      <c r="R813" t="s">
        <v>74</v>
      </c>
      <c r="S813" t="s">
        <v>74</v>
      </c>
      <c r="T813" t="s">
        <v>16128</v>
      </c>
      <c r="U813" t="s">
        <v>16129</v>
      </c>
      <c r="V813" t="s">
        <v>16130</v>
      </c>
      <c r="W813" t="s">
        <v>16131</v>
      </c>
      <c r="X813" t="s">
        <v>16132</v>
      </c>
      <c r="Y813" t="s">
        <v>16133</v>
      </c>
      <c r="Z813" t="s">
        <v>16134</v>
      </c>
      <c r="AA813" t="s">
        <v>10084</v>
      </c>
      <c r="AB813" t="s">
        <v>16135</v>
      </c>
      <c r="AC813" t="s">
        <v>10086</v>
      </c>
      <c r="AD813" t="s">
        <v>10086</v>
      </c>
      <c r="AE813" t="s">
        <v>16136</v>
      </c>
      <c r="AF813" t="s">
        <v>74</v>
      </c>
      <c r="AG813">
        <v>45</v>
      </c>
      <c r="AH813">
        <v>8</v>
      </c>
      <c r="AI813">
        <v>10</v>
      </c>
      <c r="AJ813">
        <v>0</v>
      </c>
      <c r="AK813">
        <v>4</v>
      </c>
      <c r="AL813" t="s">
        <v>866</v>
      </c>
      <c r="AM813" t="s">
        <v>867</v>
      </c>
      <c r="AN813" t="s">
        <v>868</v>
      </c>
      <c r="AO813" t="s">
        <v>16137</v>
      </c>
      <c r="AP813" t="s">
        <v>74</v>
      </c>
      <c r="AQ813" t="s">
        <v>74</v>
      </c>
      <c r="AR813" t="s">
        <v>16138</v>
      </c>
      <c r="AS813" t="s">
        <v>16139</v>
      </c>
      <c r="AT813" t="s">
        <v>16120</v>
      </c>
      <c r="AU813">
        <v>2020</v>
      </c>
      <c r="AV813">
        <v>7</v>
      </c>
      <c r="AW813" t="s">
        <v>74</v>
      </c>
      <c r="AX813" t="s">
        <v>74</v>
      </c>
      <c r="AY813" t="s">
        <v>74</v>
      </c>
      <c r="AZ813" t="s">
        <v>74</v>
      </c>
      <c r="BA813" t="s">
        <v>74</v>
      </c>
      <c r="BB813" t="s">
        <v>74</v>
      </c>
      <c r="BC813" t="s">
        <v>74</v>
      </c>
      <c r="BD813">
        <v>133</v>
      </c>
      <c r="BE813" t="s">
        <v>16140</v>
      </c>
      <c r="BF813" t="str">
        <f>HYPERLINK("http://dx.doi.org/10.3389/fnut.2020.00133","http://dx.doi.org/10.3389/fnut.2020.00133")</f>
        <v>http://dx.doi.org/10.3389/fnut.2020.00133</v>
      </c>
      <c r="BG813" t="s">
        <v>74</v>
      </c>
      <c r="BH813" t="s">
        <v>74</v>
      </c>
      <c r="BI813">
        <v>8</v>
      </c>
      <c r="BJ813" t="s">
        <v>2167</v>
      </c>
      <c r="BK813" t="s">
        <v>100</v>
      </c>
      <c r="BL813" t="s">
        <v>2167</v>
      </c>
      <c r="BM813" t="s">
        <v>16141</v>
      </c>
      <c r="BN813">
        <v>33015116</v>
      </c>
      <c r="BO813" t="s">
        <v>332</v>
      </c>
      <c r="BP813" t="s">
        <v>74</v>
      </c>
      <c r="BQ813" t="s">
        <v>74</v>
      </c>
      <c r="BR813" t="s">
        <v>104</v>
      </c>
      <c r="BS813" t="s">
        <v>16142</v>
      </c>
      <c r="BT813" t="str">
        <f>HYPERLINK("https%3A%2F%2Fwww.webofscience.com%2Fwos%2Fwoscc%2Ffull-record%2FWOS:000566253400001","View Full Record in Web of Science")</f>
        <v>View Full Record in Web of Science</v>
      </c>
    </row>
    <row r="814" spans="1:72" x14ac:dyDescent="0.15">
      <c r="A814" t="s">
        <v>72</v>
      </c>
      <c r="B814" t="s">
        <v>16143</v>
      </c>
      <c r="C814" t="s">
        <v>74</v>
      </c>
      <c r="D814" t="s">
        <v>74</v>
      </c>
      <c r="E814" t="s">
        <v>74</v>
      </c>
      <c r="F814" t="s">
        <v>16144</v>
      </c>
      <c r="G814" t="s">
        <v>74</v>
      </c>
      <c r="H814" t="s">
        <v>74</v>
      </c>
      <c r="I814" t="s">
        <v>16145</v>
      </c>
      <c r="J814" t="s">
        <v>4803</v>
      </c>
      <c r="K814" t="s">
        <v>74</v>
      </c>
      <c r="L814" t="s">
        <v>74</v>
      </c>
      <c r="M814" t="s">
        <v>78</v>
      </c>
      <c r="N814" t="s">
        <v>79</v>
      </c>
      <c r="O814" t="s">
        <v>74</v>
      </c>
      <c r="P814" t="s">
        <v>74</v>
      </c>
      <c r="Q814" t="s">
        <v>74</v>
      </c>
      <c r="R814" t="s">
        <v>74</v>
      </c>
      <c r="S814" t="s">
        <v>74</v>
      </c>
      <c r="T814" t="s">
        <v>16146</v>
      </c>
      <c r="U814" t="s">
        <v>16147</v>
      </c>
      <c r="V814" t="s">
        <v>16148</v>
      </c>
      <c r="W814" t="s">
        <v>16149</v>
      </c>
      <c r="X814" t="s">
        <v>16150</v>
      </c>
      <c r="Y814" t="s">
        <v>16151</v>
      </c>
      <c r="Z814" t="s">
        <v>16152</v>
      </c>
      <c r="AA814" t="s">
        <v>16153</v>
      </c>
      <c r="AB814" t="s">
        <v>16154</v>
      </c>
      <c r="AC814" t="s">
        <v>16155</v>
      </c>
      <c r="AD814" t="s">
        <v>16156</v>
      </c>
      <c r="AE814" t="s">
        <v>16157</v>
      </c>
      <c r="AF814" t="s">
        <v>74</v>
      </c>
      <c r="AG814">
        <v>58</v>
      </c>
      <c r="AH814">
        <v>34</v>
      </c>
      <c r="AI814">
        <v>37</v>
      </c>
      <c r="AJ814">
        <v>13</v>
      </c>
      <c r="AK814">
        <v>47</v>
      </c>
      <c r="AL814" t="s">
        <v>219</v>
      </c>
      <c r="AM814" t="s">
        <v>220</v>
      </c>
      <c r="AN814" t="s">
        <v>221</v>
      </c>
      <c r="AO814" t="s">
        <v>4816</v>
      </c>
      <c r="AP814" t="s">
        <v>4817</v>
      </c>
      <c r="AQ814" t="s">
        <v>74</v>
      </c>
      <c r="AR814" t="s">
        <v>4818</v>
      </c>
      <c r="AS814" t="s">
        <v>4819</v>
      </c>
      <c r="AT814" t="s">
        <v>1212</v>
      </c>
      <c r="AU814">
        <v>2020</v>
      </c>
      <c r="AV814">
        <v>29</v>
      </c>
      <c r="AW814">
        <v>11</v>
      </c>
      <c r="AX814" t="s">
        <v>74</v>
      </c>
      <c r="AY814" t="s">
        <v>74</v>
      </c>
      <c r="AZ814" t="s">
        <v>74</v>
      </c>
      <c r="BA814" t="s">
        <v>74</v>
      </c>
      <c r="BB814">
        <v>2014</v>
      </c>
      <c r="BC814">
        <v>2024</v>
      </c>
      <c r="BD814" t="s">
        <v>74</v>
      </c>
      <c r="BE814" t="s">
        <v>16158</v>
      </c>
      <c r="BF814" t="str">
        <f>HYPERLINK("http://dx.doi.org/10.1111/geb.13172","http://dx.doi.org/10.1111/geb.13172")</f>
        <v>http://dx.doi.org/10.1111/geb.13172</v>
      </c>
      <c r="BG814" t="s">
        <v>74</v>
      </c>
      <c r="BH814" t="s">
        <v>15048</v>
      </c>
      <c r="BI814">
        <v>11</v>
      </c>
      <c r="BJ814" t="s">
        <v>4821</v>
      </c>
      <c r="BK814" t="s">
        <v>255</v>
      </c>
      <c r="BL814" t="s">
        <v>4822</v>
      </c>
      <c r="BM814" t="s">
        <v>16159</v>
      </c>
      <c r="BN814" t="s">
        <v>74</v>
      </c>
      <c r="BO814" t="s">
        <v>564</v>
      </c>
      <c r="BP814" t="s">
        <v>74</v>
      </c>
      <c r="BQ814" t="s">
        <v>74</v>
      </c>
      <c r="BR814" t="s">
        <v>104</v>
      </c>
      <c r="BS814" t="s">
        <v>16160</v>
      </c>
      <c r="BT814" t="str">
        <f>HYPERLINK("https%3A%2F%2Fwww.webofscience.com%2Fwos%2Fwoscc%2Ffull-record%2FWOS:000560344800001","View Full Record in Web of Science")</f>
        <v>View Full Record in Web of Science</v>
      </c>
    </row>
    <row r="815" spans="1:72" x14ac:dyDescent="0.15">
      <c r="A815" t="s">
        <v>72</v>
      </c>
      <c r="B815" t="s">
        <v>16161</v>
      </c>
      <c r="C815" t="s">
        <v>74</v>
      </c>
      <c r="D815" t="s">
        <v>74</v>
      </c>
      <c r="E815" t="s">
        <v>74</v>
      </c>
      <c r="F815" t="s">
        <v>16162</v>
      </c>
      <c r="G815" t="s">
        <v>74</v>
      </c>
      <c r="H815" t="s">
        <v>74</v>
      </c>
      <c r="I815" t="s">
        <v>16163</v>
      </c>
      <c r="J815" t="s">
        <v>4108</v>
      </c>
      <c r="K815" t="s">
        <v>74</v>
      </c>
      <c r="L815" t="s">
        <v>74</v>
      </c>
      <c r="M815" t="s">
        <v>78</v>
      </c>
      <c r="N815" t="s">
        <v>79</v>
      </c>
      <c r="O815" t="s">
        <v>74</v>
      </c>
      <c r="P815" t="s">
        <v>74</v>
      </c>
      <c r="Q815" t="s">
        <v>74</v>
      </c>
      <c r="R815" t="s">
        <v>74</v>
      </c>
      <c r="S815" t="s">
        <v>74</v>
      </c>
      <c r="T815" t="s">
        <v>74</v>
      </c>
      <c r="U815" t="s">
        <v>16164</v>
      </c>
      <c r="V815" t="s">
        <v>16165</v>
      </c>
      <c r="W815" t="s">
        <v>16166</v>
      </c>
      <c r="X815" t="s">
        <v>16167</v>
      </c>
      <c r="Y815" t="s">
        <v>16168</v>
      </c>
      <c r="Z815" t="s">
        <v>16169</v>
      </c>
      <c r="AA815" t="s">
        <v>16170</v>
      </c>
      <c r="AB815" t="s">
        <v>16171</v>
      </c>
      <c r="AC815" t="s">
        <v>16172</v>
      </c>
      <c r="AD815" t="s">
        <v>16173</v>
      </c>
      <c r="AE815" t="s">
        <v>16174</v>
      </c>
      <c r="AF815" t="s">
        <v>74</v>
      </c>
      <c r="AG815">
        <v>59</v>
      </c>
      <c r="AH815">
        <v>8</v>
      </c>
      <c r="AI815">
        <v>9</v>
      </c>
      <c r="AJ815">
        <v>3</v>
      </c>
      <c r="AK815">
        <v>37</v>
      </c>
      <c r="AL815" t="s">
        <v>91</v>
      </c>
      <c r="AM815" t="s">
        <v>92</v>
      </c>
      <c r="AN815" t="s">
        <v>93</v>
      </c>
      <c r="AO815" t="s">
        <v>4120</v>
      </c>
      <c r="AP815" t="s">
        <v>4121</v>
      </c>
      <c r="AQ815" t="s">
        <v>74</v>
      </c>
      <c r="AR815" t="s">
        <v>4122</v>
      </c>
      <c r="AS815" t="s">
        <v>4123</v>
      </c>
      <c r="AT815" t="s">
        <v>16175</v>
      </c>
      <c r="AU815">
        <v>2020</v>
      </c>
      <c r="AV815">
        <v>13</v>
      </c>
      <c r="AW815">
        <v>8</v>
      </c>
      <c r="AX815" t="s">
        <v>74</v>
      </c>
      <c r="AY815" t="s">
        <v>74</v>
      </c>
      <c r="AZ815" t="s">
        <v>74</v>
      </c>
      <c r="BA815" t="s">
        <v>74</v>
      </c>
      <c r="BB815">
        <v>4317</v>
      </c>
      <c r="BC815">
        <v>4331</v>
      </c>
      <c r="BD815" t="s">
        <v>74</v>
      </c>
      <c r="BE815" t="s">
        <v>16176</v>
      </c>
      <c r="BF815" t="str">
        <f>HYPERLINK("http://dx.doi.org/10.5194/amt-13-4317-2020","http://dx.doi.org/10.5194/amt-13-4317-2020")</f>
        <v>http://dx.doi.org/10.5194/amt-13-4317-2020</v>
      </c>
      <c r="BG815" t="s">
        <v>74</v>
      </c>
      <c r="BH815" t="s">
        <v>74</v>
      </c>
      <c r="BI815">
        <v>15</v>
      </c>
      <c r="BJ815" t="s">
        <v>800</v>
      </c>
      <c r="BK815" t="s">
        <v>100</v>
      </c>
      <c r="BL815" t="s">
        <v>800</v>
      </c>
      <c r="BM815" t="s">
        <v>16177</v>
      </c>
      <c r="BN815" t="s">
        <v>74</v>
      </c>
      <c r="BO815" t="s">
        <v>677</v>
      </c>
      <c r="BP815" t="s">
        <v>74</v>
      </c>
      <c r="BQ815" t="s">
        <v>74</v>
      </c>
      <c r="BR815" t="s">
        <v>104</v>
      </c>
      <c r="BS815" t="s">
        <v>16178</v>
      </c>
      <c r="BT815" t="str">
        <f>HYPERLINK("https%3A%2F%2Fwww.webofscience.com%2Fwos%2Fwoscc%2Ffull-record%2FWOS:000563039200001","View Full Record in Web of Science")</f>
        <v>View Full Record in Web of Science</v>
      </c>
    </row>
    <row r="816" spans="1:72" x14ac:dyDescent="0.15">
      <c r="A816" t="s">
        <v>72</v>
      </c>
      <c r="B816" t="s">
        <v>16179</v>
      </c>
      <c r="C816" t="s">
        <v>74</v>
      </c>
      <c r="D816" t="s">
        <v>74</v>
      </c>
      <c r="E816" t="s">
        <v>74</v>
      </c>
      <c r="F816" t="s">
        <v>16180</v>
      </c>
      <c r="G816" t="s">
        <v>74</v>
      </c>
      <c r="H816" t="s">
        <v>74</v>
      </c>
      <c r="I816" t="s">
        <v>16181</v>
      </c>
      <c r="J816" t="s">
        <v>780</v>
      </c>
      <c r="K816" t="s">
        <v>74</v>
      </c>
      <c r="L816" t="s">
        <v>74</v>
      </c>
      <c r="M816" t="s">
        <v>78</v>
      </c>
      <c r="N816" t="s">
        <v>79</v>
      </c>
      <c r="O816" t="s">
        <v>74</v>
      </c>
      <c r="P816" t="s">
        <v>74</v>
      </c>
      <c r="Q816" t="s">
        <v>74</v>
      </c>
      <c r="R816" t="s">
        <v>74</v>
      </c>
      <c r="S816" t="s">
        <v>74</v>
      </c>
      <c r="T816" t="s">
        <v>16182</v>
      </c>
      <c r="U816" t="s">
        <v>16183</v>
      </c>
      <c r="V816" t="s">
        <v>16184</v>
      </c>
      <c r="W816" t="s">
        <v>16185</v>
      </c>
      <c r="X816" t="s">
        <v>16186</v>
      </c>
      <c r="Y816" t="s">
        <v>16187</v>
      </c>
      <c r="Z816" t="s">
        <v>16188</v>
      </c>
      <c r="AA816" t="s">
        <v>16189</v>
      </c>
      <c r="AB816" t="s">
        <v>16190</v>
      </c>
      <c r="AC816" t="s">
        <v>16191</v>
      </c>
      <c r="AD816" t="s">
        <v>16192</v>
      </c>
      <c r="AE816" t="s">
        <v>16193</v>
      </c>
      <c r="AF816" t="s">
        <v>74</v>
      </c>
      <c r="AG816">
        <v>46</v>
      </c>
      <c r="AH816">
        <v>69</v>
      </c>
      <c r="AI816">
        <v>72</v>
      </c>
      <c r="AJ816">
        <v>15</v>
      </c>
      <c r="AK816">
        <v>55</v>
      </c>
      <c r="AL816" t="s">
        <v>219</v>
      </c>
      <c r="AM816" t="s">
        <v>220</v>
      </c>
      <c r="AN816" t="s">
        <v>221</v>
      </c>
      <c r="AO816" t="s">
        <v>793</v>
      </c>
      <c r="AP816" t="s">
        <v>794</v>
      </c>
      <c r="AQ816" t="s">
        <v>74</v>
      </c>
      <c r="AR816" t="s">
        <v>795</v>
      </c>
      <c r="AS816" t="s">
        <v>796</v>
      </c>
      <c r="AT816" t="s">
        <v>252</v>
      </c>
      <c r="AU816">
        <v>2021</v>
      </c>
      <c r="AV816">
        <v>41</v>
      </c>
      <c r="AW816" t="s">
        <v>74</v>
      </c>
      <c r="AX816" t="s">
        <v>74</v>
      </c>
      <c r="AY816">
        <v>1</v>
      </c>
      <c r="AZ816" t="s">
        <v>74</v>
      </c>
      <c r="BA816" t="s">
        <v>74</v>
      </c>
      <c r="BB816" t="s">
        <v>16194</v>
      </c>
      <c r="BC816" t="s">
        <v>16195</v>
      </c>
      <c r="BD816" t="s">
        <v>74</v>
      </c>
      <c r="BE816" t="s">
        <v>16196</v>
      </c>
      <c r="BF816" t="str">
        <f>HYPERLINK("http://dx.doi.org/10.1002/joc.6771","http://dx.doi.org/10.1002/joc.6771")</f>
        <v>http://dx.doi.org/10.1002/joc.6771</v>
      </c>
      <c r="BG816" t="s">
        <v>74</v>
      </c>
      <c r="BH816" t="s">
        <v>15048</v>
      </c>
      <c r="BI816">
        <v>17</v>
      </c>
      <c r="BJ816" t="s">
        <v>800</v>
      </c>
      <c r="BK816" t="s">
        <v>100</v>
      </c>
      <c r="BL816" t="s">
        <v>800</v>
      </c>
      <c r="BM816" t="s">
        <v>801</v>
      </c>
      <c r="BN816" t="s">
        <v>74</v>
      </c>
      <c r="BO816" t="s">
        <v>1894</v>
      </c>
      <c r="BP816" t="s">
        <v>74</v>
      </c>
      <c r="BQ816" t="s">
        <v>74</v>
      </c>
      <c r="BR816" t="s">
        <v>104</v>
      </c>
      <c r="BS816" t="s">
        <v>16197</v>
      </c>
      <c r="BT816" t="str">
        <f>HYPERLINK("https%3A%2F%2Fwww.webofscience.com%2Fwos%2Fwoscc%2Ffull-record%2FWOS:000560908400001","View Full Record in Web of Science")</f>
        <v>View Full Record in Web of Science</v>
      </c>
    </row>
    <row r="817" spans="1:72" x14ac:dyDescent="0.15">
      <c r="A817" t="s">
        <v>72</v>
      </c>
      <c r="B817" t="s">
        <v>16198</v>
      </c>
      <c r="C817" t="s">
        <v>74</v>
      </c>
      <c r="D817" t="s">
        <v>74</v>
      </c>
      <c r="E817" t="s">
        <v>74</v>
      </c>
      <c r="F817" t="s">
        <v>16199</v>
      </c>
      <c r="G817" t="s">
        <v>74</v>
      </c>
      <c r="H817" t="s">
        <v>74</v>
      </c>
      <c r="I817" t="s">
        <v>16200</v>
      </c>
      <c r="J817" t="s">
        <v>309</v>
      </c>
      <c r="K817" t="s">
        <v>74</v>
      </c>
      <c r="L817" t="s">
        <v>74</v>
      </c>
      <c r="M817" t="s">
        <v>78</v>
      </c>
      <c r="N817" t="s">
        <v>79</v>
      </c>
      <c r="O817" t="s">
        <v>74</v>
      </c>
      <c r="P817" t="s">
        <v>74</v>
      </c>
      <c r="Q817" t="s">
        <v>74</v>
      </c>
      <c r="R817" t="s">
        <v>74</v>
      </c>
      <c r="S817" t="s">
        <v>74</v>
      </c>
      <c r="T817" t="s">
        <v>74</v>
      </c>
      <c r="U817" t="s">
        <v>16201</v>
      </c>
      <c r="V817" t="s">
        <v>16202</v>
      </c>
      <c r="W817" t="s">
        <v>16203</v>
      </c>
      <c r="X817" t="s">
        <v>16204</v>
      </c>
      <c r="Y817" t="s">
        <v>16205</v>
      </c>
      <c r="Z817" t="s">
        <v>16206</v>
      </c>
      <c r="AA817" t="s">
        <v>16207</v>
      </c>
      <c r="AB817" t="s">
        <v>16208</v>
      </c>
      <c r="AC817" t="s">
        <v>16209</v>
      </c>
      <c r="AD817" t="s">
        <v>16210</v>
      </c>
      <c r="AE817" t="s">
        <v>16211</v>
      </c>
      <c r="AF817" t="s">
        <v>74</v>
      </c>
      <c r="AG817">
        <v>86</v>
      </c>
      <c r="AH817">
        <v>31</v>
      </c>
      <c r="AI817">
        <v>32</v>
      </c>
      <c r="AJ817">
        <v>2</v>
      </c>
      <c r="AK817">
        <v>16</v>
      </c>
      <c r="AL817" t="s">
        <v>15760</v>
      </c>
      <c r="AM817" t="s">
        <v>123</v>
      </c>
      <c r="AN817" t="s">
        <v>15761</v>
      </c>
      <c r="AO817" t="s">
        <v>324</v>
      </c>
      <c r="AP817" t="s">
        <v>74</v>
      </c>
      <c r="AQ817" t="s">
        <v>74</v>
      </c>
      <c r="AR817" t="s">
        <v>325</v>
      </c>
      <c r="AS817" t="s">
        <v>326</v>
      </c>
      <c r="AT817" t="s">
        <v>16175</v>
      </c>
      <c r="AU817">
        <v>2020</v>
      </c>
      <c r="AV817">
        <v>10</v>
      </c>
      <c r="AW817">
        <v>1</v>
      </c>
      <c r="AX817" t="s">
        <v>74</v>
      </c>
      <c r="AY817" t="s">
        <v>74</v>
      </c>
      <c r="AZ817" t="s">
        <v>74</v>
      </c>
      <c r="BA817" t="s">
        <v>74</v>
      </c>
      <c r="BB817" t="s">
        <v>74</v>
      </c>
      <c r="BC817" t="s">
        <v>74</v>
      </c>
      <c r="BD817">
        <v>13870</v>
      </c>
      <c r="BE817" t="s">
        <v>16212</v>
      </c>
      <c r="BF817" t="str">
        <f>HYPERLINK("http://dx.doi.org/10.1038/s41598-020-69786-2","http://dx.doi.org/10.1038/s41598-020-69786-2")</f>
        <v>http://dx.doi.org/10.1038/s41598-020-69786-2</v>
      </c>
      <c r="BG817" t="s">
        <v>74</v>
      </c>
      <c r="BH817" t="s">
        <v>74</v>
      </c>
      <c r="BI817">
        <v>15</v>
      </c>
      <c r="BJ817" t="s">
        <v>329</v>
      </c>
      <c r="BK817" t="s">
        <v>100</v>
      </c>
      <c r="BL817" t="s">
        <v>330</v>
      </c>
      <c r="BM817" t="s">
        <v>16213</v>
      </c>
      <c r="BN817">
        <v>32807803</v>
      </c>
      <c r="BO817" t="s">
        <v>2113</v>
      </c>
      <c r="BP817" t="s">
        <v>74</v>
      </c>
      <c r="BQ817" t="s">
        <v>74</v>
      </c>
      <c r="BR817" t="s">
        <v>104</v>
      </c>
      <c r="BS817" t="s">
        <v>16214</v>
      </c>
      <c r="BT817" t="str">
        <f>HYPERLINK("https%3A%2F%2Fwww.webofscience.com%2Fwos%2Fwoscc%2Ffull-record%2FWOS:000563538400020","View Full Record in Web of Science")</f>
        <v>View Full Record in Web of Science</v>
      </c>
    </row>
    <row r="818" spans="1:72" x14ac:dyDescent="0.15">
      <c r="A818" t="s">
        <v>72</v>
      </c>
      <c r="B818" t="s">
        <v>16215</v>
      </c>
      <c r="C818" t="s">
        <v>74</v>
      </c>
      <c r="D818" t="s">
        <v>74</v>
      </c>
      <c r="E818" t="s">
        <v>74</v>
      </c>
      <c r="F818" t="s">
        <v>16216</v>
      </c>
      <c r="G818" t="s">
        <v>74</v>
      </c>
      <c r="H818" t="s">
        <v>74</v>
      </c>
      <c r="I818" t="s">
        <v>16217</v>
      </c>
      <c r="J818" t="s">
        <v>9442</v>
      </c>
      <c r="K818" t="s">
        <v>74</v>
      </c>
      <c r="L818" t="s">
        <v>74</v>
      </c>
      <c r="M818" t="s">
        <v>78</v>
      </c>
      <c r="N818" t="s">
        <v>79</v>
      </c>
      <c r="O818" t="s">
        <v>74</v>
      </c>
      <c r="P818" t="s">
        <v>74</v>
      </c>
      <c r="Q818" t="s">
        <v>74</v>
      </c>
      <c r="R818" t="s">
        <v>74</v>
      </c>
      <c r="S818" t="s">
        <v>74</v>
      </c>
      <c r="T818" t="s">
        <v>74</v>
      </c>
      <c r="U818" t="s">
        <v>16218</v>
      </c>
      <c r="V818" t="s">
        <v>16219</v>
      </c>
      <c r="W818" t="s">
        <v>16220</v>
      </c>
      <c r="X818" t="s">
        <v>16221</v>
      </c>
      <c r="Y818" t="s">
        <v>16222</v>
      </c>
      <c r="Z818" t="s">
        <v>16223</v>
      </c>
      <c r="AA818" t="s">
        <v>74</v>
      </c>
      <c r="AB818" t="s">
        <v>16224</v>
      </c>
      <c r="AC818" t="s">
        <v>16225</v>
      </c>
      <c r="AD818" t="s">
        <v>16226</v>
      </c>
      <c r="AE818" t="s">
        <v>16227</v>
      </c>
      <c r="AF818" t="s">
        <v>74</v>
      </c>
      <c r="AG818">
        <v>13</v>
      </c>
      <c r="AH818">
        <v>2</v>
      </c>
      <c r="AI818">
        <v>3</v>
      </c>
      <c r="AJ818">
        <v>0</v>
      </c>
      <c r="AK818">
        <v>14</v>
      </c>
      <c r="AL818" t="s">
        <v>692</v>
      </c>
      <c r="AM818" t="s">
        <v>693</v>
      </c>
      <c r="AN818" t="s">
        <v>694</v>
      </c>
      <c r="AO818" t="s">
        <v>9454</v>
      </c>
      <c r="AP818" t="s">
        <v>9455</v>
      </c>
      <c r="AQ818" t="s">
        <v>74</v>
      </c>
      <c r="AR818" t="s">
        <v>9456</v>
      </c>
      <c r="AS818" t="s">
        <v>9457</v>
      </c>
      <c r="AT818" t="s">
        <v>16175</v>
      </c>
      <c r="AU818">
        <v>2020</v>
      </c>
      <c r="AV818">
        <v>41</v>
      </c>
      <c r="AW818">
        <v>16</v>
      </c>
      <c r="AX818" t="s">
        <v>74</v>
      </c>
      <c r="AY818" t="s">
        <v>74</v>
      </c>
      <c r="AZ818" t="s">
        <v>74</v>
      </c>
      <c r="BA818" t="s">
        <v>74</v>
      </c>
      <c r="BB818">
        <v>6089</v>
      </c>
      <c r="BC818">
        <v>6098</v>
      </c>
      <c r="BD818" t="s">
        <v>74</v>
      </c>
      <c r="BE818" t="s">
        <v>16228</v>
      </c>
      <c r="BF818" t="str">
        <f>HYPERLINK("http://dx.doi.org/10.1080/01431161.2020.1734258","http://dx.doi.org/10.1080/01431161.2020.1734258")</f>
        <v>http://dx.doi.org/10.1080/01431161.2020.1734258</v>
      </c>
      <c r="BG818" t="s">
        <v>74</v>
      </c>
      <c r="BH818" t="s">
        <v>74</v>
      </c>
      <c r="BI818">
        <v>10</v>
      </c>
      <c r="BJ818" t="s">
        <v>9459</v>
      </c>
      <c r="BK818" t="s">
        <v>100</v>
      </c>
      <c r="BL818" t="s">
        <v>9459</v>
      </c>
      <c r="BM818" t="s">
        <v>16229</v>
      </c>
      <c r="BN818" t="s">
        <v>74</v>
      </c>
      <c r="BO818" t="s">
        <v>74</v>
      </c>
      <c r="BP818" t="s">
        <v>74</v>
      </c>
      <c r="BQ818" t="s">
        <v>74</v>
      </c>
      <c r="BR818" t="s">
        <v>104</v>
      </c>
      <c r="BS818" t="s">
        <v>16230</v>
      </c>
      <c r="BT818" t="str">
        <f>HYPERLINK("https%3A%2F%2Fwww.webofscience.com%2Fwos%2Fwoscc%2Ffull-record%2FWOS:000544434600003","View Full Record in Web of Science")</f>
        <v>View Full Record in Web of Science</v>
      </c>
    </row>
    <row r="819" spans="1:72" x14ac:dyDescent="0.15">
      <c r="A819" t="s">
        <v>72</v>
      </c>
      <c r="B819" t="s">
        <v>16231</v>
      </c>
      <c r="C819" t="s">
        <v>74</v>
      </c>
      <c r="D819" t="s">
        <v>74</v>
      </c>
      <c r="E819" t="s">
        <v>74</v>
      </c>
      <c r="F819" t="s">
        <v>16232</v>
      </c>
      <c r="G819" t="s">
        <v>74</v>
      </c>
      <c r="H819" t="s">
        <v>74</v>
      </c>
      <c r="I819" t="s">
        <v>16233</v>
      </c>
      <c r="J819" t="s">
        <v>9442</v>
      </c>
      <c r="K819" t="s">
        <v>74</v>
      </c>
      <c r="L819" t="s">
        <v>74</v>
      </c>
      <c r="M819" t="s">
        <v>78</v>
      </c>
      <c r="N819" t="s">
        <v>79</v>
      </c>
      <c r="O819" t="s">
        <v>74</v>
      </c>
      <c r="P819" t="s">
        <v>74</v>
      </c>
      <c r="Q819" t="s">
        <v>74</v>
      </c>
      <c r="R819" t="s">
        <v>74</v>
      </c>
      <c r="S819" t="s">
        <v>74</v>
      </c>
      <c r="T819" t="s">
        <v>74</v>
      </c>
      <c r="U819" t="s">
        <v>16234</v>
      </c>
      <c r="V819" t="s">
        <v>16235</v>
      </c>
      <c r="W819" t="s">
        <v>16236</v>
      </c>
      <c r="X819" t="s">
        <v>16237</v>
      </c>
      <c r="Y819" t="s">
        <v>16238</v>
      </c>
      <c r="Z819" t="s">
        <v>16239</v>
      </c>
      <c r="AA819" t="s">
        <v>16240</v>
      </c>
      <c r="AB819" t="s">
        <v>16241</v>
      </c>
      <c r="AC819" t="s">
        <v>16242</v>
      </c>
      <c r="AD819" t="s">
        <v>16243</v>
      </c>
      <c r="AE819" t="s">
        <v>16244</v>
      </c>
      <c r="AF819" t="s">
        <v>74</v>
      </c>
      <c r="AG819">
        <v>55</v>
      </c>
      <c r="AH819">
        <v>0</v>
      </c>
      <c r="AI819">
        <v>0</v>
      </c>
      <c r="AJ819">
        <v>0</v>
      </c>
      <c r="AK819">
        <v>7</v>
      </c>
      <c r="AL819" t="s">
        <v>692</v>
      </c>
      <c r="AM819" t="s">
        <v>693</v>
      </c>
      <c r="AN819" t="s">
        <v>694</v>
      </c>
      <c r="AO819" t="s">
        <v>9454</v>
      </c>
      <c r="AP819" t="s">
        <v>9455</v>
      </c>
      <c r="AQ819" t="s">
        <v>74</v>
      </c>
      <c r="AR819" t="s">
        <v>9456</v>
      </c>
      <c r="AS819" t="s">
        <v>9457</v>
      </c>
      <c r="AT819" t="s">
        <v>16175</v>
      </c>
      <c r="AU819">
        <v>2020</v>
      </c>
      <c r="AV819">
        <v>41</v>
      </c>
      <c r="AW819">
        <v>16</v>
      </c>
      <c r="AX819" t="s">
        <v>74</v>
      </c>
      <c r="AY819" t="s">
        <v>74</v>
      </c>
      <c r="AZ819" t="s">
        <v>74</v>
      </c>
      <c r="BA819" t="s">
        <v>74</v>
      </c>
      <c r="BB819">
        <v>6232</v>
      </c>
      <c r="BC819">
        <v>6247</v>
      </c>
      <c r="BD819" t="s">
        <v>74</v>
      </c>
      <c r="BE819" t="s">
        <v>16245</v>
      </c>
      <c r="BF819" t="str">
        <f>HYPERLINK("http://dx.doi.org/10.1080/01431161.2020.1752955","http://dx.doi.org/10.1080/01431161.2020.1752955")</f>
        <v>http://dx.doi.org/10.1080/01431161.2020.1752955</v>
      </c>
      <c r="BG819" t="s">
        <v>74</v>
      </c>
      <c r="BH819" t="s">
        <v>74</v>
      </c>
      <c r="BI819">
        <v>16</v>
      </c>
      <c r="BJ819" t="s">
        <v>9459</v>
      </c>
      <c r="BK819" t="s">
        <v>100</v>
      </c>
      <c r="BL819" t="s">
        <v>9459</v>
      </c>
      <c r="BM819" t="s">
        <v>16229</v>
      </c>
      <c r="BN819" t="s">
        <v>74</v>
      </c>
      <c r="BO819" t="s">
        <v>74</v>
      </c>
      <c r="BP819" t="s">
        <v>74</v>
      </c>
      <c r="BQ819" t="s">
        <v>74</v>
      </c>
      <c r="BR819" t="s">
        <v>104</v>
      </c>
      <c r="BS819" t="s">
        <v>16246</v>
      </c>
      <c r="BT819" t="str">
        <f>HYPERLINK("https%3A%2F%2Fwww.webofscience.com%2Fwos%2Fwoscc%2Ffull-record%2FWOS:000544434600010","View Full Record in Web of Science")</f>
        <v>View Full Record in Web of Science</v>
      </c>
    </row>
    <row r="820" spans="1:72" x14ac:dyDescent="0.15">
      <c r="A820" t="s">
        <v>72</v>
      </c>
      <c r="B820" t="s">
        <v>16247</v>
      </c>
      <c r="C820" t="s">
        <v>74</v>
      </c>
      <c r="D820" t="s">
        <v>74</v>
      </c>
      <c r="E820" t="s">
        <v>74</v>
      </c>
      <c r="F820" t="s">
        <v>16248</v>
      </c>
      <c r="G820" t="s">
        <v>74</v>
      </c>
      <c r="H820" t="s">
        <v>74</v>
      </c>
      <c r="I820" t="s">
        <v>16249</v>
      </c>
      <c r="J820" t="s">
        <v>4067</v>
      </c>
      <c r="K820" t="s">
        <v>74</v>
      </c>
      <c r="L820" t="s">
        <v>74</v>
      </c>
      <c r="M820" t="s">
        <v>78</v>
      </c>
      <c r="N820" t="s">
        <v>79</v>
      </c>
      <c r="O820" t="s">
        <v>74</v>
      </c>
      <c r="P820" t="s">
        <v>74</v>
      </c>
      <c r="Q820" t="s">
        <v>74</v>
      </c>
      <c r="R820" t="s">
        <v>74</v>
      </c>
      <c r="S820" t="s">
        <v>74</v>
      </c>
      <c r="T820" t="s">
        <v>74</v>
      </c>
      <c r="U820" t="s">
        <v>16250</v>
      </c>
      <c r="V820" t="s">
        <v>16251</v>
      </c>
      <c r="W820" t="s">
        <v>16252</v>
      </c>
      <c r="X820" t="s">
        <v>16253</v>
      </c>
      <c r="Y820" t="s">
        <v>16254</v>
      </c>
      <c r="Z820" t="s">
        <v>16255</v>
      </c>
      <c r="AA820" t="s">
        <v>16256</v>
      </c>
      <c r="AB820" t="s">
        <v>16257</v>
      </c>
      <c r="AC820" t="s">
        <v>16258</v>
      </c>
      <c r="AD820" t="s">
        <v>16259</v>
      </c>
      <c r="AE820" t="s">
        <v>16260</v>
      </c>
      <c r="AF820" t="s">
        <v>74</v>
      </c>
      <c r="AG820">
        <v>50</v>
      </c>
      <c r="AH820">
        <v>14</v>
      </c>
      <c r="AI820">
        <v>15</v>
      </c>
      <c r="AJ820">
        <v>2</v>
      </c>
      <c r="AK820">
        <v>6</v>
      </c>
      <c r="AL820" t="s">
        <v>1710</v>
      </c>
      <c r="AM820" t="s">
        <v>609</v>
      </c>
      <c r="AN820" t="s">
        <v>1711</v>
      </c>
      <c r="AO820" t="s">
        <v>4079</v>
      </c>
      <c r="AP820" t="s">
        <v>4080</v>
      </c>
      <c r="AQ820" t="s">
        <v>74</v>
      </c>
      <c r="AR820" t="s">
        <v>4081</v>
      </c>
      <c r="AS820" t="s">
        <v>4082</v>
      </c>
      <c r="AT820" t="s">
        <v>16261</v>
      </c>
      <c r="AU820">
        <v>2020</v>
      </c>
      <c r="AV820">
        <v>125</v>
      </c>
      <c r="AW820">
        <v>15</v>
      </c>
      <c r="AX820" t="s">
        <v>74</v>
      </c>
      <c r="AY820" t="s">
        <v>74</v>
      </c>
      <c r="AZ820" t="s">
        <v>74</v>
      </c>
      <c r="BA820" t="s">
        <v>74</v>
      </c>
      <c r="BB820" t="s">
        <v>74</v>
      </c>
      <c r="BC820" t="s">
        <v>74</v>
      </c>
      <c r="BD820" t="s">
        <v>16262</v>
      </c>
      <c r="BE820" t="s">
        <v>16263</v>
      </c>
      <c r="BF820" t="str">
        <f>HYPERLINK("http://dx.doi.org/10.1029/2020JD032543","http://dx.doi.org/10.1029/2020JD032543")</f>
        <v>http://dx.doi.org/10.1029/2020JD032543</v>
      </c>
      <c r="BG820" t="s">
        <v>74</v>
      </c>
      <c r="BH820" t="s">
        <v>74</v>
      </c>
      <c r="BI820">
        <v>25</v>
      </c>
      <c r="BJ820" t="s">
        <v>800</v>
      </c>
      <c r="BK820" t="s">
        <v>100</v>
      </c>
      <c r="BL820" t="s">
        <v>800</v>
      </c>
      <c r="BM820" t="s">
        <v>16264</v>
      </c>
      <c r="BN820" t="s">
        <v>74</v>
      </c>
      <c r="BO820" t="s">
        <v>1188</v>
      </c>
      <c r="BP820" t="s">
        <v>74</v>
      </c>
      <c r="BQ820" t="s">
        <v>74</v>
      </c>
      <c r="BR820" t="s">
        <v>104</v>
      </c>
      <c r="BS820" t="s">
        <v>16265</v>
      </c>
      <c r="BT820" t="str">
        <f>HYPERLINK("https%3A%2F%2Fwww.webofscience.com%2Fwos%2Fwoscc%2Ffull-record%2FWOS:000562080300001","View Full Record in Web of Science")</f>
        <v>View Full Record in Web of Science</v>
      </c>
    </row>
    <row r="821" spans="1:72" x14ac:dyDescent="0.15">
      <c r="A821" t="s">
        <v>72</v>
      </c>
      <c r="B821" t="s">
        <v>16266</v>
      </c>
      <c r="C821" t="s">
        <v>74</v>
      </c>
      <c r="D821" t="s">
        <v>74</v>
      </c>
      <c r="E821" t="s">
        <v>74</v>
      </c>
      <c r="F821" t="s">
        <v>16267</v>
      </c>
      <c r="G821" t="s">
        <v>74</v>
      </c>
      <c r="H821" t="s">
        <v>74</v>
      </c>
      <c r="I821" t="s">
        <v>16268</v>
      </c>
      <c r="J821" t="s">
        <v>3687</v>
      </c>
      <c r="K821" t="s">
        <v>74</v>
      </c>
      <c r="L821" t="s">
        <v>74</v>
      </c>
      <c r="M821" t="s">
        <v>78</v>
      </c>
      <c r="N821" t="s">
        <v>79</v>
      </c>
      <c r="O821" t="s">
        <v>74</v>
      </c>
      <c r="P821" t="s">
        <v>74</v>
      </c>
      <c r="Q821" t="s">
        <v>74</v>
      </c>
      <c r="R821" t="s">
        <v>74</v>
      </c>
      <c r="S821" t="s">
        <v>74</v>
      </c>
      <c r="T821" t="s">
        <v>74</v>
      </c>
      <c r="U821" t="s">
        <v>16269</v>
      </c>
      <c r="V821" t="s">
        <v>16270</v>
      </c>
      <c r="W821" t="s">
        <v>16271</v>
      </c>
      <c r="X821" t="s">
        <v>16272</v>
      </c>
      <c r="Y821" t="s">
        <v>16273</v>
      </c>
      <c r="Z821" t="s">
        <v>16274</v>
      </c>
      <c r="AA821" t="s">
        <v>16275</v>
      </c>
      <c r="AB821" t="s">
        <v>74</v>
      </c>
      <c r="AC821" t="s">
        <v>16276</v>
      </c>
      <c r="AD821" t="s">
        <v>10628</v>
      </c>
      <c r="AE821" t="s">
        <v>16277</v>
      </c>
      <c r="AF821" t="s">
        <v>74</v>
      </c>
      <c r="AG821">
        <v>46</v>
      </c>
      <c r="AH821">
        <v>15</v>
      </c>
      <c r="AI821">
        <v>18</v>
      </c>
      <c r="AJ821">
        <v>0</v>
      </c>
      <c r="AK821">
        <v>15</v>
      </c>
      <c r="AL821" t="s">
        <v>1710</v>
      </c>
      <c r="AM821" t="s">
        <v>609</v>
      </c>
      <c r="AN821" t="s">
        <v>1711</v>
      </c>
      <c r="AO821" t="s">
        <v>3699</v>
      </c>
      <c r="AP821" t="s">
        <v>3700</v>
      </c>
      <c r="AQ821" t="s">
        <v>74</v>
      </c>
      <c r="AR821" t="s">
        <v>3701</v>
      </c>
      <c r="AS821" t="s">
        <v>3702</v>
      </c>
      <c r="AT821" t="s">
        <v>16261</v>
      </c>
      <c r="AU821">
        <v>2020</v>
      </c>
      <c r="AV821">
        <v>47</v>
      </c>
      <c r="AW821">
        <v>15</v>
      </c>
      <c r="AX821" t="s">
        <v>74</v>
      </c>
      <c r="AY821" t="s">
        <v>74</v>
      </c>
      <c r="AZ821" t="s">
        <v>74</v>
      </c>
      <c r="BA821" t="s">
        <v>74</v>
      </c>
      <c r="BB821" t="s">
        <v>74</v>
      </c>
      <c r="BC821" t="s">
        <v>74</v>
      </c>
      <c r="BD821" t="s">
        <v>16278</v>
      </c>
      <c r="BE821" t="s">
        <v>16279</v>
      </c>
      <c r="BF821" t="str">
        <f>HYPERLINK("http://dx.doi.org/10.1029/2020GL088339","http://dx.doi.org/10.1029/2020GL088339")</f>
        <v>http://dx.doi.org/10.1029/2020GL088339</v>
      </c>
      <c r="BG821" t="s">
        <v>74</v>
      </c>
      <c r="BH821" t="s">
        <v>74</v>
      </c>
      <c r="BI821">
        <v>9</v>
      </c>
      <c r="BJ821" t="s">
        <v>534</v>
      </c>
      <c r="BK821" t="s">
        <v>100</v>
      </c>
      <c r="BL821" t="s">
        <v>535</v>
      </c>
      <c r="BM821" t="s">
        <v>16280</v>
      </c>
      <c r="BN821" t="s">
        <v>74</v>
      </c>
      <c r="BO821" t="s">
        <v>74</v>
      </c>
      <c r="BP821" t="s">
        <v>74</v>
      </c>
      <c r="BQ821" t="s">
        <v>74</v>
      </c>
      <c r="BR821" t="s">
        <v>104</v>
      </c>
      <c r="BS821" t="s">
        <v>16281</v>
      </c>
      <c r="BT821" t="str">
        <f>HYPERLINK("https%3A%2F%2Fwww.webofscience.com%2Fwos%2Fwoscc%2Ffull-record%2FWOS:000560376100024","View Full Record in Web of Science")</f>
        <v>View Full Record in Web of Science</v>
      </c>
    </row>
    <row r="822" spans="1:72" x14ac:dyDescent="0.15">
      <c r="A822" t="s">
        <v>72</v>
      </c>
      <c r="B822" t="s">
        <v>16282</v>
      </c>
      <c r="C822" t="s">
        <v>74</v>
      </c>
      <c r="D822" t="s">
        <v>74</v>
      </c>
      <c r="E822" t="s">
        <v>74</v>
      </c>
      <c r="F822" t="s">
        <v>16283</v>
      </c>
      <c r="G822" t="s">
        <v>74</v>
      </c>
      <c r="H822" t="s">
        <v>74</v>
      </c>
      <c r="I822" t="s">
        <v>16284</v>
      </c>
      <c r="J822" t="s">
        <v>3687</v>
      </c>
      <c r="K822" t="s">
        <v>74</v>
      </c>
      <c r="L822" t="s">
        <v>74</v>
      </c>
      <c r="M822" t="s">
        <v>78</v>
      </c>
      <c r="N822" t="s">
        <v>79</v>
      </c>
      <c r="O822" t="s">
        <v>74</v>
      </c>
      <c r="P822" t="s">
        <v>74</v>
      </c>
      <c r="Q822" t="s">
        <v>74</v>
      </c>
      <c r="R822" t="s">
        <v>74</v>
      </c>
      <c r="S822" t="s">
        <v>74</v>
      </c>
      <c r="T822" t="s">
        <v>16285</v>
      </c>
      <c r="U822" t="s">
        <v>16286</v>
      </c>
      <c r="V822" t="s">
        <v>16287</v>
      </c>
      <c r="W822" t="s">
        <v>16288</v>
      </c>
      <c r="X822" t="s">
        <v>16289</v>
      </c>
      <c r="Y822" t="s">
        <v>16290</v>
      </c>
      <c r="Z822" t="s">
        <v>16291</v>
      </c>
      <c r="AA822" t="s">
        <v>16292</v>
      </c>
      <c r="AB822" t="s">
        <v>16293</v>
      </c>
      <c r="AC822" t="s">
        <v>16294</v>
      </c>
      <c r="AD822" t="s">
        <v>16295</v>
      </c>
      <c r="AE822" t="s">
        <v>16296</v>
      </c>
      <c r="AF822" t="s">
        <v>74</v>
      </c>
      <c r="AG822">
        <v>44</v>
      </c>
      <c r="AH822">
        <v>24</v>
      </c>
      <c r="AI822">
        <v>27</v>
      </c>
      <c r="AJ822">
        <v>2</v>
      </c>
      <c r="AK822">
        <v>13</v>
      </c>
      <c r="AL822" t="s">
        <v>1710</v>
      </c>
      <c r="AM822" t="s">
        <v>609</v>
      </c>
      <c r="AN822" t="s">
        <v>1711</v>
      </c>
      <c r="AO822" t="s">
        <v>3699</v>
      </c>
      <c r="AP822" t="s">
        <v>3700</v>
      </c>
      <c r="AQ822" t="s">
        <v>74</v>
      </c>
      <c r="AR822" t="s">
        <v>3701</v>
      </c>
      <c r="AS822" t="s">
        <v>3702</v>
      </c>
      <c r="AT822" t="s">
        <v>16261</v>
      </c>
      <c r="AU822">
        <v>2020</v>
      </c>
      <c r="AV822">
        <v>47</v>
      </c>
      <c r="AW822">
        <v>15</v>
      </c>
      <c r="AX822" t="s">
        <v>74</v>
      </c>
      <c r="AY822" t="s">
        <v>74</v>
      </c>
      <c r="AZ822" t="s">
        <v>74</v>
      </c>
      <c r="BA822" t="s">
        <v>74</v>
      </c>
      <c r="BB822" t="s">
        <v>74</v>
      </c>
      <c r="BC822" t="s">
        <v>74</v>
      </c>
      <c r="BD822" t="s">
        <v>16297</v>
      </c>
      <c r="BE822" t="s">
        <v>16298</v>
      </c>
      <c r="BF822" t="str">
        <f>HYPERLINK("http://dx.doi.org/10.1029/2020GL087970","http://dx.doi.org/10.1029/2020GL087970")</f>
        <v>http://dx.doi.org/10.1029/2020GL087970</v>
      </c>
      <c r="BG822" t="s">
        <v>74</v>
      </c>
      <c r="BH822" t="s">
        <v>74</v>
      </c>
      <c r="BI822">
        <v>9</v>
      </c>
      <c r="BJ822" t="s">
        <v>534</v>
      </c>
      <c r="BK822" t="s">
        <v>100</v>
      </c>
      <c r="BL822" t="s">
        <v>535</v>
      </c>
      <c r="BM822" t="s">
        <v>16280</v>
      </c>
      <c r="BN822">
        <v>32999516</v>
      </c>
      <c r="BO822" t="s">
        <v>1894</v>
      </c>
      <c r="BP822" t="s">
        <v>74</v>
      </c>
      <c r="BQ822" t="s">
        <v>74</v>
      </c>
      <c r="BR822" t="s">
        <v>104</v>
      </c>
      <c r="BS822" t="s">
        <v>16299</v>
      </c>
      <c r="BT822" t="str">
        <f>HYPERLINK("https%3A%2F%2Fwww.webofscience.com%2Fwos%2Fwoscc%2Ffull-record%2FWOS:000560376100011","View Full Record in Web of Science")</f>
        <v>View Full Record in Web of Science</v>
      </c>
    </row>
    <row r="823" spans="1:72" x14ac:dyDescent="0.15">
      <c r="A823" t="s">
        <v>72</v>
      </c>
      <c r="B823" t="s">
        <v>16300</v>
      </c>
      <c r="C823" t="s">
        <v>74</v>
      </c>
      <c r="D823" t="s">
        <v>74</v>
      </c>
      <c r="E823" t="s">
        <v>74</v>
      </c>
      <c r="F823" t="s">
        <v>16301</v>
      </c>
      <c r="G823" t="s">
        <v>74</v>
      </c>
      <c r="H823" t="s">
        <v>74</v>
      </c>
      <c r="I823" t="s">
        <v>16302</v>
      </c>
      <c r="J823" t="s">
        <v>3687</v>
      </c>
      <c r="K823" t="s">
        <v>74</v>
      </c>
      <c r="L823" t="s">
        <v>74</v>
      </c>
      <c r="M823" t="s">
        <v>78</v>
      </c>
      <c r="N823" t="s">
        <v>79</v>
      </c>
      <c r="O823" t="s">
        <v>74</v>
      </c>
      <c r="P823" t="s">
        <v>74</v>
      </c>
      <c r="Q823" t="s">
        <v>74</v>
      </c>
      <c r="R823" t="s">
        <v>74</v>
      </c>
      <c r="S823" t="s">
        <v>74</v>
      </c>
      <c r="T823" t="s">
        <v>16303</v>
      </c>
      <c r="U823" t="s">
        <v>16304</v>
      </c>
      <c r="V823" t="s">
        <v>16305</v>
      </c>
      <c r="W823" t="s">
        <v>16306</v>
      </c>
      <c r="X823" t="s">
        <v>16307</v>
      </c>
      <c r="Y823" t="s">
        <v>16308</v>
      </c>
      <c r="Z823" t="s">
        <v>16309</v>
      </c>
      <c r="AA823" t="s">
        <v>16310</v>
      </c>
      <c r="AB823" t="s">
        <v>16311</v>
      </c>
      <c r="AC823" t="s">
        <v>16312</v>
      </c>
      <c r="AD823" t="s">
        <v>16313</v>
      </c>
      <c r="AE823" t="s">
        <v>16314</v>
      </c>
      <c r="AF823" t="s">
        <v>74</v>
      </c>
      <c r="AG823">
        <v>38</v>
      </c>
      <c r="AH823">
        <v>6</v>
      </c>
      <c r="AI823">
        <v>7</v>
      </c>
      <c r="AJ823">
        <v>0</v>
      </c>
      <c r="AK823">
        <v>3</v>
      </c>
      <c r="AL823" t="s">
        <v>1710</v>
      </c>
      <c r="AM823" t="s">
        <v>609</v>
      </c>
      <c r="AN823" t="s">
        <v>1711</v>
      </c>
      <c r="AO823" t="s">
        <v>3699</v>
      </c>
      <c r="AP823" t="s">
        <v>3700</v>
      </c>
      <c r="AQ823" t="s">
        <v>74</v>
      </c>
      <c r="AR823" t="s">
        <v>3701</v>
      </c>
      <c r="AS823" t="s">
        <v>3702</v>
      </c>
      <c r="AT823" t="s">
        <v>16261</v>
      </c>
      <c r="AU823">
        <v>2020</v>
      </c>
      <c r="AV823">
        <v>47</v>
      </c>
      <c r="AW823">
        <v>15</v>
      </c>
      <c r="AX823" t="s">
        <v>74</v>
      </c>
      <c r="AY823" t="s">
        <v>74</v>
      </c>
      <c r="AZ823" t="s">
        <v>74</v>
      </c>
      <c r="BA823" t="s">
        <v>74</v>
      </c>
      <c r="BB823" t="s">
        <v>74</v>
      </c>
      <c r="BC823" t="s">
        <v>74</v>
      </c>
      <c r="BD823" t="s">
        <v>16315</v>
      </c>
      <c r="BE823" t="s">
        <v>16316</v>
      </c>
      <c r="BF823" t="str">
        <f>HYPERLINK("http://dx.doi.org/10.1029/2020GL089000","http://dx.doi.org/10.1029/2020GL089000")</f>
        <v>http://dx.doi.org/10.1029/2020GL089000</v>
      </c>
      <c r="BG823" t="s">
        <v>74</v>
      </c>
      <c r="BH823" t="s">
        <v>74</v>
      </c>
      <c r="BI823">
        <v>11</v>
      </c>
      <c r="BJ823" t="s">
        <v>534</v>
      </c>
      <c r="BK823" t="s">
        <v>100</v>
      </c>
      <c r="BL823" t="s">
        <v>535</v>
      </c>
      <c r="BM823" t="s">
        <v>16280</v>
      </c>
      <c r="BN823" t="s">
        <v>74</v>
      </c>
      <c r="BO823" t="s">
        <v>775</v>
      </c>
      <c r="BP823" t="s">
        <v>74</v>
      </c>
      <c r="BQ823" t="s">
        <v>74</v>
      </c>
      <c r="BR823" t="s">
        <v>104</v>
      </c>
      <c r="BS823" t="s">
        <v>16317</v>
      </c>
      <c r="BT823" t="str">
        <f>HYPERLINK("https%3A%2F%2Fwww.webofscience.com%2Fwos%2Fwoscc%2Ffull-record%2FWOS:000560376100088","View Full Record in Web of Science")</f>
        <v>View Full Record in Web of Science</v>
      </c>
    </row>
    <row r="824" spans="1:72" x14ac:dyDescent="0.15">
      <c r="A824" t="s">
        <v>72</v>
      </c>
      <c r="B824" t="s">
        <v>16318</v>
      </c>
      <c r="C824" t="s">
        <v>74</v>
      </c>
      <c r="D824" t="s">
        <v>74</v>
      </c>
      <c r="E824" t="s">
        <v>74</v>
      </c>
      <c r="F824" t="s">
        <v>16319</v>
      </c>
      <c r="G824" t="s">
        <v>74</v>
      </c>
      <c r="H824" t="s">
        <v>74</v>
      </c>
      <c r="I824" t="s">
        <v>16320</v>
      </c>
      <c r="J824" t="s">
        <v>3687</v>
      </c>
      <c r="K824" t="s">
        <v>74</v>
      </c>
      <c r="L824" t="s">
        <v>74</v>
      </c>
      <c r="M824" t="s">
        <v>78</v>
      </c>
      <c r="N824" t="s">
        <v>79</v>
      </c>
      <c r="O824" t="s">
        <v>74</v>
      </c>
      <c r="P824" t="s">
        <v>74</v>
      </c>
      <c r="Q824" t="s">
        <v>74</v>
      </c>
      <c r="R824" t="s">
        <v>74</v>
      </c>
      <c r="S824" t="s">
        <v>74</v>
      </c>
      <c r="T824" t="s">
        <v>16321</v>
      </c>
      <c r="U824" t="s">
        <v>16322</v>
      </c>
      <c r="V824" t="s">
        <v>16323</v>
      </c>
      <c r="W824" t="s">
        <v>16324</v>
      </c>
      <c r="X824" t="s">
        <v>16325</v>
      </c>
      <c r="Y824" t="s">
        <v>16326</v>
      </c>
      <c r="Z824" t="s">
        <v>16327</v>
      </c>
      <c r="AA824" t="s">
        <v>16328</v>
      </c>
      <c r="AB824" t="s">
        <v>16329</v>
      </c>
      <c r="AC824" t="s">
        <v>16330</v>
      </c>
      <c r="AD824" t="s">
        <v>16331</v>
      </c>
      <c r="AE824" t="s">
        <v>16332</v>
      </c>
      <c r="AF824" t="s">
        <v>74</v>
      </c>
      <c r="AG824">
        <v>58</v>
      </c>
      <c r="AH824">
        <v>7</v>
      </c>
      <c r="AI824">
        <v>9</v>
      </c>
      <c r="AJ824">
        <v>2</v>
      </c>
      <c r="AK824">
        <v>21</v>
      </c>
      <c r="AL824" t="s">
        <v>1710</v>
      </c>
      <c r="AM824" t="s">
        <v>609</v>
      </c>
      <c r="AN824" t="s">
        <v>1711</v>
      </c>
      <c r="AO824" t="s">
        <v>3699</v>
      </c>
      <c r="AP824" t="s">
        <v>3700</v>
      </c>
      <c r="AQ824" t="s">
        <v>74</v>
      </c>
      <c r="AR824" t="s">
        <v>3701</v>
      </c>
      <c r="AS824" t="s">
        <v>3702</v>
      </c>
      <c r="AT824" t="s">
        <v>16261</v>
      </c>
      <c r="AU824">
        <v>2020</v>
      </c>
      <c r="AV824">
        <v>47</v>
      </c>
      <c r="AW824">
        <v>15</v>
      </c>
      <c r="AX824" t="s">
        <v>74</v>
      </c>
      <c r="AY824" t="s">
        <v>74</v>
      </c>
      <c r="AZ824" t="s">
        <v>74</v>
      </c>
      <c r="BA824" t="s">
        <v>74</v>
      </c>
      <c r="BB824" t="s">
        <v>74</v>
      </c>
      <c r="BC824" t="s">
        <v>74</v>
      </c>
      <c r="BD824" t="s">
        <v>16333</v>
      </c>
      <c r="BE824" t="s">
        <v>16334</v>
      </c>
      <c r="BF824" t="str">
        <f>HYPERLINK("http://dx.doi.org/10.1029/2020GL088466","http://dx.doi.org/10.1029/2020GL088466")</f>
        <v>http://dx.doi.org/10.1029/2020GL088466</v>
      </c>
      <c r="BG824" t="s">
        <v>74</v>
      </c>
      <c r="BH824" t="s">
        <v>74</v>
      </c>
      <c r="BI824">
        <v>10</v>
      </c>
      <c r="BJ824" t="s">
        <v>534</v>
      </c>
      <c r="BK824" t="s">
        <v>100</v>
      </c>
      <c r="BL824" t="s">
        <v>535</v>
      </c>
      <c r="BM824" t="s">
        <v>16280</v>
      </c>
      <c r="BN824" t="s">
        <v>74</v>
      </c>
      <c r="BO824" t="s">
        <v>74</v>
      </c>
      <c r="BP824" t="s">
        <v>74</v>
      </c>
      <c r="BQ824" t="s">
        <v>74</v>
      </c>
      <c r="BR824" t="s">
        <v>104</v>
      </c>
      <c r="BS824" t="s">
        <v>16335</v>
      </c>
      <c r="BT824" t="str">
        <f>HYPERLINK("https%3A%2F%2Fwww.webofscience.com%2Fwos%2Fwoscc%2Ffull-record%2FWOS:000560376100062","View Full Record in Web of Science")</f>
        <v>View Full Record in Web of Science</v>
      </c>
    </row>
    <row r="825" spans="1:72" x14ac:dyDescent="0.15">
      <c r="A825" t="s">
        <v>72</v>
      </c>
      <c r="B825" t="s">
        <v>16336</v>
      </c>
      <c r="C825" t="s">
        <v>74</v>
      </c>
      <c r="D825" t="s">
        <v>74</v>
      </c>
      <c r="E825" t="s">
        <v>74</v>
      </c>
      <c r="F825" t="s">
        <v>16337</v>
      </c>
      <c r="G825" t="s">
        <v>74</v>
      </c>
      <c r="H825" t="s">
        <v>74</v>
      </c>
      <c r="I825" t="s">
        <v>16338</v>
      </c>
      <c r="J825" t="s">
        <v>3687</v>
      </c>
      <c r="K825" t="s">
        <v>74</v>
      </c>
      <c r="L825" t="s">
        <v>74</v>
      </c>
      <c r="M825" t="s">
        <v>78</v>
      </c>
      <c r="N825" t="s">
        <v>79</v>
      </c>
      <c r="O825" t="s">
        <v>74</v>
      </c>
      <c r="P825" t="s">
        <v>74</v>
      </c>
      <c r="Q825" t="s">
        <v>74</v>
      </c>
      <c r="R825" t="s">
        <v>74</v>
      </c>
      <c r="S825" t="s">
        <v>74</v>
      </c>
      <c r="T825" t="s">
        <v>16339</v>
      </c>
      <c r="U825" t="s">
        <v>16340</v>
      </c>
      <c r="V825" t="s">
        <v>16341</v>
      </c>
      <c r="W825" t="s">
        <v>16342</v>
      </c>
      <c r="X825" t="s">
        <v>16343</v>
      </c>
      <c r="Y825" t="s">
        <v>16344</v>
      </c>
      <c r="Z825" t="s">
        <v>16345</v>
      </c>
      <c r="AA825" t="s">
        <v>12626</v>
      </c>
      <c r="AB825" t="s">
        <v>16346</v>
      </c>
      <c r="AC825" t="s">
        <v>16347</v>
      </c>
      <c r="AD825" t="s">
        <v>16348</v>
      </c>
      <c r="AE825" t="s">
        <v>16349</v>
      </c>
      <c r="AF825" t="s">
        <v>74</v>
      </c>
      <c r="AG825">
        <v>53</v>
      </c>
      <c r="AH825">
        <v>6</v>
      </c>
      <c r="AI825">
        <v>8</v>
      </c>
      <c r="AJ825">
        <v>3</v>
      </c>
      <c r="AK825">
        <v>28</v>
      </c>
      <c r="AL825" t="s">
        <v>1710</v>
      </c>
      <c r="AM825" t="s">
        <v>609</v>
      </c>
      <c r="AN825" t="s">
        <v>1711</v>
      </c>
      <c r="AO825" t="s">
        <v>3699</v>
      </c>
      <c r="AP825" t="s">
        <v>3700</v>
      </c>
      <c r="AQ825" t="s">
        <v>74</v>
      </c>
      <c r="AR825" t="s">
        <v>3701</v>
      </c>
      <c r="AS825" t="s">
        <v>3702</v>
      </c>
      <c r="AT825" t="s">
        <v>16261</v>
      </c>
      <c r="AU825">
        <v>2020</v>
      </c>
      <c r="AV825">
        <v>47</v>
      </c>
      <c r="AW825">
        <v>15</v>
      </c>
      <c r="AX825" t="s">
        <v>74</v>
      </c>
      <c r="AY825" t="s">
        <v>74</v>
      </c>
      <c r="AZ825" t="s">
        <v>74</v>
      </c>
      <c r="BA825" t="s">
        <v>74</v>
      </c>
      <c r="BB825" t="s">
        <v>74</v>
      </c>
      <c r="BC825" t="s">
        <v>74</v>
      </c>
      <c r="BD825" t="s">
        <v>16350</v>
      </c>
      <c r="BE825" t="s">
        <v>16351</v>
      </c>
      <c r="BF825" t="str">
        <f>HYPERLINK("http://dx.doi.org/10.1029/2020GL088627","http://dx.doi.org/10.1029/2020GL088627")</f>
        <v>http://dx.doi.org/10.1029/2020GL088627</v>
      </c>
      <c r="BG825" t="s">
        <v>74</v>
      </c>
      <c r="BH825" t="s">
        <v>74</v>
      </c>
      <c r="BI825">
        <v>11</v>
      </c>
      <c r="BJ825" t="s">
        <v>534</v>
      </c>
      <c r="BK825" t="s">
        <v>100</v>
      </c>
      <c r="BL825" t="s">
        <v>535</v>
      </c>
      <c r="BM825" t="s">
        <v>16280</v>
      </c>
      <c r="BN825" t="s">
        <v>74</v>
      </c>
      <c r="BO825" t="s">
        <v>1259</v>
      </c>
      <c r="BP825" t="s">
        <v>74</v>
      </c>
      <c r="BQ825" t="s">
        <v>74</v>
      </c>
      <c r="BR825" t="s">
        <v>104</v>
      </c>
      <c r="BS825" t="s">
        <v>16352</v>
      </c>
      <c r="BT825" t="str">
        <f>HYPERLINK("https%3A%2F%2Fwww.webofscience.com%2Fwos%2Fwoscc%2Ffull-record%2FWOS:000560376100041","View Full Record in Web of Science")</f>
        <v>View Full Record in Web of Science</v>
      </c>
    </row>
    <row r="826" spans="1:72" x14ac:dyDescent="0.15">
      <c r="A826" t="s">
        <v>72</v>
      </c>
      <c r="B826" t="s">
        <v>16353</v>
      </c>
      <c r="C826" t="s">
        <v>74</v>
      </c>
      <c r="D826" t="s">
        <v>74</v>
      </c>
      <c r="E826" t="s">
        <v>74</v>
      </c>
      <c r="F826" t="s">
        <v>16354</v>
      </c>
      <c r="G826" t="s">
        <v>74</v>
      </c>
      <c r="H826" t="s">
        <v>74</v>
      </c>
      <c r="I826" t="s">
        <v>16355</v>
      </c>
      <c r="J826" t="s">
        <v>3687</v>
      </c>
      <c r="K826" t="s">
        <v>74</v>
      </c>
      <c r="L826" t="s">
        <v>74</v>
      </c>
      <c r="M826" t="s">
        <v>78</v>
      </c>
      <c r="N826" t="s">
        <v>79</v>
      </c>
      <c r="O826" t="s">
        <v>74</v>
      </c>
      <c r="P826" t="s">
        <v>74</v>
      </c>
      <c r="Q826" t="s">
        <v>74</v>
      </c>
      <c r="R826" t="s">
        <v>74</v>
      </c>
      <c r="S826" t="s">
        <v>74</v>
      </c>
      <c r="T826" t="s">
        <v>16356</v>
      </c>
      <c r="U826" t="s">
        <v>16357</v>
      </c>
      <c r="V826" t="s">
        <v>16358</v>
      </c>
      <c r="W826" t="s">
        <v>16359</v>
      </c>
      <c r="X826" t="s">
        <v>16360</v>
      </c>
      <c r="Y826" t="s">
        <v>16361</v>
      </c>
      <c r="Z826" t="s">
        <v>16362</v>
      </c>
      <c r="AA826" t="s">
        <v>16363</v>
      </c>
      <c r="AB826" t="s">
        <v>16364</v>
      </c>
      <c r="AC826" t="s">
        <v>16365</v>
      </c>
      <c r="AD826" t="s">
        <v>16366</v>
      </c>
      <c r="AE826" t="s">
        <v>16367</v>
      </c>
      <c r="AF826" t="s">
        <v>74</v>
      </c>
      <c r="AG826">
        <v>60</v>
      </c>
      <c r="AH826">
        <v>26</v>
      </c>
      <c r="AI826">
        <v>27</v>
      </c>
      <c r="AJ826">
        <v>0</v>
      </c>
      <c r="AK826">
        <v>12</v>
      </c>
      <c r="AL826" t="s">
        <v>1710</v>
      </c>
      <c r="AM826" t="s">
        <v>609</v>
      </c>
      <c r="AN826" t="s">
        <v>1711</v>
      </c>
      <c r="AO826" t="s">
        <v>3699</v>
      </c>
      <c r="AP826" t="s">
        <v>3700</v>
      </c>
      <c r="AQ826" t="s">
        <v>74</v>
      </c>
      <c r="AR826" t="s">
        <v>3701</v>
      </c>
      <c r="AS826" t="s">
        <v>3702</v>
      </c>
      <c r="AT826" t="s">
        <v>16261</v>
      </c>
      <c r="AU826">
        <v>2020</v>
      </c>
      <c r="AV826">
        <v>47</v>
      </c>
      <c r="AW826">
        <v>15</v>
      </c>
      <c r="AX826" t="s">
        <v>74</v>
      </c>
      <c r="AY826" t="s">
        <v>74</v>
      </c>
      <c r="AZ826" t="s">
        <v>74</v>
      </c>
      <c r="BA826" t="s">
        <v>74</v>
      </c>
      <c r="BB826" t="s">
        <v>74</v>
      </c>
      <c r="BC826" t="s">
        <v>74</v>
      </c>
      <c r="BD826" t="s">
        <v>16368</v>
      </c>
      <c r="BE826" t="s">
        <v>16369</v>
      </c>
      <c r="BF826" t="str">
        <f>HYPERLINK("http://dx.doi.org/10.1029/2020GL088743","http://dx.doi.org/10.1029/2020GL088743")</f>
        <v>http://dx.doi.org/10.1029/2020GL088743</v>
      </c>
      <c r="BG826" t="s">
        <v>74</v>
      </c>
      <c r="BH826" t="s">
        <v>74</v>
      </c>
      <c r="BI826">
        <v>9</v>
      </c>
      <c r="BJ826" t="s">
        <v>534</v>
      </c>
      <c r="BK826" t="s">
        <v>100</v>
      </c>
      <c r="BL826" t="s">
        <v>535</v>
      </c>
      <c r="BM826" t="s">
        <v>16280</v>
      </c>
      <c r="BN826" t="s">
        <v>74</v>
      </c>
      <c r="BO826" t="s">
        <v>74</v>
      </c>
      <c r="BP826" t="s">
        <v>74</v>
      </c>
      <c r="BQ826" t="s">
        <v>74</v>
      </c>
      <c r="BR826" t="s">
        <v>104</v>
      </c>
      <c r="BS826" t="s">
        <v>16370</v>
      </c>
      <c r="BT826" t="str">
        <f>HYPERLINK("https%3A%2F%2Fwww.webofscience.com%2Fwos%2Fwoscc%2Ffull-record%2FWOS:000560376100043","View Full Record in Web of Science")</f>
        <v>View Full Record in Web of Science</v>
      </c>
    </row>
    <row r="827" spans="1:72" x14ac:dyDescent="0.15">
      <c r="A827" t="s">
        <v>72</v>
      </c>
      <c r="B827" t="s">
        <v>16371</v>
      </c>
      <c r="C827" t="s">
        <v>74</v>
      </c>
      <c r="D827" t="s">
        <v>74</v>
      </c>
      <c r="E827" t="s">
        <v>74</v>
      </c>
      <c r="F827" t="s">
        <v>16372</v>
      </c>
      <c r="G827" t="s">
        <v>74</v>
      </c>
      <c r="H827" t="s">
        <v>74</v>
      </c>
      <c r="I827" t="s">
        <v>16373</v>
      </c>
      <c r="J827" t="s">
        <v>3687</v>
      </c>
      <c r="K827" t="s">
        <v>74</v>
      </c>
      <c r="L827" t="s">
        <v>74</v>
      </c>
      <c r="M827" t="s">
        <v>78</v>
      </c>
      <c r="N827" t="s">
        <v>79</v>
      </c>
      <c r="O827" t="s">
        <v>74</v>
      </c>
      <c r="P827" t="s">
        <v>74</v>
      </c>
      <c r="Q827" t="s">
        <v>74</v>
      </c>
      <c r="R827" t="s">
        <v>74</v>
      </c>
      <c r="S827" t="s">
        <v>74</v>
      </c>
      <c r="T827" t="s">
        <v>74</v>
      </c>
      <c r="U827" t="s">
        <v>16374</v>
      </c>
      <c r="V827" t="s">
        <v>16375</v>
      </c>
      <c r="W827" t="s">
        <v>16376</v>
      </c>
      <c r="X827" t="s">
        <v>16377</v>
      </c>
      <c r="Y827" t="s">
        <v>16378</v>
      </c>
      <c r="Z827" t="s">
        <v>16379</v>
      </c>
      <c r="AA827" t="s">
        <v>16380</v>
      </c>
      <c r="AB827" t="s">
        <v>16381</v>
      </c>
      <c r="AC827" t="s">
        <v>16382</v>
      </c>
      <c r="AD827" t="s">
        <v>16383</v>
      </c>
      <c r="AE827" t="s">
        <v>16384</v>
      </c>
      <c r="AF827" t="s">
        <v>74</v>
      </c>
      <c r="AG827">
        <v>86</v>
      </c>
      <c r="AH827">
        <v>28</v>
      </c>
      <c r="AI827">
        <v>33</v>
      </c>
      <c r="AJ827">
        <v>1</v>
      </c>
      <c r="AK827">
        <v>13</v>
      </c>
      <c r="AL827" t="s">
        <v>1710</v>
      </c>
      <c r="AM827" t="s">
        <v>609</v>
      </c>
      <c r="AN827" t="s">
        <v>1711</v>
      </c>
      <c r="AO827" t="s">
        <v>3699</v>
      </c>
      <c r="AP827" t="s">
        <v>3700</v>
      </c>
      <c r="AQ827" t="s">
        <v>74</v>
      </c>
      <c r="AR827" t="s">
        <v>3701</v>
      </c>
      <c r="AS827" t="s">
        <v>3702</v>
      </c>
      <c r="AT827" t="s">
        <v>16261</v>
      </c>
      <c r="AU827">
        <v>2020</v>
      </c>
      <c r="AV827">
        <v>47</v>
      </c>
      <c r="AW827">
        <v>15</v>
      </c>
      <c r="AX827" t="s">
        <v>74</v>
      </c>
      <c r="AY827" t="s">
        <v>74</v>
      </c>
      <c r="AZ827" t="s">
        <v>74</v>
      </c>
      <c r="BA827" t="s">
        <v>74</v>
      </c>
      <c r="BB827" t="s">
        <v>74</v>
      </c>
      <c r="BC827" t="s">
        <v>74</v>
      </c>
      <c r="BD827" t="s">
        <v>16385</v>
      </c>
      <c r="BE827" t="s">
        <v>16386</v>
      </c>
      <c r="BF827" t="str">
        <f>HYPERLINK("http://dx.doi.org/10.1029/2020GL088476","http://dx.doi.org/10.1029/2020GL088476")</f>
        <v>http://dx.doi.org/10.1029/2020GL088476</v>
      </c>
      <c r="BG827" t="s">
        <v>74</v>
      </c>
      <c r="BH827" t="s">
        <v>74</v>
      </c>
      <c r="BI827">
        <v>11</v>
      </c>
      <c r="BJ827" t="s">
        <v>534</v>
      </c>
      <c r="BK827" t="s">
        <v>100</v>
      </c>
      <c r="BL827" t="s">
        <v>535</v>
      </c>
      <c r="BM827" t="s">
        <v>16280</v>
      </c>
      <c r="BN827" t="s">
        <v>74</v>
      </c>
      <c r="BO827" t="s">
        <v>1259</v>
      </c>
      <c r="BP827" t="s">
        <v>74</v>
      </c>
      <c r="BQ827" t="s">
        <v>74</v>
      </c>
      <c r="BR827" t="s">
        <v>104</v>
      </c>
      <c r="BS827" t="s">
        <v>16387</v>
      </c>
      <c r="BT827" t="str">
        <f>HYPERLINK("https%3A%2F%2Fwww.webofscience.com%2Fwos%2Fwoscc%2Ffull-record%2FWOS:000560376100083","View Full Record in Web of Science")</f>
        <v>View Full Record in Web of Science</v>
      </c>
    </row>
    <row r="828" spans="1:72" x14ac:dyDescent="0.15">
      <c r="A828" t="s">
        <v>72</v>
      </c>
      <c r="B828" t="s">
        <v>16388</v>
      </c>
      <c r="C828" t="s">
        <v>74</v>
      </c>
      <c r="D828" t="s">
        <v>74</v>
      </c>
      <c r="E828" t="s">
        <v>74</v>
      </c>
      <c r="F828" t="s">
        <v>16389</v>
      </c>
      <c r="G828" t="s">
        <v>74</v>
      </c>
      <c r="H828" t="s">
        <v>74</v>
      </c>
      <c r="I828" t="s">
        <v>16390</v>
      </c>
      <c r="J828" t="s">
        <v>3687</v>
      </c>
      <c r="K828" t="s">
        <v>74</v>
      </c>
      <c r="L828" t="s">
        <v>74</v>
      </c>
      <c r="M828" t="s">
        <v>78</v>
      </c>
      <c r="N828" t="s">
        <v>79</v>
      </c>
      <c r="O828" t="s">
        <v>74</v>
      </c>
      <c r="P828" t="s">
        <v>74</v>
      </c>
      <c r="Q828" t="s">
        <v>74</v>
      </c>
      <c r="R828" t="s">
        <v>74</v>
      </c>
      <c r="S828" t="s">
        <v>74</v>
      </c>
      <c r="T828" t="s">
        <v>16391</v>
      </c>
      <c r="U828" t="s">
        <v>16392</v>
      </c>
      <c r="V828" t="s">
        <v>16393</v>
      </c>
      <c r="W828" t="s">
        <v>16394</v>
      </c>
      <c r="X828" t="s">
        <v>16395</v>
      </c>
      <c r="Y828" t="s">
        <v>16396</v>
      </c>
      <c r="Z828" t="s">
        <v>16397</v>
      </c>
      <c r="AA828" t="s">
        <v>16398</v>
      </c>
      <c r="AB828" t="s">
        <v>16399</v>
      </c>
      <c r="AC828" t="s">
        <v>16400</v>
      </c>
      <c r="AD828" t="s">
        <v>16401</v>
      </c>
      <c r="AE828" t="s">
        <v>16402</v>
      </c>
      <c r="AF828" t="s">
        <v>74</v>
      </c>
      <c r="AG828">
        <v>48</v>
      </c>
      <c r="AH828">
        <v>1</v>
      </c>
      <c r="AI828">
        <v>2</v>
      </c>
      <c r="AJ828">
        <v>3</v>
      </c>
      <c r="AK828">
        <v>34</v>
      </c>
      <c r="AL828" t="s">
        <v>1710</v>
      </c>
      <c r="AM828" t="s">
        <v>609</v>
      </c>
      <c r="AN828" t="s">
        <v>1711</v>
      </c>
      <c r="AO828" t="s">
        <v>3699</v>
      </c>
      <c r="AP828" t="s">
        <v>3700</v>
      </c>
      <c r="AQ828" t="s">
        <v>74</v>
      </c>
      <c r="AR828" t="s">
        <v>3701</v>
      </c>
      <c r="AS828" t="s">
        <v>3702</v>
      </c>
      <c r="AT828" t="s">
        <v>16261</v>
      </c>
      <c r="AU828">
        <v>2020</v>
      </c>
      <c r="AV828">
        <v>47</v>
      </c>
      <c r="AW828">
        <v>15</v>
      </c>
      <c r="AX828" t="s">
        <v>74</v>
      </c>
      <c r="AY828" t="s">
        <v>74</v>
      </c>
      <c r="AZ828" t="s">
        <v>74</v>
      </c>
      <c r="BA828" t="s">
        <v>74</v>
      </c>
      <c r="BB828" t="s">
        <v>74</v>
      </c>
      <c r="BC828" t="s">
        <v>74</v>
      </c>
      <c r="BD828" t="s">
        <v>16403</v>
      </c>
      <c r="BE828" t="s">
        <v>16404</v>
      </c>
      <c r="BF828" t="str">
        <f>HYPERLINK("http://dx.doi.org/10.1029/2020GL088886","http://dx.doi.org/10.1029/2020GL088886")</f>
        <v>http://dx.doi.org/10.1029/2020GL088886</v>
      </c>
      <c r="BG828" t="s">
        <v>74</v>
      </c>
      <c r="BH828" t="s">
        <v>74</v>
      </c>
      <c r="BI828">
        <v>9</v>
      </c>
      <c r="BJ828" t="s">
        <v>534</v>
      </c>
      <c r="BK828" t="s">
        <v>100</v>
      </c>
      <c r="BL828" t="s">
        <v>535</v>
      </c>
      <c r="BM828" t="s">
        <v>16280</v>
      </c>
      <c r="BN828" t="s">
        <v>74</v>
      </c>
      <c r="BO828" t="s">
        <v>74</v>
      </c>
      <c r="BP828" t="s">
        <v>74</v>
      </c>
      <c r="BQ828" t="s">
        <v>74</v>
      </c>
      <c r="BR828" t="s">
        <v>104</v>
      </c>
      <c r="BS828" t="s">
        <v>16405</v>
      </c>
      <c r="BT828" t="str">
        <f>HYPERLINK("https%3A%2F%2Fwww.webofscience.com%2Fwos%2Fwoscc%2Ffull-record%2FWOS:000560376100109","View Full Record in Web of Science")</f>
        <v>View Full Record in Web of Science</v>
      </c>
    </row>
    <row r="829" spans="1:72" x14ac:dyDescent="0.15">
      <c r="A829" t="s">
        <v>72</v>
      </c>
      <c r="B829" t="s">
        <v>16406</v>
      </c>
      <c r="C829" t="s">
        <v>74</v>
      </c>
      <c r="D829" t="s">
        <v>74</v>
      </c>
      <c r="E829" t="s">
        <v>74</v>
      </c>
      <c r="F829" t="s">
        <v>16407</v>
      </c>
      <c r="G829" t="s">
        <v>74</v>
      </c>
      <c r="H829" t="s">
        <v>74</v>
      </c>
      <c r="I829" t="s">
        <v>16408</v>
      </c>
      <c r="J829" t="s">
        <v>16409</v>
      </c>
      <c r="K829" t="s">
        <v>74</v>
      </c>
      <c r="L829" t="s">
        <v>74</v>
      </c>
      <c r="M829" t="s">
        <v>78</v>
      </c>
      <c r="N829" t="s">
        <v>79</v>
      </c>
      <c r="O829" t="s">
        <v>74</v>
      </c>
      <c r="P829" t="s">
        <v>74</v>
      </c>
      <c r="Q829" t="s">
        <v>74</v>
      </c>
      <c r="R829" t="s">
        <v>74</v>
      </c>
      <c r="S829" t="s">
        <v>74</v>
      </c>
      <c r="T829" t="s">
        <v>16410</v>
      </c>
      <c r="U829" t="s">
        <v>16411</v>
      </c>
      <c r="V829" t="s">
        <v>16412</v>
      </c>
      <c r="W829" t="s">
        <v>16413</v>
      </c>
      <c r="X829" t="s">
        <v>16414</v>
      </c>
      <c r="Y829" t="s">
        <v>16415</v>
      </c>
      <c r="Z829" t="s">
        <v>16416</v>
      </c>
      <c r="AA829" t="s">
        <v>16417</v>
      </c>
      <c r="AB829" t="s">
        <v>16418</v>
      </c>
      <c r="AC829" t="s">
        <v>16419</v>
      </c>
      <c r="AD829" t="s">
        <v>9950</v>
      </c>
      <c r="AE829" t="s">
        <v>16420</v>
      </c>
      <c r="AF829" t="s">
        <v>74</v>
      </c>
      <c r="AG829">
        <v>41</v>
      </c>
      <c r="AH829">
        <v>14</v>
      </c>
      <c r="AI829">
        <v>14</v>
      </c>
      <c r="AJ829">
        <v>0</v>
      </c>
      <c r="AK829">
        <v>33</v>
      </c>
      <c r="AL829" t="s">
        <v>275</v>
      </c>
      <c r="AM829" t="s">
        <v>276</v>
      </c>
      <c r="AN829" t="s">
        <v>277</v>
      </c>
      <c r="AO829" t="s">
        <v>16421</v>
      </c>
      <c r="AP829" t="s">
        <v>16422</v>
      </c>
      <c r="AQ829" t="s">
        <v>74</v>
      </c>
      <c r="AR829" t="s">
        <v>16423</v>
      </c>
      <c r="AS829" t="s">
        <v>16424</v>
      </c>
      <c r="AT829" t="s">
        <v>16261</v>
      </c>
      <c r="AU829">
        <v>2020</v>
      </c>
      <c r="AV829">
        <v>1625</v>
      </c>
      <c r="AW829" t="s">
        <v>74</v>
      </c>
      <c r="AX829" t="s">
        <v>74</v>
      </c>
      <c r="AY829" t="s">
        <v>74</v>
      </c>
      <c r="AZ829" t="s">
        <v>74</v>
      </c>
      <c r="BA829" t="s">
        <v>74</v>
      </c>
      <c r="BB829" t="s">
        <v>74</v>
      </c>
      <c r="BC829" t="s">
        <v>74</v>
      </c>
      <c r="BD829">
        <v>461255</v>
      </c>
      <c r="BE829" t="s">
        <v>16425</v>
      </c>
      <c r="BF829" t="str">
        <f>HYPERLINK("http://dx.doi.org/10.1016/j.chroma.2020.461255","http://dx.doi.org/10.1016/j.chroma.2020.461255")</f>
        <v>http://dx.doi.org/10.1016/j.chroma.2020.461255</v>
      </c>
      <c r="BG829" t="s">
        <v>74</v>
      </c>
      <c r="BH829" t="s">
        <v>74</v>
      </c>
      <c r="BI829">
        <v>8</v>
      </c>
      <c r="BJ829" t="s">
        <v>15962</v>
      </c>
      <c r="BK829" t="s">
        <v>100</v>
      </c>
      <c r="BL829" t="s">
        <v>2649</v>
      </c>
      <c r="BM829" t="s">
        <v>16426</v>
      </c>
      <c r="BN829">
        <v>32709316</v>
      </c>
      <c r="BO829" t="s">
        <v>74</v>
      </c>
      <c r="BP829" t="s">
        <v>74</v>
      </c>
      <c r="BQ829" t="s">
        <v>74</v>
      </c>
      <c r="BR829" t="s">
        <v>104</v>
      </c>
      <c r="BS829" t="s">
        <v>16427</v>
      </c>
      <c r="BT829" t="str">
        <f>HYPERLINK("https%3A%2F%2Fwww.webofscience.com%2Fwos%2Fwoscc%2Ffull-record%2FWOS:000552017600010","View Full Record in Web of Science")</f>
        <v>View Full Record in Web of Science</v>
      </c>
    </row>
    <row r="830" spans="1:72" x14ac:dyDescent="0.15">
      <c r="A830" t="s">
        <v>72</v>
      </c>
      <c r="B830" t="s">
        <v>16428</v>
      </c>
      <c r="C830" t="s">
        <v>74</v>
      </c>
      <c r="D830" t="s">
        <v>74</v>
      </c>
      <c r="E830" t="s">
        <v>74</v>
      </c>
      <c r="F830" t="s">
        <v>16429</v>
      </c>
      <c r="G830" t="s">
        <v>74</v>
      </c>
      <c r="H830" t="s">
        <v>74</v>
      </c>
      <c r="I830" t="s">
        <v>16430</v>
      </c>
      <c r="J830" t="s">
        <v>16431</v>
      </c>
      <c r="K830" t="s">
        <v>74</v>
      </c>
      <c r="L830" t="s">
        <v>74</v>
      </c>
      <c r="M830" t="s">
        <v>78</v>
      </c>
      <c r="N830" t="s">
        <v>79</v>
      </c>
      <c r="O830" t="s">
        <v>74</v>
      </c>
      <c r="P830" t="s">
        <v>74</v>
      </c>
      <c r="Q830" t="s">
        <v>74</v>
      </c>
      <c r="R830" t="s">
        <v>74</v>
      </c>
      <c r="S830" t="s">
        <v>74</v>
      </c>
      <c r="T830" t="s">
        <v>16432</v>
      </c>
      <c r="U830" t="s">
        <v>16433</v>
      </c>
      <c r="V830" t="s">
        <v>16434</v>
      </c>
      <c r="W830" t="s">
        <v>16435</v>
      </c>
      <c r="X830" t="s">
        <v>16436</v>
      </c>
      <c r="Y830" t="s">
        <v>16437</v>
      </c>
      <c r="Z830" t="s">
        <v>16438</v>
      </c>
      <c r="AA830" t="s">
        <v>16439</v>
      </c>
      <c r="AB830" t="s">
        <v>16440</v>
      </c>
      <c r="AC830" t="s">
        <v>16441</v>
      </c>
      <c r="AD830" t="s">
        <v>16442</v>
      </c>
      <c r="AE830" t="s">
        <v>16443</v>
      </c>
      <c r="AF830" t="s">
        <v>74</v>
      </c>
      <c r="AG830">
        <v>66</v>
      </c>
      <c r="AH830">
        <v>2</v>
      </c>
      <c r="AI830">
        <v>6</v>
      </c>
      <c r="AJ830">
        <v>7</v>
      </c>
      <c r="AK830">
        <v>18</v>
      </c>
      <c r="AL830" t="s">
        <v>1522</v>
      </c>
      <c r="AM830" t="s">
        <v>1407</v>
      </c>
      <c r="AN830" t="s">
        <v>1523</v>
      </c>
      <c r="AO830" t="s">
        <v>16444</v>
      </c>
      <c r="AP830" t="s">
        <v>16445</v>
      </c>
      <c r="AQ830" t="s">
        <v>74</v>
      </c>
      <c r="AR830" t="s">
        <v>16446</v>
      </c>
      <c r="AS830" t="s">
        <v>16447</v>
      </c>
      <c r="AT830" t="s">
        <v>16448</v>
      </c>
      <c r="AU830">
        <v>2020</v>
      </c>
      <c r="AV830">
        <v>283</v>
      </c>
      <c r="AW830" t="s">
        <v>74</v>
      </c>
      <c r="AX830" t="s">
        <v>74</v>
      </c>
      <c r="AY830" t="s">
        <v>74</v>
      </c>
      <c r="AZ830" t="s">
        <v>74</v>
      </c>
      <c r="BA830" t="s">
        <v>74</v>
      </c>
      <c r="BB830">
        <v>54</v>
      </c>
      <c r="BC830">
        <v>66</v>
      </c>
      <c r="BD830" t="s">
        <v>74</v>
      </c>
      <c r="BE830" t="s">
        <v>16449</v>
      </c>
      <c r="BF830" t="str">
        <f>HYPERLINK("http://dx.doi.org/10.1016/j.gca.2020.05.027","http://dx.doi.org/10.1016/j.gca.2020.05.027")</f>
        <v>http://dx.doi.org/10.1016/j.gca.2020.05.027</v>
      </c>
      <c r="BG830" t="s">
        <v>74</v>
      </c>
      <c r="BH830" t="s">
        <v>74</v>
      </c>
      <c r="BI830">
        <v>13</v>
      </c>
      <c r="BJ830" t="s">
        <v>1361</v>
      </c>
      <c r="BK830" t="s">
        <v>100</v>
      </c>
      <c r="BL830" t="s">
        <v>1361</v>
      </c>
      <c r="BM830" t="s">
        <v>16450</v>
      </c>
      <c r="BN830" t="s">
        <v>74</v>
      </c>
      <c r="BO830" t="s">
        <v>2628</v>
      </c>
      <c r="BP830" t="s">
        <v>74</v>
      </c>
      <c r="BQ830" t="s">
        <v>74</v>
      </c>
      <c r="BR830" t="s">
        <v>104</v>
      </c>
      <c r="BS830" t="s">
        <v>16451</v>
      </c>
      <c r="BT830" t="str">
        <f>HYPERLINK("https%3A%2F%2Fwww.webofscience.com%2Fwos%2Fwoscc%2Ffull-record%2FWOS:000546451400004","View Full Record in Web of Science")</f>
        <v>View Full Record in Web of Science</v>
      </c>
    </row>
    <row r="831" spans="1:72" x14ac:dyDescent="0.15">
      <c r="A831" t="s">
        <v>72</v>
      </c>
      <c r="B831" t="s">
        <v>16452</v>
      </c>
      <c r="C831" t="s">
        <v>74</v>
      </c>
      <c r="D831" t="s">
        <v>74</v>
      </c>
      <c r="E831" t="s">
        <v>74</v>
      </c>
      <c r="F831" t="s">
        <v>16453</v>
      </c>
      <c r="G831" t="s">
        <v>74</v>
      </c>
      <c r="H831" t="s">
        <v>74</v>
      </c>
      <c r="I831" t="s">
        <v>16454</v>
      </c>
      <c r="J831" t="s">
        <v>16431</v>
      </c>
      <c r="K831" t="s">
        <v>74</v>
      </c>
      <c r="L831" t="s">
        <v>74</v>
      </c>
      <c r="M831" t="s">
        <v>78</v>
      </c>
      <c r="N831" t="s">
        <v>79</v>
      </c>
      <c r="O831" t="s">
        <v>74</v>
      </c>
      <c r="P831" t="s">
        <v>74</v>
      </c>
      <c r="Q831" t="s">
        <v>74</v>
      </c>
      <c r="R831" t="s">
        <v>74</v>
      </c>
      <c r="S831" t="s">
        <v>74</v>
      </c>
      <c r="T831" t="s">
        <v>16455</v>
      </c>
      <c r="U831" t="s">
        <v>16456</v>
      </c>
      <c r="V831" t="s">
        <v>16457</v>
      </c>
      <c r="W831" t="s">
        <v>16458</v>
      </c>
      <c r="X831" t="s">
        <v>16459</v>
      </c>
      <c r="Y831" t="s">
        <v>16460</v>
      </c>
      <c r="Z831" t="s">
        <v>16461</v>
      </c>
      <c r="AA831" t="s">
        <v>16462</v>
      </c>
      <c r="AB831" t="s">
        <v>16463</v>
      </c>
      <c r="AC831" t="s">
        <v>16464</v>
      </c>
      <c r="AD831" t="s">
        <v>16465</v>
      </c>
      <c r="AE831" t="s">
        <v>16466</v>
      </c>
      <c r="AF831" t="s">
        <v>74</v>
      </c>
      <c r="AG831">
        <v>78</v>
      </c>
      <c r="AH831">
        <v>7</v>
      </c>
      <c r="AI831">
        <v>10</v>
      </c>
      <c r="AJ831">
        <v>1</v>
      </c>
      <c r="AK831">
        <v>9</v>
      </c>
      <c r="AL831" t="s">
        <v>1522</v>
      </c>
      <c r="AM831" t="s">
        <v>1407</v>
      </c>
      <c r="AN831" t="s">
        <v>1523</v>
      </c>
      <c r="AO831" t="s">
        <v>16444</v>
      </c>
      <c r="AP831" t="s">
        <v>16445</v>
      </c>
      <c r="AQ831" t="s">
        <v>74</v>
      </c>
      <c r="AR831" t="s">
        <v>16446</v>
      </c>
      <c r="AS831" t="s">
        <v>16447</v>
      </c>
      <c r="AT831" t="s">
        <v>16448</v>
      </c>
      <c r="AU831">
        <v>2020</v>
      </c>
      <c r="AV831">
        <v>283</v>
      </c>
      <c r="AW831" t="s">
        <v>74</v>
      </c>
      <c r="AX831" t="s">
        <v>74</v>
      </c>
      <c r="AY831" t="s">
        <v>74</v>
      </c>
      <c r="AZ831" t="s">
        <v>74</v>
      </c>
      <c r="BA831" t="s">
        <v>74</v>
      </c>
      <c r="BB831">
        <v>149</v>
      </c>
      <c r="BC831">
        <v>166</v>
      </c>
      <c r="BD831" t="s">
        <v>74</v>
      </c>
      <c r="BE831" t="s">
        <v>16467</v>
      </c>
      <c r="BF831" t="str">
        <f>HYPERLINK("http://dx.doi.org/10.1016/j.gca.2020.06.005","http://dx.doi.org/10.1016/j.gca.2020.06.005")</f>
        <v>http://dx.doi.org/10.1016/j.gca.2020.06.005</v>
      </c>
      <c r="BG831" t="s">
        <v>74</v>
      </c>
      <c r="BH831" t="s">
        <v>74</v>
      </c>
      <c r="BI831">
        <v>18</v>
      </c>
      <c r="BJ831" t="s">
        <v>1361</v>
      </c>
      <c r="BK831" t="s">
        <v>100</v>
      </c>
      <c r="BL831" t="s">
        <v>1361</v>
      </c>
      <c r="BM831" t="s">
        <v>16450</v>
      </c>
      <c r="BN831" t="s">
        <v>74</v>
      </c>
      <c r="BO831" t="s">
        <v>618</v>
      </c>
      <c r="BP831" t="s">
        <v>74</v>
      </c>
      <c r="BQ831" t="s">
        <v>74</v>
      </c>
      <c r="BR831" t="s">
        <v>104</v>
      </c>
      <c r="BS831" t="s">
        <v>16468</v>
      </c>
      <c r="BT831" t="str">
        <f>HYPERLINK("https%3A%2F%2Fwww.webofscience.com%2Fwos%2Fwoscc%2Ffull-record%2FWOS:000546451400010","View Full Record in Web of Science")</f>
        <v>View Full Record in Web of Science</v>
      </c>
    </row>
    <row r="832" spans="1:72" x14ac:dyDescent="0.15">
      <c r="A832" t="s">
        <v>72</v>
      </c>
      <c r="B832" t="s">
        <v>16469</v>
      </c>
      <c r="C832" t="s">
        <v>74</v>
      </c>
      <c r="D832" t="s">
        <v>74</v>
      </c>
      <c r="E832" t="s">
        <v>74</v>
      </c>
      <c r="F832" t="s">
        <v>16470</v>
      </c>
      <c r="G832" t="s">
        <v>74</v>
      </c>
      <c r="H832" t="s">
        <v>74</v>
      </c>
      <c r="I832" t="s">
        <v>16471</v>
      </c>
      <c r="J832" t="s">
        <v>3351</v>
      </c>
      <c r="K832" t="s">
        <v>74</v>
      </c>
      <c r="L832" t="s">
        <v>74</v>
      </c>
      <c r="M832" t="s">
        <v>78</v>
      </c>
      <c r="N832" t="s">
        <v>79</v>
      </c>
      <c r="O832" t="s">
        <v>74</v>
      </c>
      <c r="P832" t="s">
        <v>74</v>
      </c>
      <c r="Q832" t="s">
        <v>74</v>
      </c>
      <c r="R832" t="s">
        <v>74</v>
      </c>
      <c r="S832" t="s">
        <v>74</v>
      </c>
      <c r="T832" t="s">
        <v>16472</v>
      </c>
      <c r="U832" t="s">
        <v>16473</v>
      </c>
      <c r="V832" t="s">
        <v>16474</v>
      </c>
      <c r="W832" t="s">
        <v>16475</v>
      </c>
      <c r="X832" t="s">
        <v>16476</v>
      </c>
      <c r="Y832" t="s">
        <v>16477</v>
      </c>
      <c r="Z832" t="s">
        <v>16478</v>
      </c>
      <c r="AA832" t="s">
        <v>74</v>
      </c>
      <c r="AB832" t="s">
        <v>16479</v>
      </c>
      <c r="AC832" t="s">
        <v>16480</v>
      </c>
      <c r="AD832" t="s">
        <v>16480</v>
      </c>
      <c r="AE832" t="s">
        <v>16481</v>
      </c>
      <c r="AF832" t="s">
        <v>74</v>
      </c>
      <c r="AG832">
        <v>54</v>
      </c>
      <c r="AH832">
        <v>13</v>
      </c>
      <c r="AI832">
        <v>13</v>
      </c>
      <c r="AJ832">
        <v>0</v>
      </c>
      <c r="AK832">
        <v>10</v>
      </c>
      <c r="AL832" t="s">
        <v>275</v>
      </c>
      <c r="AM832" t="s">
        <v>276</v>
      </c>
      <c r="AN832" t="s">
        <v>277</v>
      </c>
      <c r="AO832" t="s">
        <v>3364</v>
      </c>
      <c r="AP832" t="s">
        <v>3365</v>
      </c>
      <c r="AQ832" t="s">
        <v>74</v>
      </c>
      <c r="AR832" t="s">
        <v>3366</v>
      </c>
      <c r="AS832" t="s">
        <v>3367</v>
      </c>
      <c r="AT832" t="s">
        <v>16448</v>
      </c>
      <c r="AU832">
        <v>2020</v>
      </c>
      <c r="AV832">
        <v>544</v>
      </c>
      <c r="AW832" t="s">
        <v>74</v>
      </c>
      <c r="AX832" t="s">
        <v>74</v>
      </c>
      <c r="AY832" t="s">
        <v>74</v>
      </c>
      <c r="AZ832" t="s">
        <v>74</v>
      </c>
      <c r="BA832" t="s">
        <v>74</v>
      </c>
      <c r="BB832" t="s">
        <v>74</v>
      </c>
      <c r="BC832" t="s">
        <v>74</v>
      </c>
      <c r="BD832">
        <v>116372</v>
      </c>
      <c r="BE832" t="s">
        <v>16482</v>
      </c>
      <c r="BF832" t="str">
        <f>HYPERLINK("http://dx.doi.org/10.1016/j.epsl.2020.116372","http://dx.doi.org/10.1016/j.epsl.2020.116372")</f>
        <v>http://dx.doi.org/10.1016/j.epsl.2020.116372</v>
      </c>
      <c r="BG832" t="s">
        <v>74</v>
      </c>
      <c r="BH832" t="s">
        <v>74</v>
      </c>
      <c r="BI832">
        <v>11</v>
      </c>
      <c r="BJ832" t="s">
        <v>1361</v>
      </c>
      <c r="BK832" t="s">
        <v>100</v>
      </c>
      <c r="BL832" t="s">
        <v>1361</v>
      </c>
      <c r="BM832" t="s">
        <v>16483</v>
      </c>
      <c r="BN832" t="s">
        <v>74</v>
      </c>
      <c r="BO832" t="s">
        <v>74</v>
      </c>
      <c r="BP832" t="s">
        <v>74</v>
      </c>
      <c r="BQ832" t="s">
        <v>74</v>
      </c>
      <c r="BR832" t="s">
        <v>104</v>
      </c>
      <c r="BS832" t="s">
        <v>16484</v>
      </c>
      <c r="BT832" t="str">
        <f>HYPERLINK("https%3A%2F%2Fwww.webofscience.com%2Fwos%2Fwoscc%2Ffull-record%2FWOS:000543825300012","View Full Record in Web of Science")</f>
        <v>View Full Record in Web of Science</v>
      </c>
    </row>
    <row r="833" spans="1:72" x14ac:dyDescent="0.15">
      <c r="A833" t="s">
        <v>72</v>
      </c>
      <c r="B833" t="s">
        <v>16485</v>
      </c>
      <c r="C833" t="s">
        <v>74</v>
      </c>
      <c r="D833" t="s">
        <v>74</v>
      </c>
      <c r="E833" t="s">
        <v>74</v>
      </c>
      <c r="F833" t="s">
        <v>16486</v>
      </c>
      <c r="G833" t="s">
        <v>74</v>
      </c>
      <c r="H833" t="s">
        <v>74</v>
      </c>
      <c r="I833" t="s">
        <v>16487</v>
      </c>
      <c r="J833" t="s">
        <v>3351</v>
      </c>
      <c r="K833" t="s">
        <v>74</v>
      </c>
      <c r="L833" t="s">
        <v>74</v>
      </c>
      <c r="M833" t="s">
        <v>78</v>
      </c>
      <c r="N833" t="s">
        <v>79</v>
      </c>
      <c r="O833" t="s">
        <v>74</v>
      </c>
      <c r="P833" t="s">
        <v>74</v>
      </c>
      <c r="Q833" t="s">
        <v>74</v>
      </c>
      <c r="R833" t="s">
        <v>74</v>
      </c>
      <c r="S833" t="s">
        <v>74</v>
      </c>
      <c r="T833" t="s">
        <v>16488</v>
      </c>
      <c r="U833" t="s">
        <v>16489</v>
      </c>
      <c r="V833" t="s">
        <v>16490</v>
      </c>
      <c r="W833" t="s">
        <v>16491</v>
      </c>
      <c r="X833" t="s">
        <v>16492</v>
      </c>
      <c r="Y833" t="s">
        <v>16493</v>
      </c>
      <c r="Z833" t="s">
        <v>16494</v>
      </c>
      <c r="AA833" t="s">
        <v>16495</v>
      </c>
      <c r="AB833" t="s">
        <v>16496</v>
      </c>
      <c r="AC833" t="s">
        <v>16497</v>
      </c>
      <c r="AD833" t="s">
        <v>16498</v>
      </c>
      <c r="AE833" t="s">
        <v>16499</v>
      </c>
      <c r="AF833" t="s">
        <v>74</v>
      </c>
      <c r="AG833">
        <v>71</v>
      </c>
      <c r="AH833">
        <v>13</v>
      </c>
      <c r="AI833">
        <v>13</v>
      </c>
      <c r="AJ833">
        <v>3</v>
      </c>
      <c r="AK833">
        <v>22</v>
      </c>
      <c r="AL833" t="s">
        <v>275</v>
      </c>
      <c r="AM833" t="s">
        <v>276</v>
      </c>
      <c r="AN833" t="s">
        <v>277</v>
      </c>
      <c r="AO833" t="s">
        <v>3364</v>
      </c>
      <c r="AP833" t="s">
        <v>3365</v>
      </c>
      <c r="AQ833" t="s">
        <v>74</v>
      </c>
      <c r="AR833" t="s">
        <v>3366</v>
      </c>
      <c r="AS833" t="s">
        <v>3367</v>
      </c>
      <c r="AT833" t="s">
        <v>16448</v>
      </c>
      <c r="AU833">
        <v>2020</v>
      </c>
      <c r="AV833">
        <v>544</v>
      </c>
      <c r="AW833" t="s">
        <v>74</v>
      </c>
      <c r="AX833" t="s">
        <v>74</v>
      </c>
      <c r="AY833" t="s">
        <v>74</v>
      </c>
      <c r="AZ833" t="s">
        <v>74</v>
      </c>
      <c r="BA833" t="s">
        <v>74</v>
      </c>
      <c r="BB833" t="s">
        <v>74</v>
      </c>
      <c r="BC833" t="s">
        <v>74</v>
      </c>
      <c r="BD833">
        <v>116405</v>
      </c>
      <c r="BE833" t="s">
        <v>16500</v>
      </c>
      <c r="BF833" t="str">
        <f>HYPERLINK("http://dx.doi.org/10.1016/j.epsl.2020.116405","http://dx.doi.org/10.1016/j.epsl.2020.116405")</f>
        <v>http://dx.doi.org/10.1016/j.epsl.2020.116405</v>
      </c>
      <c r="BG833" t="s">
        <v>74</v>
      </c>
      <c r="BH833" t="s">
        <v>74</v>
      </c>
      <c r="BI833">
        <v>10</v>
      </c>
      <c r="BJ833" t="s">
        <v>1361</v>
      </c>
      <c r="BK833" t="s">
        <v>100</v>
      </c>
      <c r="BL833" t="s">
        <v>1361</v>
      </c>
      <c r="BM833" t="s">
        <v>16483</v>
      </c>
      <c r="BN833" t="s">
        <v>74</v>
      </c>
      <c r="BO833" t="s">
        <v>618</v>
      </c>
      <c r="BP833" t="s">
        <v>74</v>
      </c>
      <c r="BQ833" t="s">
        <v>74</v>
      </c>
      <c r="BR833" t="s">
        <v>104</v>
      </c>
      <c r="BS833" t="s">
        <v>16501</v>
      </c>
      <c r="BT833" t="str">
        <f>HYPERLINK("https%3A%2F%2Fwww.webofscience.com%2Fwos%2Fwoscc%2Ffull-record%2FWOS:000543825300029","View Full Record in Web of Science")</f>
        <v>View Full Record in Web of Science</v>
      </c>
    </row>
    <row r="834" spans="1:72" x14ac:dyDescent="0.15">
      <c r="A834" t="s">
        <v>72</v>
      </c>
      <c r="B834" t="s">
        <v>16502</v>
      </c>
      <c r="C834" t="s">
        <v>74</v>
      </c>
      <c r="D834" t="s">
        <v>74</v>
      </c>
      <c r="E834" t="s">
        <v>74</v>
      </c>
      <c r="F834" t="s">
        <v>16503</v>
      </c>
      <c r="G834" t="s">
        <v>74</v>
      </c>
      <c r="H834" t="s">
        <v>74</v>
      </c>
      <c r="I834" t="s">
        <v>16504</v>
      </c>
      <c r="J834" t="s">
        <v>2825</v>
      </c>
      <c r="K834" t="s">
        <v>74</v>
      </c>
      <c r="L834" t="s">
        <v>74</v>
      </c>
      <c r="M834" t="s">
        <v>78</v>
      </c>
      <c r="N834" t="s">
        <v>79</v>
      </c>
      <c r="O834" t="s">
        <v>74</v>
      </c>
      <c r="P834" t="s">
        <v>74</v>
      </c>
      <c r="Q834" t="s">
        <v>74</v>
      </c>
      <c r="R834" t="s">
        <v>74</v>
      </c>
      <c r="S834" t="s">
        <v>74</v>
      </c>
      <c r="T834" t="s">
        <v>16505</v>
      </c>
      <c r="U834" t="s">
        <v>16506</v>
      </c>
      <c r="V834" t="s">
        <v>16507</v>
      </c>
      <c r="W834" t="s">
        <v>16508</v>
      </c>
      <c r="X834" t="s">
        <v>16509</v>
      </c>
      <c r="Y834" t="s">
        <v>16510</v>
      </c>
      <c r="Z834" t="s">
        <v>8883</v>
      </c>
      <c r="AA834" t="s">
        <v>8884</v>
      </c>
      <c r="AB834" t="s">
        <v>16511</v>
      </c>
      <c r="AC834" t="s">
        <v>16512</v>
      </c>
      <c r="AD834" t="s">
        <v>16513</v>
      </c>
      <c r="AE834" t="s">
        <v>16514</v>
      </c>
      <c r="AF834" t="s">
        <v>74</v>
      </c>
      <c r="AG834">
        <v>136</v>
      </c>
      <c r="AH834">
        <v>7</v>
      </c>
      <c r="AI834">
        <v>8</v>
      </c>
      <c r="AJ834">
        <v>1</v>
      </c>
      <c r="AK834">
        <v>8</v>
      </c>
      <c r="AL834" t="s">
        <v>275</v>
      </c>
      <c r="AM834" t="s">
        <v>276</v>
      </c>
      <c r="AN834" t="s">
        <v>277</v>
      </c>
      <c r="AO834" t="s">
        <v>2838</v>
      </c>
      <c r="AP834" t="s">
        <v>2839</v>
      </c>
      <c r="AQ834" t="s">
        <v>74</v>
      </c>
      <c r="AR834" t="s">
        <v>2840</v>
      </c>
      <c r="AS834" t="s">
        <v>2841</v>
      </c>
      <c r="AT834" t="s">
        <v>16448</v>
      </c>
      <c r="AU834">
        <v>2020</v>
      </c>
      <c r="AV834">
        <v>430</v>
      </c>
      <c r="AW834" t="s">
        <v>74</v>
      </c>
      <c r="AX834" t="s">
        <v>74</v>
      </c>
      <c r="AY834" t="s">
        <v>74</v>
      </c>
      <c r="AZ834" t="s">
        <v>74</v>
      </c>
      <c r="BA834" t="s">
        <v>74</v>
      </c>
      <c r="BB834" t="s">
        <v>74</v>
      </c>
      <c r="BC834" t="s">
        <v>74</v>
      </c>
      <c r="BD834">
        <v>109088</v>
      </c>
      <c r="BE834" t="s">
        <v>16515</v>
      </c>
      <c r="BF834" t="str">
        <f>HYPERLINK("http://dx.doi.org/10.1016/j.ecolmodel.2020.109088","http://dx.doi.org/10.1016/j.ecolmodel.2020.109088")</f>
        <v>http://dx.doi.org/10.1016/j.ecolmodel.2020.109088</v>
      </c>
      <c r="BG834" t="s">
        <v>74</v>
      </c>
      <c r="BH834" t="s">
        <v>74</v>
      </c>
      <c r="BI834">
        <v>12</v>
      </c>
      <c r="BJ834" t="s">
        <v>823</v>
      </c>
      <c r="BK834" t="s">
        <v>100</v>
      </c>
      <c r="BL834" t="s">
        <v>284</v>
      </c>
      <c r="BM834" t="s">
        <v>16516</v>
      </c>
      <c r="BN834" t="s">
        <v>74</v>
      </c>
      <c r="BO834" t="s">
        <v>1894</v>
      </c>
      <c r="BP834" t="s">
        <v>74</v>
      </c>
      <c r="BQ834" t="s">
        <v>74</v>
      </c>
      <c r="BR834" t="s">
        <v>104</v>
      </c>
      <c r="BS834" t="s">
        <v>16517</v>
      </c>
      <c r="BT834" t="str">
        <f>HYPERLINK("https%3A%2F%2Fwww.webofscience.com%2Fwos%2Fwoscc%2Ffull-record%2FWOS:000540447700005","View Full Record in Web of Science")</f>
        <v>View Full Record in Web of Science</v>
      </c>
    </row>
    <row r="835" spans="1:72" x14ac:dyDescent="0.15">
      <c r="A835" t="s">
        <v>72</v>
      </c>
      <c r="B835" t="s">
        <v>16518</v>
      </c>
      <c r="C835" t="s">
        <v>74</v>
      </c>
      <c r="D835" t="s">
        <v>74</v>
      </c>
      <c r="E835" t="s">
        <v>74</v>
      </c>
      <c r="F835" t="s">
        <v>16519</v>
      </c>
      <c r="G835" t="s">
        <v>74</v>
      </c>
      <c r="H835" t="s">
        <v>74</v>
      </c>
      <c r="I835" t="s">
        <v>16520</v>
      </c>
      <c r="J835" t="s">
        <v>3374</v>
      </c>
      <c r="K835" t="s">
        <v>74</v>
      </c>
      <c r="L835" t="s">
        <v>74</v>
      </c>
      <c r="M835" t="s">
        <v>78</v>
      </c>
      <c r="N835" t="s">
        <v>79</v>
      </c>
      <c r="O835" t="s">
        <v>74</v>
      </c>
      <c r="P835" t="s">
        <v>74</v>
      </c>
      <c r="Q835" t="s">
        <v>74</v>
      </c>
      <c r="R835" t="s">
        <v>74</v>
      </c>
      <c r="S835" t="s">
        <v>74</v>
      </c>
      <c r="T835" t="s">
        <v>16521</v>
      </c>
      <c r="U835" t="s">
        <v>16522</v>
      </c>
      <c r="V835" t="s">
        <v>16523</v>
      </c>
      <c r="W835" t="s">
        <v>16524</v>
      </c>
      <c r="X835" t="s">
        <v>16525</v>
      </c>
      <c r="Y835" t="s">
        <v>16526</v>
      </c>
      <c r="Z835" t="s">
        <v>16527</v>
      </c>
      <c r="AA835" t="s">
        <v>16528</v>
      </c>
      <c r="AB835" t="s">
        <v>16529</v>
      </c>
      <c r="AC835" t="s">
        <v>16530</v>
      </c>
      <c r="AD835" t="s">
        <v>16531</v>
      </c>
      <c r="AE835" t="s">
        <v>16532</v>
      </c>
      <c r="AF835" t="s">
        <v>74</v>
      </c>
      <c r="AG835">
        <v>84</v>
      </c>
      <c r="AH835">
        <v>6</v>
      </c>
      <c r="AI835">
        <v>6</v>
      </c>
      <c r="AJ835">
        <v>0</v>
      </c>
      <c r="AK835">
        <v>29</v>
      </c>
      <c r="AL835" t="s">
        <v>275</v>
      </c>
      <c r="AM835" t="s">
        <v>276</v>
      </c>
      <c r="AN835" t="s">
        <v>277</v>
      </c>
      <c r="AO835" t="s">
        <v>3387</v>
      </c>
      <c r="AP835" t="s">
        <v>3388</v>
      </c>
      <c r="AQ835" t="s">
        <v>74</v>
      </c>
      <c r="AR835" t="s">
        <v>3389</v>
      </c>
      <c r="AS835" t="s">
        <v>3390</v>
      </c>
      <c r="AT835" t="s">
        <v>16448</v>
      </c>
      <c r="AU835">
        <v>2020</v>
      </c>
      <c r="AV835">
        <v>552</v>
      </c>
      <c r="AW835" t="s">
        <v>74</v>
      </c>
      <c r="AX835" t="s">
        <v>74</v>
      </c>
      <c r="AY835" t="s">
        <v>74</v>
      </c>
      <c r="AZ835" t="s">
        <v>74</v>
      </c>
      <c r="BA835" t="s">
        <v>74</v>
      </c>
      <c r="BB835" t="s">
        <v>74</v>
      </c>
      <c r="BC835" t="s">
        <v>74</v>
      </c>
      <c r="BD835">
        <v>109752</v>
      </c>
      <c r="BE835" t="s">
        <v>16533</v>
      </c>
      <c r="BF835" t="str">
        <f>HYPERLINK("http://dx.doi.org/10.1016/j.palaeo.2020.109752","http://dx.doi.org/10.1016/j.palaeo.2020.109752")</f>
        <v>http://dx.doi.org/10.1016/j.palaeo.2020.109752</v>
      </c>
      <c r="BG835" t="s">
        <v>74</v>
      </c>
      <c r="BH835" t="s">
        <v>74</v>
      </c>
      <c r="BI835">
        <v>10</v>
      </c>
      <c r="BJ835" t="s">
        <v>3392</v>
      </c>
      <c r="BK835" t="s">
        <v>100</v>
      </c>
      <c r="BL835" t="s">
        <v>3393</v>
      </c>
      <c r="BM835" t="s">
        <v>16534</v>
      </c>
      <c r="BN835" t="s">
        <v>74</v>
      </c>
      <c r="BO835" t="s">
        <v>74</v>
      </c>
      <c r="BP835" t="s">
        <v>74</v>
      </c>
      <c r="BQ835" t="s">
        <v>74</v>
      </c>
      <c r="BR835" t="s">
        <v>104</v>
      </c>
      <c r="BS835" t="s">
        <v>16535</v>
      </c>
      <c r="BT835" t="str">
        <f>HYPERLINK("https%3A%2F%2Fwww.webofscience.com%2Fwos%2Fwoscc%2Ffull-record%2FWOS:000538140400005","View Full Record in Web of Science")</f>
        <v>View Full Record in Web of Science</v>
      </c>
    </row>
    <row r="836" spans="1:72" x14ac:dyDescent="0.15">
      <c r="A836" t="s">
        <v>72</v>
      </c>
      <c r="B836" t="s">
        <v>16536</v>
      </c>
      <c r="C836" t="s">
        <v>74</v>
      </c>
      <c r="D836" t="s">
        <v>74</v>
      </c>
      <c r="E836" t="s">
        <v>74</v>
      </c>
      <c r="F836" t="s">
        <v>16537</v>
      </c>
      <c r="G836" t="s">
        <v>74</v>
      </c>
      <c r="H836" t="s">
        <v>74</v>
      </c>
      <c r="I836" t="s">
        <v>16538</v>
      </c>
      <c r="J836" t="s">
        <v>901</v>
      </c>
      <c r="K836" t="s">
        <v>74</v>
      </c>
      <c r="L836" t="s">
        <v>74</v>
      </c>
      <c r="M836" t="s">
        <v>78</v>
      </c>
      <c r="N836" t="s">
        <v>138</v>
      </c>
      <c r="O836" t="s">
        <v>74</v>
      </c>
      <c r="P836" t="s">
        <v>74</v>
      </c>
      <c r="Q836" t="s">
        <v>74</v>
      </c>
      <c r="R836" t="s">
        <v>74</v>
      </c>
      <c r="S836" t="s">
        <v>74</v>
      </c>
      <c r="T836" t="s">
        <v>16539</v>
      </c>
      <c r="U836" t="s">
        <v>16540</v>
      </c>
      <c r="V836" t="s">
        <v>16541</v>
      </c>
      <c r="W836" t="s">
        <v>16542</v>
      </c>
      <c r="X836" t="s">
        <v>16543</v>
      </c>
      <c r="Y836" t="s">
        <v>16544</v>
      </c>
      <c r="Z836" t="s">
        <v>16545</v>
      </c>
      <c r="AA836" t="s">
        <v>16546</v>
      </c>
      <c r="AB836" t="s">
        <v>16547</v>
      </c>
      <c r="AC836" t="s">
        <v>16548</v>
      </c>
      <c r="AD836" t="s">
        <v>16549</v>
      </c>
      <c r="AE836" t="s">
        <v>16550</v>
      </c>
      <c r="AF836" t="s">
        <v>74</v>
      </c>
      <c r="AG836">
        <v>206</v>
      </c>
      <c r="AH836">
        <v>30</v>
      </c>
      <c r="AI836">
        <v>32</v>
      </c>
      <c r="AJ836">
        <v>2</v>
      </c>
      <c r="AK836">
        <v>38</v>
      </c>
      <c r="AL836" t="s">
        <v>866</v>
      </c>
      <c r="AM836" t="s">
        <v>867</v>
      </c>
      <c r="AN836" t="s">
        <v>868</v>
      </c>
      <c r="AO836" t="s">
        <v>74</v>
      </c>
      <c r="AP836" t="s">
        <v>914</v>
      </c>
      <c r="AQ836" t="s">
        <v>74</v>
      </c>
      <c r="AR836" t="s">
        <v>915</v>
      </c>
      <c r="AS836" t="s">
        <v>916</v>
      </c>
      <c r="AT836" t="s">
        <v>16551</v>
      </c>
      <c r="AU836">
        <v>2020</v>
      </c>
      <c r="AV836">
        <v>7</v>
      </c>
      <c r="AW836" t="s">
        <v>74</v>
      </c>
      <c r="AX836" t="s">
        <v>74</v>
      </c>
      <c r="AY836" t="s">
        <v>74</v>
      </c>
      <c r="AZ836" t="s">
        <v>74</v>
      </c>
      <c r="BA836" t="s">
        <v>74</v>
      </c>
      <c r="BB836" t="s">
        <v>74</v>
      </c>
      <c r="BC836" t="s">
        <v>74</v>
      </c>
      <c r="BD836">
        <v>671</v>
      </c>
      <c r="BE836" t="s">
        <v>16552</v>
      </c>
      <c r="BF836" t="str">
        <f>HYPERLINK("http://dx.doi.org/10.3389/fmars.2020.00671","http://dx.doi.org/10.3389/fmars.2020.00671")</f>
        <v>http://dx.doi.org/10.3389/fmars.2020.00671</v>
      </c>
      <c r="BG836" t="s">
        <v>74</v>
      </c>
      <c r="BH836" t="s">
        <v>74</v>
      </c>
      <c r="BI836">
        <v>19</v>
      </c>
      <c r="BJ836" t="s">
        <v>918</v>
      </c>
      <c r="BK836" t="s">
        <v>100</v>
      </c>
      <c r="BL836" t="s">
        <v>919</v>
      </c>
      <c r="BM836" t="s">
        <v>16553</v>
      </c>
      <c r="BN836" t="s">
        <v>74</v>
      </c>
      <c r="BO836" t="s">
        <v>332</v>
      </c>
      <c r="BP836" t="s">
        <v>74</v>
      </c>
      <c r="BQ836" t="s">
        <v>74</v>
      </c>
      <c r="BR836" t="s">
        <v>104</v>
      </c>
      <c r="BS836" t="s">
        <v>16554</v>
      </c>
      <c r="BT836" t="str">
        <f>HYPERLINK("https%3A%2F%2Fwww.webofscience.com%2Fwos%2Fwoscc%2Ffull-record%2FWOS:000560705000001","View Full Record in Web of Science")</f>
        <v>View Full Record in Web of Science</v>
      </c>
    </row>
    <row r="837" spans="1:72" x14ac:dyDescent="0.15">
      <c r="A837" t="s">
        <v>72</v>
      </c>
      <c r="B837" t="s">
        <v>16555</v>
      </c>
      <c r="C837" t="s">
        <v>74</v>
      </c>
      <c r="D837" t="s">
        <v>74</v>
      </c>
      <c r="E837" t="s">
        <v>74</v>
      </c>
      <c r="F837" t="s">
        <v>16556</v>
      </c>
      <c r="G837" t="s">
        <v>74</v>
      </c>
      <c r="H837" t="s">
        <v>74</v>
      </c>
      <c r="I837" t="s">
        <v>16557</v>
      </c>
      <c r="J837" t="s">
        <v>4206</v>
      </c>
      <c r="K837" t="s">
        <v>74</v>
      </c>
      <c r="L837" t="s">
        <v>74</v>
      </c>
      <c r="M837" t="s">
        <v>78</v>
      </c>
      <c r="N837" t="s">
        <v>79</v>
      </c>
      <c r="O837" t="s">
        <v>74</v>
      </c>
      <c r="P837" t="s">
        <v>74</v>
      </c>
      <c r="Q837" t="s">
        <v>74</v>
      </c>
      <c r="R837" t="s">
        <v>74</v>
      </c>
      <c r="S837" t="s">
        <v>74</v>
      </c>
      <c r="T837" t="s">
        <v>16558</v>
      </c>
      <c r="U837" t="s">
        <v>16559</v>
      </c>
      <c r="V837" t="s">
        <v>16560</v>
      </c>
      <c r="W837" t="s">
        <v>16561</v>
      </c>
      <c r="X837" t="s">
        <v>16562</v>
      </c>
      <c r="Y837" t="s">
        <v>16563</v>
      </c>
      <c r="Z837" t="s">
        <v>16564</v>
      </c>
      <c r="AA837" t="s">
        <v>74</v>
      </c>
      <c r="AB837" t="s">
        <v>16565</v>
      </c>
      <c r="AC837" t="s">
        <v>16566</v>
      </c>
      <c r="AD837" t="s">
        <v>16567</v>
      </c>
      <c r="AE837" t="s">
        <v>16568</v>
      </c>
      <c r="AF837" t="s">
        <v>74</v>
      </c>
      <c r="AG837">
        <v>53</v>
      </c>
      <c r="AH837">
        <v>54</v>
      </c>
      <c r="AI837">
        <v>60</v>
      </c>
      <c r="AJ837">
        <v>6</v>
      </c>
      <c r="AK837">
        <v>16</v>
      </c>
      <c r="AL837" t="s">
        <v>482</v>
      </c>
      <c r="AM837" t="s">
        <v>483</v>
      </c>
      <c r="AN837" t="s">
        <v>484</v>
      </c>
      <c r="AO837" t="s">
        <v>4219</v>
      </c>
      <c r="AP837" t="s">
        <v>4220</v>
      </c>
      <c r="AQ837" t="s">
        <v>74</v>
      </c>
      <c r="AR837" t="s">
        <v>4221</v>
      </c>
      <c r="AS837" t="s">
        <v>4222</v>
      </c>
      <c r="AT837" t="s">
        <v>1212</v>
      </c>
      <c r="AU837">
        <v>2020</v>
      </c>
      <c r="AV837">
        <v>55</v>
      </c>
      <c r="AW837" t="s">
        <v>14248</v>
      </c>
      <c r="AX837" t="s">
        <v>74</v>
      </c>
      <c r="AY837" t="s">
        <v>74</v>
      </c>
      <c r="AZ837" t="s">
        <v>74</v>
      </c>
      <c r="BA837" t="s">
        <v>74</v>
      </c>
      <c r="BB837">
        <v>2743</v>
      </c>
      <c r="BC837">
        <v>2759</v>
      </c>
      <c r="BD837" t="s">
        <v>74</v>
      </c>
      <c r="BE837" t="s">
        <v>16569</v>
      </c>
      <c r="BF837" t="str">
        <f>HYPERLINK("http://dx.doi.org/10.1007/s00382-020-05413-0","http://dx.doi.org/10.1007/s00382-020-05413-0")</f>
        <v>http://dx.doi.org/10.1007/s00382-020-05413-0</v>
      </c>
      <c r="BG837" t="s">
        <v>74</v>
      </c>
      <c r="BH837" t="s">
        <v>15048</v>
      </c>
      <c r="BI837">
        <v>17</v>
      </c>
      <c r="BJ837" t="s">
        <v>800</v>
      </c>
      <c r="BK837" t="s">
        <v>100</v>
      </c>
      <c r="BL837" t="s">
        <v>800</v>
      </c>
      <c r="BM837" t="s">
        <v>16570</v>
      </c>
      <c r="BN837">
        <v>32836893</v>
      </c>
      <c r="BO837" t="s">
        <v>11698</v>
      </c>
      <c r="BP837" t="s">
        <v>74</v>
      </c>
      <c r="BQ837" t="s">
        <v>74</v>
      </c>
      <c r="BR837" t="s">
        <v>104</v>
      </c>
      <c r="BS837" t="s">
        <v>16571</v>
      </c>
      <c r="BT837" t="str">
        <f>HYPERLINK("https%3A%2F%2Fwww.webofscience.com%2Fwos%2Fwoscc%2Ffull-record%2FWOS:000560087800003","View Full Record in Web of Science")</f>
        <v>View Full Record in Web of Science</v>
      </c>
    </row>
    <row r="838" spans="1:72" x14ac:dyDescent="0.15">
      <c r="A838" t="s">
        <v>72</v>
      </c>
      <c r="B838" t="s">
        <v>16572</v>
      </c>
      <c r="C838" t="s">
        <v>74</v>
      </c>
      <c r="D838" t="s">
        <v>74</v>
      </c>
      <c r="E838" t="s">
        <v>74</v>
      </c>
      <c r="F838" t="s">
        <v>16573</v>
      </c>
      <c r="G838" t="s">
        <v>74</v>
      </c>
      <c r="H838" t="s">
        <v>74</v>
      </c>
      <c r="I838" t="s">
        <v>16574</v>
      </c>
      <c r="J838" t="s">
        <v>5042</v>
      </c>
      <c r="K838" t="s">
        <v>74</v>
      </c>
      <c r="L838" t="s">
        <v>74</v>
      </c>
      <c r="M838" t="s">
        <v>78</v>
      </c>
      <c r="N838" t="s">
        <v>79</v>
      </c>
      <c r="O838" t="s">
        <v>74</v>
      </c>
      <c r="P838" t="s">
        <v>74</v>
      </c>
      <c r="Q838" t="s">
        <v>74</v>
      </c>
      <c r="R838" t="s">
        <v>74</v>
      </c>
      <c r="S838" t="s">
        <v>74</v>
      </c>
      <c r="T838" t="s">
        <v>74</v>
      </c>
      <c r="U838" t="s">
        <v>16575</v>
      </c>
      <c r="V838" t="s">
        <v>16576</v>
      </c>
      <c r="W838" t="s">
        <v>16577</v>
      </c>
      <c r="X838" t="s">
        <v>16578</v>
      </c>
      <c r="Y838" t="s">
        <v>16579</v>
      </c>
      <c r="Z838" t="s">
        <v>16580</v>
      </c>
      <c r="AA838" t="s">
        <v>16581</v>
      </c>
      <c r="AB838" t="s">
        <v>16582</v>
      </c>
      <c r="AC838" t="s">
        <v>16583</v>
      </c>
      <c r="AD838" t="s">
        <v>16584</v>
      </c>
      <c r="AE838" t="s">
        <v>16585</v>
      </c>
      <c r="AF838" t="s">
        <v>74</v>
      </c>
      <c r="AG838">
        <v>83</v>
      </c>
      <c r="AH838">
        <v>32</v>
      </c>
      <c r="AI838">
        <v>35</v>
      </c>
      <c r="AJ838">
        <v>6</v>
      </c>
      <c r="AK838">
        <v>31</v>
      </c>
      <c r="AL838" t="s">
        <v>413</v>
      </c>
      <c r="AM838" t="s">
        <v>322</v>
      </c>
      <c r="AN838" t="s">
        <v>323</v>
      </c>
      <c r="AO838" t="s">
        <v>74</v>
      </c>
      <c r="AP838" t="s">
        <v>5054</v>
      </c>
      <c r="AQ838" t="s">
        <v>74</v>
      </c>
      <c r="AR838" t="s">
        <v>5055</v>
      </c>
      <c r="AS838" t="s">
        <v>5056</v>
      </c>
      <c r="AT838" t="s">
        <v>16551</v>
      </c>
      <c r="AU838">
        <v>2020</v>
      </c>
      <c r="AV838">
        <v>3</v>
      </c>
      <c r="AW838">
        <v>1</v>
      </c>
      <c r="AX838" t="s">
        <v>74</v>
      </c>
      <c r="AY838" t="s">
        <v>74</v>
      </c>
      <c r="AZ838" t="s">
        <v>74</v>
      </c>
      <c r="BA838" t="s">
        <v>74</v>
      </c>
      <c r="BB838" t="s">
        <v>74</v>
      </c>
      <c r="BC838" t="s">
        <v>74</v>
      </c>
      <c r="BD838">
        <v>442</v>
      </c>
      <c r="BE838" t="s">
        <v>16586</v>
      </c>
      <c r="BF838" t="str">
        <f>HYPERLINK("http://dx.doi.org/10.1038/s42003-020-01166-y","http://dx.doi.org/10.1038/s42003-020-01166-y")</f>
        <v>http://dx.doi.org/10.1038/s42003-020-01166-y</v>
      </c>
      <c r="BG838" t="s">
        <v>74</v>
      </c>
      <c r="BH838" t="s">
        <v>74</v>
      </c>
      <c r="BI838">
        <v>14</v>
      </c>
      <c r="BJ838" t="s">
        <v>5059</v>
      </c>
      <c r="BK838" t="s">
        <v>100</v>
      </c>
      <c r="BL838" t="s">
        <v>5060</v>
      </c>
      <c r="BM838" t="s">
        <v>16587</v>
      </c>
      <c r="BN838">
        <v>32796904</v>
      </c>
      <c r="BO838" t="s">
        <v>5105</v>
      </c>
      <c r="BP838" t="s">
        <v>74</v>
      </c>
      <c r="BQ838" t="s">
        <v>74</v>
      </c>
      <c r="BR838" t="s">
        <v>104</v>
      </c>
      <c r="BS838" t="s">
        <v>16588</v>
      </c>
      <c r="BT838" t="str">
        <f>HYPERLINK("https%3A%2F%2Fwww.webofscience.com%2Fwos%2Fwoscc%2Ffull-record%2FWOS:000618916900005","View Full Record in Web of Science")</f>
        <v>View Full Record in Web of Science</v>
      </c>
    </row>
    <row r="839" spans="1:72" x14ac:dyDescent="0.15">
      <c r="A839" t="s">
        <v>72</v>
      </c>
      <c r="B839" t="s">
        <v>16589</v>
      </c>
      <c r="C839" t="s">
        <v>74</v>
      </c>
      <c r="D839" t="s">
        <v>74</v>
      </c>
      <c r="E839" t="s">
        <v>74</v>
      </c>
      <c r="F839" t="s">
        <v>16590</v>
      </c>
      <c r="G839" t="s">
        <v>74</v>
      </c>
      <c r="H839" t="s">
        <v>74</v>
      </c>
      <c r="I839" t="s">
        <v>16591</v>
      </c>
      <c r="J839" t="s">
        <v>901</v>
      </c>
      <c r="K839" t="s">
        <v>74</v>
      </c>
      <c r="L839" t="s">
        <v>74</v>
      </c>
      <c r="M839" t="s">
        <v>78</v>
      </c>
      <c r="N839" t="s">
        <v>138</v>
      </c>
      <c r="O839" t="s">
        <v>74</v>
      </c>
      <c r="P839" t="s">
        <v>74</v>
      </c>
      <c r="Q839" t="s">
        <v>74</v>
      </c>
      <c r="R839" t="s">
        <v>74</v>
      </c>
      <c r="S839" t="s">
        <v>74</v>
      </c>
      <c r="T839" t="s">
        <v>16592</v>
      </c>
      <c r="U839" t="s">
        <v>16593</v>
      </c>
      <c r="V839" t="s">
        <v>16594</v>
      </c>
      <c r="W839" t="s">
        <v>16595</v>
      </c>
      <c r="X839" t="s">
        <v>16596</v>
      </c>
      <c r="Y839" t="s">
        <v>16597</v>
      </c>
      <c r="Z839" t="s">
        <v>16598</v>
      </c>
      <c r="AA839" t="s">
        <v>16599</v>
      </c>
      <c r="AB839" t="s">
        <v>16600</v>
      </c>
      <c r="AC839" t="s">
        <v>16601</v>
      </c>
      <c r="AD839" t="s">
        <v>16602</v>
      </c>
      <c r="AE839" t="s">
        <v>16603</v>
      </c>
      <c r="AF839" t="s">
        <v>74</v>
      </c>
      <c r="AG839">
        <v>254</v>
      </c>
      <c r="AH839">
        <v>80</v>
      </c>
      <c r="AI839">
        <v>84</v>
      </c>
      <c r="AJ839">
        <v>19</v>
      </c>
      <c r="AK839">
        <v>137</v>
      </c>
      <c r="AL839" t="s">
        <v>866</v>
      </c>
      <c r="AM839" t="s">
        <v>867</v>
      </c>
      <c r="AN839" t="s">
        <v>868</v>
      </c>
      <c r="AO839" t="s">
        <v>74</v>
      </c>
      <c r="AP839" t="s">
        <v>914</v>
      </c>
      <c r="AQ839" t="s">
        <v>74</v>
      </c>
      <c r="AR839" t="s">
        <v>915</v>
      </c>
      <c r="AS839" t="s">
        <v>916</v>
      </c>
      <c r="AT839" t="s">
        <v>16551</v>
      </c>
      <c r="AU839">
        <v>2020</v>
      </c>
      <c r="AV839">
        <v>7</v>
      </c>
      <c r="AW839" t="s">
        <v>74</v>
      </c>
      <c r="AX839" t="s">
        <v>74</v>
      </c>
      <c r="AY839" t="s">
        <v>74</v>
      </c>
      <c r="AZ839" t="s">
        <v>74</v>
      </c>
      <c r="BA839" t="s">
        <v>74</v>
      </c>
      <c r="BB839" t="s">
        <v>74</v>
      </c>
      <c r="BC839" t="s">
        <v>74</v>
      </c>
      <c r="BD839">
        <v>617</v>
      </c>
      <c r="BE839" t="s">
        <v>16604</v>
      </c>
      <c r="BF839" t="str">
        <f>HYPERLINK("http://dx.doi.org/10.3389/fmars.2020.00617","http://dx.doi.org/10.3389/fmars.2020.00617")</f>
        <v>http://dx.doi.org/10.3389/fmars.2020.00617</v>
      </c>
      <c r="BG839" t="s">
        <v>74</v>
      </c>
      <c r="BH839" t="s">
        <v>74</v>
      </c>
      <c r="BI839">
        <v>21</v>
      </c>
      <c r="BJ839" t="s">
        <v>918</v>
      </c>
      <c r="BK839" t="s">
        <v>100</v>
      </c>
      <c r="BL839" t="s">
        <v>919</v>
      </c>
      <c r="BM839" t="s">
        <v>16605</v>
      </c>
      <c r="BN839" t="s">
        <v>74</v>
      </c>
      <c r="BO839" t="s">
        <v>397</v>
      </c>
      <c r="BP839" t="s">
        <v>417</v>
      </c>
      <c r="BQ839" t="s">
        <v>418</v>
      </c>
      <c r="BR839" t="s">
        <v>104</v>
      </c>
      <c r="BS839" t="s">
        <v>16606</v>
      </c>
      <c r="BT839" t="str">
        <f>HYPERLINK("https%3A%2F%2Fwww.webofscience.com%2Fwos%2Fwoscc%2Ffull-record%2FWOS:000560702000001","View Full Record in Web of Science")</f>
        <v>View Full Record in Web of Science</v>
      </c>
    </row>
    <row r="840" spans="1:72" x14ac:dyDescent="0.15">
      <c r="A840" t="s">
        <v>72</v>
      </c>
      <c r="B840" t="s">
        <v>16607</v>
      </c>
      <c r="C840" t="s">
        <v>74</v>
      </c>
      <c r="D840" t="s">
        <v>74</v>
      </c>
      <c r="E840" t="s">
        <v>74</v>
      </c>
      <c r="F840" t="s">
        <v>16608</v>
      </c>
      <c r="G840" t="s">
        <v>74</v>
      </c>
      <c r="H840" t="s">
        <v>74</v>
      </c>
      <c r="I840" t="s">
        <v>16609</v>
      </c>
      <c r="J840" t="s">
        <v>3455</v>
      </c>
      <c r="K840" t="s">
        <v>74</v>
      </c>
      <c r="L840" t="s">
        <v>74</v>
      </c>
      <c r="M840" t="s">
        <v>78</v>
      </c>
      <c r="N840" t="s">
        <v>79</v>
      </c>
      <c r="O840" t="s">
        <v>74</v>
      </c>
      <c r="P840" t="s">
        <v>74</v>
      </c>
      <c r="Q840" t="s">
        <v>74</v>
      </c>
      <c r="R840" t="s">
        <v>74</v>
      </c>
      <c r="S840" t="s">
        <v>74</v>
      </c>
      <c r="T840" t="s">
        <v>16610</v>
      </c>
      <c r="U840" t="s">
        <v>16611</v>
      </c>
      <c r="V840" t="s">
        <v>16612</v>
      </c>
      <c r="W840" t="s">
        <v>16613</v>
      </c>
      <c r="X840" t="s">
        <v>16614</v>
      </c>
      <c r="Y840" t="s">
        <v>16615</v>
      </c>
      <c r="Z840" t="s">
        <v>16616</v>
      </c>
      <c r="AA840" t="s">
        <v>16617</v>
      </c>
      <c r="AB840" t="s">
        <v>16618</v>
      </c>
      <c r="AC840" t="s">
        <v>16619</v>
      </c>
      <c r="AD840" t="s">
        <v>4156</v>
      </c>
      <c r="AE840" t="s">
        <v>16620</v>
      </c>
      <c r="AF840" t="s">
        <v>74</v>
      </c>
      <c r="AG840">
        <v>81</v>
      </c>
      <c r="AH840">
        <v>3</v>
      </c>
      <c r="AI840">
        <v>3</v>
      </c>
      <c r="AJ840">
        <v>4</v>
      </c>
      <c r="AK840">
        <v>21</v>
      </c>
      <c r="AL840" t="s">
        <v>3464</v>
      </c>
      <c r="AM840" t="s">
        <v>3465</v>
      </c>
      <c r="AN840" t="s">
        <v>3466</v>
      </c>
      <c r="AO840" t="s">
        <v>3467</v>
      </c>
      <c r="AP840" t="s">
        <v>3468</v>
      </c>
      <c r="AQ840" t="s">
        <v>74</v>
      </c>
      <c r="AR840" t="s">
        <v>3469</v>
      </c>
      <c r="AS840" t="s">
        <v>3470</v>
      </c>
      <c r="AT840" t="s">
        <v>16621</v>
      </c>
      <c r="AU840">
        <v>2020</v>
      </c>
      <c r="AV840">
        <v>647</v>
      </c>
      <c r="AW840" t="s">
        <v>74</v>
      </c>
      <c r="AX840" t="s">
        <v>74</v>
      </c>
      <c r="AY840" t="s">
        <v>74</v>
      </c>
      <c r="AZ840" t="s">
        <v>74</v>
      </c>
      <c r="BA840" t="s">
        <v>74</v>
      </c>
      <c r="BB840">
        <v>179</v>
      </c>
      <c r="BC840">
        <v>193</v>
      </c>
      <c r="BD840" t="s">
        <v>74</v>
      </c>
      <c r="BE840" t="s">
        <v>16622</v>
      </c>
      <c r="BF840" t="str">
        <f>HYPERLINK("http://dx.doi.org/10.3354/meps13384","http://dx.doi.org/10.3354/meps13384")</f>
        <v>http://dx.doi.org/10.3354/meps13384</v>
      </c>
      <c r="BG840" t="s">
        <v>74</v>
      </c>
      <c r="BH840" t="s">
        <v>74</v>
      </c>
      <c r="BI840">
        <v>15</v>
      </c>
      <c r="BJ840" t="s">
        <v>3473</v>
      </c>
      <c r="BK840" t="s">
        <v>100</v>
      </c>
      <c r="BL840" t="s">
        <v>3474</v>
      </c>
      <c r="BM840" t="s">
        <v>16623</v>
      </c>
      <c r="BN840" t="s">
        <v>74</v>
      </c>
      <c r="BO840" t="s">
        <v>701</v>
      </c>
      <c r="BP840" t="s">
        <v>74</v>
      </c>
      <c r="BQ840" t="s">
        <v>74</v>
      </c>
      <c r="BR840" t="s">
        <v>104</v>
      </c>
      <c r="BS840" t="s">
        <v>16624</v>
      </c>
      <c r="BT840" t="str">
        <f>HYPERLINK("https%3A%2F%2Fwww.webofscience.com%2Fwos%2Fwoscc%2Ffull-record%2FWOS:000621231500013","View Full Record in Web of Science")</f>
        <v>View Full Record in Web of Science</v>
      </c>
    </row>
    <row r="841" spans="1:72" x14ac:dyDescent="0.15">
      <c r="A841" t="s">
        <v>72</v>
      </c>
      <c r="B841" t="s">
        <v>16625</v>
      </c>
      <c r="C841" t="s">
        <v>74</v>
      </c>
      <c r="D841" t="s">
        <v>74</v>
      </c>
      <c r="E841" t="s">
        <v>74</v>
      </c>
      <c r="F841" t="s">
        <v>16626</v>
      </c>
      <c r="G841" t="s">
        <v>74</v>
      </c>
      <c r="H841" t="s">
        <v>74</v>
      </c>
      <c r="I841" t="s">
        <v>16627</v>
      </c>
      <c r="J841" t="s">
        <v>9484</v>
      </c>
      <c r="K841" t="s">
        <v>74</v>
      </c>
      <c r="L841" t="s">
        <v>74</v>
      </c>
      <c r="M841" t="s">
        <v>78</v>
      </c>
      <c r="N841" t="s">
        <v>79</v>
      </c>
      <c r="O841" t="s">
        <v>74</v>
      </c>
      <c r="P841" t="s">
        <v>74</v>
      </c>
      <c r="Q841" t="s">
        <v>74</v>
      </c>
      <c r="R841" t="s">
        <v>74</v>
      </c>
      <c r="S841" t="s">
        <v>74</v>
      </c>
      <c r="T841" t="s">
        <v>16628</v>
      </c>
      <c r="U841" t="s">
        <v>74</v>
      </c>
      <c r="V841" t="s">
        <v>16629</v>
      </c>
      <c r="W841" t="s">
        <v>16630</v>
      </c>
      <c r="X841" t="s">
        <v>16631</v>
      </c>
      <c r="Y841" t="s">
        <v>16632</v>
      </c>
      <c r="Z841" t="s">
        <v>16633</v>
      </c>
      <c r="AA841" t="s">
        <v>74</v>
      </c>
      <c r="AB841" t="s">
        <v>74</v>
      </c>
      <c r="AC841" t="s">
        <v>74</v>
      </c>
      <c r="AD841" t="s">
        <v>74</v>
      </c>
      <c r="AE841" t="s">
        <v>74</v>
      </c>
      <c r="AF841" t="s">
        <v>74</v>
      </c>
      <c r="AG841">
        <v>26</v>
      </c>
      <c r="AH841">
        <v>4</v>
      </c>
      <c r="AI841">
        <v>4</v>
      </c>
      <c r="AJ841">
        <v>0</v>
      </c>
      <c r="AK841">
        <v>0</v>
      </c>
      <c r="AL841" t="s">
        <v>169</v>
      </c>
      <c r="AM841" t="s">
        <v>170</v>
      </c>
      <c r="AN841" t="s">
        <v>171</v>
      </c>
      <c r="AO841" t="s">
        <v>9497</v>
      </c>
      <c r="AP841" t="s">
        <v>9498</v>
      </c>
      <c r="AQ841" t="s">
        <v>74</v>
      </c>
      <c r="AR841" t="s">
        <v>9484</v>
      </c>
      <c r="AS841" t="s">
        <v>9499</v>
      </c>
      <c r="AT841" t="s">
        <v>16621</v>
      </c>
      <c r="AU841">
        <v>2020</v>
      </c>
      <c r="AV841">
        <v>4830</v>
      </c>
      <c r="AW841">
        <v>2</v>
      </c>
      <c r="AX841" t="s">
        <v>74</v>
      </c>
      <c r="AY841" t="s">
        <v>74</v>
      </c>
      <c r="AZ841" t="s">
        <v>74</v>
      </c>
      <c r="BA841" t="s">
        <v>74</v>
      </c>
      <c r="BB841">
        <v>329</v>
      </c>
      <c r="BC841">
        <v>355</v>
      </c>
      <c r="BD841" t="s">
        <v>74</v>
      </c>
      <c r="BE841" t="s">
        <v>16634</v>
      </c>
      <c r="BF841" t="str">
        <f>HYPERLINK("http://dx.doi.org/10.11646/zootaxa.4830.2.6","http://dx.doi.org/10.11646/zootaxa.4830.2.6")</f>
        <v>http://dx.doi.org/10.11646/zootaxa.4830.2.6</v>
      </c>
      <c r="BG841" t="s">
        <v>74</v>
      </c>
      <c r="BH841" t="s">
        <v>74</v>
      </c>
      <c r="BI841">
        <v>27</v>
      </c>
      <c r="BJ841" t="s">
        <v>1553</v>
      </c>
      <c r="BK841" t="s">
        <v>100</v>
      </c>
      <c r="BL841" t="s">
        <v>1553</v>
      </c>
      <c r="BM841" t="s">
        <v>16635</v>
      </c>
      <c r="BN841">
        <v>33056155</v>
      </c>
      <c r="BO841" t="s">
        <v>74</v>
      </c>
      <c r="BP841" t="s">
        <v>74</v>
      </c>
      <c r="BQ841" t="s">
        <v>74</v>
      </c>
      <c r="BR841" t="s">
        <v>104</v>
      </c>
      <c r="BS841" t="s">
        <v>16636</v>
      </c>
      <c r="BT841" t="str">
        <f>HYPERLINK("https%3A%2F%2Fwww.webofscience.com%2Fwos%2Fwoscc%2Ffull-record%2FWOS:000573911000006","View Full Record in Web of Science")</f>
        <v>View Full Record in Web of Science</v>
      </c>
    </row>
    <row r="842" spans="1:72" x14ac:dyDescent="0.15">
      <c r="A842" t="s">
        <v>72</v>
      </c>
      <c r="B842" t="s">
        <v>16637</v>
      </c>
      <c r="C842" t="s">
        <v>74</v>
      </c>
      <c r="D842" t="s">
        <v>74</v>
      </c>
      <c r="E842" t="s">
        <v>74</v>
      </c>
      <c r="F842" t="s">
        <v>16638</v>
      </c>
      <c r="G842" t="s">
        <v>74</v>
      </c>
      <c r="H842" t="s">
        <v>74</v>
      </c>
      <c r="I842" t="s">
        <v>16639</v>
      </c>
      <c r="J842" t="s">
        <v>1010</v>
      </c>
      <c r="K842" t="s">
        <v>74</v>
      </c>
      <c r="L842" t="s">
        <v>74</v>
      </c>
      <c r="M842" t="s">
        <v>78</v>
      </c>
      <c r="N842" t="s">
        <v>79</v>
      </c>
      <c r="O842" t="s">
        <v>74</v>
      </c>
      <c r="P842" t="s">
        <v>74</v>
      </c>
      <c r="Q842" t="s">
        <v>74</v>
      </c>
      <c r="R842" t="s">
        <v>74</v>
      </c>
      <c r="S842" t="s">
        <v>74</v>
      </c>
      <c r="T842" t="s">
        <v>74</v>
      </c>
      <c r="U842" t="s">
        <v>16640</v>
      </c>
      <c r="V842" t="s">
        <v>16641</v>
      </c>
      <c r="W842" t="s">
        <v>16642</v>
      </c>
      <c r="X842" t="s">
        <v>16643</v>
      </c>
      <c r="Y842" t="s">
        <v>16644</v>
      </c>
      <c r="Z842" t="s">
        <v>16645</v>
      </c>
      <c r="AA842" t="s">
        <v>16646</v>
      </c>
      <c r="AB842" t="s">
        <v>16647</v>
      </c>
      <c r="AC842" t="s">
        <v>16648</v>
      </c>
      <c r="AD842" t="s">
        <v>16649</v>
      </c>
      <c r="AE842" t="s">
        <v>16650</v>
      </c>
      <c r="AF842" t="s">
        <v>74</v>
      </c>
      <c r="AG842">
        <v>47</v>
      </c>
      <c r="AH842">
        <v>9</v>
      </c>
      <c r="AI842">
        <v>9</v>
      </c>
      <c r="AJ842">
        <v>2</v>
      </c>
      <c r="AK842">
        <v>10</v>
      </c>
      <c r="AL842" t="s">
        <v>91</v>
      </c>
      <c r="AM842" t="s">
        <v>92</v>
      </c>
      <c r="AN842" t="s">
        <v>93</v>
      </c>
      <c r="AO842" t="s">
        <v>1022</v>
      </c>
      <c r="AP842" t="s">
        <v>1023</v>
      </c>
      <c r="AQ842" t="s">
        <v>74</v>
      </c>
      <c r="AR842" t="s">
        <v>1024</v>
      </c>
      <c r="AS842" t="s">
        <v>1025</v>
      </c>
      <c r="AT842" t="s">
        <v>16621</v>
      </c>
      <c r="AU842">
        <v>2020</v>
      </c>
      <c r="AV842">
        <v>20</v>
      </c>
      <c r="AW842">
        <v>15</v>
      </c>
      <c r="AX842" t="s">
        <v>74</v>
      </c>
      <c r="AY842" t="s">
        <v>74</v>
      </c>
      <c r="AZ842" t="s">
        <v>74</v>
      </c>
      <c r="BA842" t="s">
        <v>74</v>
      </c>
      <c r="BB842">
        <v>9459</v>
      </c>
      <c r="BC842">
        <v>9471</v>
      </c>
      <c r="BD842" t="s">
        <v>74</v>
      </c>
      <c r="BE842" t="s">
        <v>16651</v>
      </c>
      <c r="BF842" t="str">
        <f>HYPERLINK("http://dx.doi.org/10.5194/acp-20-9459-2020","http://dx.doi.org/10.5194/acp-20-9459-2020")</f>
        <v>http://dx.doi.org/10.5194/acp-20-9459-2020</v>
      </c>
      <c r="BG842" t="s">
        <v>74</v>
      </c>
      <c r="BH842" t="s">
        <v>74</v>
      </c>
      <c r="BI842">
        <v>13</v>
      </c>
      <c r="BJ842" t="s">
        <v>1027</v>
      </c>
      <c r="BK842" t="s">
        <v>100</v>
      </c>
      <c r="BL842" t="s">
        <v>1028</v>
      </c>
      <c r="BM842" t="s">
        <v>16652</v>
      </c>
      <c r="BN842" t="s">
        <v>74</v>
      </c>
      <c r="BO842" t="s">
        <v>350</v>
      </c>
      <c r="BP842" t="s">
        <v>74</v>
      </c>
      <c r="BQ842" t="s">
        <v>74</v>
      </c>
      <c r="BR842" t="s">
        <v>104</v>
      </c>
      <c r="BS842" t="s">
        <v>16653</v>
      </c>
      <c r="BT842" t="str">
        <f>HYPERLINK("https%3A%2F%2Fwww.webofscience.com%2Fwos%2Fwoscc%2Ffull-record%2FWOS:000562155800001","View Full Record in Web of Science")</f>
        <v>View Full Record in Web of Science</v>
      </c>
    </row>
    <row r="843" spans="1:72" x14ac:dyDescent="0.15">
      <c r="A843" t="s">
        <v>72</v>
      </c>
      <c r="B843" t="s">
        <v>16654</v>
      </c>
      <c r="C843" t="s">
        <v>74</v>
      </c>
      <c r="D843" t="s">
        <v>74</v>
      </c>
      <c r="E843" t="s">
        <v>74</v>
      </c>
      <c r="F843" t="s">
        <v>16655</v>
      </c>
      <c r="G843" t="s">
        <v>74</v>
      </c>
      <c r="H843" t="s">
        <v>74</v>
      </c>
      <c r="I843" t="s">
        <v>16656</v>
      </c>
      <c r="J843" t="s">
        <v>1120</v>
      </c>
      <c r="K843" t="s">
        <v>74</v>
      </c>
      <c r="L843" t="s">
        <v>74</v>
      </c>
      <c r="M843" t="s">
        <v>78</v>
      </c>
      <c r="N843" t="s">
        <v>79</v>
      </c>
      <c r="O843" t="s">
        <v>74</v>
      </c>
      <c r="P843" t="s">
        <v>74</v>
      </c>
      <c r="Q843" t="s">
        <v>74</v>
      </c>
      <c r="R843" t="s">
        <v>74</v>
      </c>
      <c r="S843" t="s">
        <v>74</v>
      </c>
      <c r="T843" t="s">
        <v>16657</v>
      </c>
      <c r="U843" t="s">
        <v>16658</v>
      </c>
      <c r="V843" t="s">
        <v>16659</v>
      </c>
      <c r="W843" t="s">
        <v>16660</v>
      </c>
      <c r="X843" t="s">
        <v>16661</v>
      </c>
      <c r="Y843" t="s">
        <v>16662</v>
      </c>
      <c r="Z843" t="s">
        <v>16663</v>
      </c>
      <c r="AA843" t="s">
        <v>16664</v>
      </c>
      <c r="AB843" t="s">
        <v>16665</v>
      </c>
      <c r="AC843" t="s">
        <v>16666</v>
      </c>
      <c r="AD843" t="s">
        <v>16667</v>
      </c>
      <c r="AE843" t="s">
        <v>16668</v>
      </c>
      <c r="AF843" t="s">
        <v>74</v>
      </c>
      <c r="AG843">
        <v>44</v>
      </c>
      <c r="AH843">
        <v>5</v>
      </c>
      <c r="AI843">
        <v>5</v>
      </c>
      <c r="AJ843">
        <v>0</v>
      </c>
      <c r="AK843">
        <v>2</v>
      </c>
      <c r="AL843" t="s">
        <v>1132</v>
      </c>
      <c r="AM843" t="s">
        <v>1133</v>
      </c>
      <c r="AN843" t="s">
        <v>1134</v>
      </c>
      <c r="AO843" t="s">
        <v>1135</v>
      </c>
      <c r="AP843" t="s">
        <v>1136</v>
      </c>
      <c r="AQ843" t="s">
        <v>74</v>
      </c>
      <c r="AR843" t="s">
        <v>1137</v>
      </c>
      <c r="AS843" t="s">
        <v>1138</v>
      </c>
      <c r="AT843" t="s">
        <v>16621</v>
      </c>
      <c r="AU843">
        <v>2020</v>
      </c>
      <c r="AV843">
        <v>39</v>
      </c>
      <c r="AW843" t="s">
        <v>74</v>
      </c>
      <c r="AX843" t="s">
        <v>74</v>
      </c>
      <c r="AY843" t="s">
        <v>74</v>
      </c>
      <c r="AZ843" t="s">
        <v>74</v>
      </c>
      <c r="BA843" t="s">
        <v>74</v>
      </c>
      <c r="BB843" t="s">
        <v>74</v>
      </c>
      <c r="BC843" t="s">
        <v>74</v>
      </c>
      <c r="BD843">
        <v>3727</v>
      </c>
      <c r="BE843" t="s">
        <v>16669</v>
      </c>
      <c r="BF843" t="str">
        <f>HYPERLINK("http://dx.doi.org/10.33265/polar.v39.3727","http://dx.doi.org/10.33265/polar.v39.3727")</f>
        <v>http://dx.doi.org/10.33265/polar.v39.3727</v>
      </c>
      <c r="BG843" t="s">
        <v>74</v>
      </c>
      <c r="BH843" t="s">
        <v>74</v>
      </c>
      <c r="BI843">
        <v>9</v>
      </c>
      <c r="BJ843" t="s">
        <v>1140</v>
      </c>
      <c r="BK843" t="s">
        <v>100</v>
      </c>
      <c r="BL843" t="s">
        <v>1141</v>
      </c>
      <c r="BM843" t="s">
        <v>16670</v>
      </c>
      <c r="BN843" t="s">
        <v>74</v>
      </c>
      <c r="BO843" t="s">
        <v>202</v>
      </c>
      <c r="BP843" t="s">
        <v>74</v>
      </c>
      <c r="BQ843" t="s">
        <v>74</v>
      </c>
      <c r="BR843" t="s">
        <v>104</v>
      </c>
      <c r="BS843" t="s">
        <v>16671</v>
      </c>
      <c r="BT843" t="str">
        <f>HYPERLINK("https%3A%2F%2Fwww.webofscience.com%2Fwos%2Fwoscc%2Ffull-record%2FWOS:000559959700001","View Full Record in Web of Science")</f>
        <v>View Full Record in Web of Science</v>
      </c>
    </row>
    <row r="844" spans="1:72" x14ac:dyDescent="0.15">
      <c r="A844" t="s">
        <v>72</v>
      </c>
      <c r="B844" t="s">
        <v>16672</v>
      </c>
      <c r="C844" t="s">
        <v>74</v>
      </c>
      <c r="D844" t="s">
        <v>74</v>
      </c>
      <c r="E844" t="s">
        <v>74</v>
      </c>
      <c r="F844" t="s">
        <v>16673</v>
      </c>
      <c r="G844" t="s">
        <v>74</v>
      </c>
      <c r="H844" t="s">
        <v>74</v>
      </c>
      <c r="I844" t="s">
        <v>16674</v>
      </c>
      <c r="J844" t="s">
        <v>1063</v>
      </c>
      <c r="K844" t="s">
        <v>74</v>
      </c>
      <c r="L844" t="s">
        <v>74</v>
      </c>
      <c r="M844" t="s">
        <v>78</v>
      </c>
      <c r="N844" t="s">
        <v>79</v>
      </c>
      <c r="O844" t="s">
        <v>74</v>
      </c>
      <c r="P844" t="s">
        <v>74</v>
      </c>
      <c r="Q844" t="s">
        <v>74</v>
      </c>
      <c r="R844" t="s">
        <v>74</v>
      </c>
      <c r="S844" t="s">
        <v>74</v>
      </c>
      <c r="T844" t="s">
        <v>16675</v>
      </c>
      <c r="U844" t="s">
        <v>16676</v>
      </c>
      <c r="V844" t="s">
        <v>16677</v>
      </c>
      <c r="W844" t="s">
        <v>16678</v>
      </c>
      <c r="X844" t="s">
        <v>16679</v>
      </c>
      <c r="Y844" t="s">
        <v>16680</v>
      </c>
      <c r="Z844" t="s">
        <v>16681</v>
      </c>
      <c r="AA844" t="s">
        <v>16682</v>
      </c>
      <c r="AB844" t="s">
        <v>16683</v>
      </c>
      <c r="AC844" t="s">
        <v>16684</v>
      </c>
      <c r="AD844" t="s">
        <v>16685</v>
      </c>
      <c r="AE844" t="s">
        <v>16686</v>
      </c>
      <c r="AF844" t="s">
        <v>74</v>
      </c>
      <c r="AG844">
        <v>107</v>
      </c>
      <c r="AH844">
        <v>15</v>
      </c>
      <c r="AI844">
        <v>15</v>
      </c>
      <c r="AJ844">
        <v>1</v>
      </c>
      <c r="AK844">
        <v>14</v>
      </c>
      <c r="AL844" t="s">
        <v>482</v>
      </c>
      <c r="AM844" t="s">
        <v>483</v>
      </c>
      <c r="AN844" t="s">
        <v>484</v>
      </c>
      <c r="AO844" t="s">
        <v>1075</v>
      </c>
      <c r="AP844" t="s">
        <v>1076</v>
      </c>
      <c r="AQ844" t="s">
        <v>74</v>
      </c>
      <c r="AR844" t="s">
        <v>1077</v>
      </c>
      <c r="AS844" t="s">
        <v>1078</v>
      </c>
      <c r="AT844" t="s">
        <v>6558</v>
      </c>
      <c r="AU844">
        <v>2020</v>
      </c>
      <c r="AV844">
        <v>43</v>
      </c>
      <c r="AW844">
        <v>10</v>
      </c>
      <c r="AX844" t="s">
        <v>74</v>
      </c>
      <c r="AY844" t="s">
        <v>74</v>
      </c>
      <c r="AZ844" t="s">
        <v>74</v>
      </c>
      <c r="BA844" t="s">
        <v>74</v>
      </c>
      <c r="BB844">
        <v>1469</v>
      </c>
      <c r="BC844">
        <v>1492</v>
      </c>
      <c r="BD844" t="s">
        <v>74</v>
      </c>
      <c r="BE844" t="s">
        <v>16687</v>
      </c>
      <c r="BF844" t="str">
        <f>HYPERLINK("http://dx.doi.org/10.1007/s00300-020-02722-2","http://dx.doi.org/10.1007/s00300-020-02722-2")</f>
        <v>http://dx.doi.org/10.1007/s00300-020-02722-2</v>
      </c>
      <c r="BG844" t="s">
        <v>74</v>
      </c>
      <c r="BH844" t="s">
        <v>15048</v>
      </c>
      <c r="BI844">
        <v>24</v>
      </c>
      <c r="BJ844" t="s">
        <v>1080</v>
      </c>
      <c r="BK844" t="s">
        <v>100</v>
      </c>
      <c r="BL844" t="s">
        <v>256</v>
      </c>
      <c r="BM844" t="s">
        <v>15607</v>
      </c>
      <c r="BN844" t="s">
        <v>74</v>
      </c>
      <c r="BO844" t="s">
        <v>74</v>
      </c>
      <c r="BP844" t="s">
        <v>74</v>
      </c>
      <c r="BQ844" t="s">
        <v>74</v>
      </c>
      <c r="BR844" t="s">
        <v>104</v>
      </c>
      <c r="BS844" t="s">
        <v>16688</v>
      </c>
      <c r="BT844" t="str">
        <f>HYPERLINK("https%3A%2F%2Fwww.webofscience.com%2Fwos%2Fwoscc%2Ffull-record%2FWOS:000559513300001","View Full Record in Web of Science")</f>
        <v>View Full Record in Web of Science</v>
      </c>
    </row>
    <row r="845" spans="1:72" x14ac:dyDescent="0.15">
      <c r="A845" t="s">
        <v>72</v>
      </c>
      <c r="B845" t="s">
        <v>16689</v>
      </c>
      <c r="C845" t="s">
        <v>74</v>
      </c>
      <c r="D845" t="s">
        <v>74</v>
      </c>
      <c r="E845" t="s">
        <v>74</v>
      </c>
      <c r="F845" t="s">
        <v>16690</v>
      </c>
      <c r="G845" t="s">
        <v>74</v>
      </c>
      <c r="H845" t="s">
        <v>74</v>
      </c>
      <c r="I845" t="s">
        <v>16691</v>
      </c>
      <c r="J845" t="s">
        <v>16692</v>
      </c>
      <c r="K845" t="s">
        <v>74</v>
      </c>
      <c r="L845" t="s">
        <v>74</v>
      </c>
      <c r="M845" t="s">
        <v>78</v>
      </c>
      <c r="N845" t="s">
        <v>79</v>
      </c>
      <c r="O845" t="s">
        <v>74</v>
      </c>
      <c r="P845" t="s">
        <v>74</v>
      </c>
      <c r="Q845" t="s">
        <v>74</v>
      </c>
      <c r="R845" t="s">
        <v>74</v>
      </c>
      <c r="S845" t="s">
        <v>74</v>
      </c>
      <c r="T845" t="s">
        <v>16693</v>
      </c>
      <c r="U845" t="s">
        <v>16694</v>
      </c>
      <c r="V845" t="s">
        <v>16695</v>
      </c>
      <c r="W845" t="s">
        <v>16696</v>
      </c>
      <c r="X845" t="s">
        <v>16697</v>
      </c>
      <c r="Y845" t="s">
        <v>16698</v>
      </c>
      <c r="Z845" t="s">
        <v>16699</v>
      </c>
      <c r="AA845" t="s">
        <v>16700</v>
      </c>
      <c r="AB845" t="s">
        <v>74</v>
      </c>
      <c r="AC845" t="s">
        <v>16701</v>
      </c>
      <c r="AD845" t="s">
        <v>16701</v>
      </c>
      <c r="AE845" t="s">
        <v>16702</v>
      </c>
      <c r="AF845" t="s">
        <v>74</v>
      </c>
      <c r="AG845">
        <v>48</v>
      </c>
      <c r="AH845">
        <v>1</v>
      </c>
      <c r="AI845">
        <v>1</v>
      </c>
      <c r="AJ845">
        <v>2</v>
      </c>
      <c r="AK845">
        <v>13</v>
      </c>
      <c r="AL845" t="s">
        <v>692</v>
      </c>
      <c r="AM845" t="s">
        <v>693</v>
      </c>
      <c r="AN845" t="s">
        <v>694</v>
      </c>
      <c r="AO845" t="s">
        <v>16703</v>
      </c>
      <c r="AP845" t="s">
        <v>16704</v>
      </c>
      <c r="AQ845" t="s">
        <v>74</v>
      </c>
      <c r="AR845" t="s">
        <v>16705</v>
      </c>
      <c r="AS845" t="s">
        <v>16706</v>
      </c>
      <c r="AT845" t="s">
        <v>16707</v>
      </c>
      <c r="AU845">
        <v>2020</v>
      </c>
      <c r="AV845">
        <v>58</v>
      </c>
      <c r="AW845">
        <v>4</v>
      </c>
      <c r="AX845" t="s">
        <v>74</v>
      </c>
      <c r="AY845" t="s">
        <v>74</v>
      </c>
      <c r="AZ845" t="s">
        <v>74</v>
      </c>
      <c r="BA845" t="s">
        <v>74</v>
      </c>
      <c r="BB845">
        <v>287</v>
      </c>
      <c r="BC845">
        <v>301</v>
      </c>
      <c r="BD845" t="s">
        <v>74</v>
      </c>
      <c r="BE845" t="s">
        <v>16708</v>
      </c>
      <c r="BF845" t="str">
        <f>HYPERLINK("http://dx.doi.org/10.1080/07055900.2020.1792404","http://dx.doi.org/10.1080/07055900.2020.1792404")</f>
        <v>http://dx.doi.org/10.1080/07055900.2020.1792404</v>
      </c>
      <c r="BG845" t="s">
        <v>74</v>
      </c>
      <c r="BH845" t="s">
        <v>15048</v>
      </c>
      <c r="BI845">
        <v>15</v>
      </c>
      <c r="BJ845" t="s">
        <v>4760</v>
      </c>
      <c r="BK845" t="s">
        <v>100</v>
      </c>
      <c r="BL845" t="s">
        <v>4760</v>
      </c>
      <c r="BM845" t="s">
        <v>16709</v>
      </c>
      <c r="BN845" t="s">
        <v>74</v>
      </c>
      <c r="BO845" t="s">
        <v>1259</v>
      </c>
      <c r="BP845" t="s">
        <v>74</v>
      </c>
      <c r="BQ845" t="s">
        <v>74</v>
      </c>
      <c r="BR845" t="s">
        <v>104</v>
      </c>
      <c r="BS845" t="s">
        <v>16710</v>
      </c>
      <c r="BT845" t="str">
        <f>HYPERLINK("https%3A%2F%2Fwww.webofscience.com%2Fwos%2Fwoscc%2Ffull-record%2FWOS:000558954100001","View Full Record in Web of Science")</f>
        <v>View Full Record in Web of Science</v>
      </c>
    </row>
    <row r="846" spans="1:72" x14ac:dyDescent="0.15">
      <c r="A846" t="s">
        <v>72</v>
      </c>
      <c r="B846" t="s">
        <v>16711</v>
      </c>
      <c r="C846" t="s">
        <v>74</v>
      </c>
      <c r="D846" t="s">
        <v>74</v>
      </c>
      <c r="E846" t="s">
        <v>74</v>
      </c>
      <c r="F846" t="s">
        <v>16712</v>
      </c>
      <c r="G846" t="s">
        <v>74</v>
      </c>
      <c r="H846" t="s">
        <v>74</v>
      </c>
      <c r="I846" t="s">
        <v>16713</v>
      </c>
      <c r="J846" t="s">
        <v>16714</v>
      </c>
      <c r="K846" t="s">
        <v>74</v>
      </c>
      <c r="L846" t="s">
        <v>74</v>
      </c>
      <c r="M846" t="s">
        <v>78</v>
      </c>
      <c r="N846" t="s">
        <v>79</v>
      </c>
      <c r="O846" t="s">
        <v>74</v>
      </c>
      <c r="P846" t="s">
        <v>74</v>
      </c>
      <c r="Q846" t="s">
        <v>74</v>
      </c>
      <c r="R846" t="s">
        <v>74</v>
      </c>
      <c r="S846" t="s">
        <v>74</v>
      </c>
      <c r="T846" t="s">
        <v>16715</v>
      </c>
      <c r="U846" t="s">
        <v>16716</v>
      </c>
      <c r="V846" t="s">
        <v>16717</v>
      </c>
      <c r="W846" t="s">
        <v>16718</v>
      </c>
      <c r="X846" t="s">
        <v>16719</v>
      </c>
      <c r="Y846" t="s">
        <v>16720</v>
      </c>
      <c r="Z846" t="s">
        <v>16721</v>
      </c>
      <c r="AA846" t="s">
        <v>16722</v>
      </c>
      <c r="AB846" t="s">
        <v>16723</v>
      </c>
      <c r="AC846" t="s">
        <v>16724</v>
      </c>
      <c r="AD846" t="s">
        <v>16725</v>
      </c>
      <c r="AE846" t="s">
        <v>16726</v>
      </c>
      <c r="AF846" t="s">
        <v>74</v>
      </c>
      <c r="AG846">
        <v>85</v>
      </c>
      <c r="AH846">
        <v>6</v>
      </c>
      <c r="AI846">
        <v>6</v>
      </c>
      <c r="AJ846">
        <v>1</v>
      </c>
      <c r="AK846">
        <v>25</v>
      </c>
      <c r="AL846" t="s">
        <v>692</v>
      </c>
      <c r="AM846" t="s">
        <v>693</v>
      </c>
      <c r="AN846" t="s">
        <v>694</v>
      </c>
      <c r="AO846" t="s">
        <v>16727</v>
      </c>
      <c r="AP846" t="s">
        <v>16728</v>
      </c>
      <c r="AQ846" t="s">
        <v>74</v>
      </c>
      <c r="AR846" t="s">
        <v>16729</v>
      </c>
      <c r="AS846" t="s">
        <v>16730</v>
      </c>
      <c r="AT846" t="s">
        <v>16731</v>
      </c>
      <c r="AU846">
        <v>2021</v>
      </c>
      <c r="AV846">
        <v>56</v>
      </c>
      <c r="AW846">
        <v>2</v>
      </c>
      <c r="AX846" t="s">
        <v>74</v>
      </c>
      <c r="AY846" t="s">
        <v>74</v>
      </c>
      <c r="AZ846" t="s">
        <v>74</v>
      </c>
      <c r="BA846" t="s">
        <v>74</v>
      </c>
      <c r="BB846">
        <v>174</v>
      </c>
      <c r="BC846">
        <v>185</v>
      </c>
      <c r="BD846" t="s">
        <v>74</v>
      </c>
      <c r="BE846" t="s">
        <v>16732</v>
      </c>
      <c r="BF846" t="str">
        <f>HYPERLINK("http://dx.doi.org/10.1080/09670262.2020.1786858","http://dx.doi.org/10.1080/09670262.2020.1786858")</f>
        <v>http://dx.doi.org/10.1080/09670262.2020.1786858</v>
      </c>
      <c r="BG846" t="s">
        <v>74</v>
      </c>
      <c r="BH846" t="s">
        <v>15048</v>
      </c>
      <c r="BI846">
        <v>12</v>
      </c>
      <c r="BJ846" t="s">
        <v>7871</v>
      </c>
      <c r="BK846" t="s">
        <v>100</v>
      </c>
      <c r="BL846" t="s">
        <v>7871</v>
      </c>
      <c r="BM846" t="s">
        <v>16733</v>
      </c>
      <c r="BN846" t="s">
        <v>74</v>
      </c>
      <c r="BO846" t="s">
        <v>74</v>
      </c>
      <c r="BP846" t="s">
        <v>74</v>
      </c>
      <c r="BQ846" t="s">
        <v>74</v>
      </c>
      <c r="BR846" t="s">
        <v>104</v>
      </c>
      <c r="BS846" t="s">
        <v>16734</v>
      </c>
      <c r="BT846" t="str">
        <f>HYPERLINK("https%3A%2F%2Fwww.webofscience.com%2Fwos%2Fwoscc%2Ffull-record%2FWOS:000557957000001","View Full Record in Web of Science")</f>
        <v>View Full Record in Web of Science</v>
      </c>
    </row>
    <row r="847" spans="1:72" x14ac:dyDescent="0.15">
      <c r="A847" t="s">
        <v>72</v>
      </c>
      <c r="B847" t="s">
        <v>11700</v>
      </c>
      <c r="C847" t="s">
        <v>74</v>
      </c>
      <c r="D847" t="s">
        <v>74</v>
      </c>
      <c r="E847" t="s">
        <v>74</v>
      </c>
      <c r="F847" t="s">
        <v>11701</v>
      </c>
      <c r="G847" t="s">
        <v>74</v>
      </c>
      <c r="H847" t="s">
        <v>74</v>
      </c>
      <c r="I847" t="s">
        <v>16735</v>
      </c>
      <c r="J847" t="s">
        <v>5798</v>
      </c>
      <c r="K847" t="s">
        <v>74</v>
      </c>
      <c r="L847" t="s">
        <v>74</v>
      </c>
      <c r="M847" t="s">
        <v>78</v>
      </c>
      <c r="N847" t="s">
        <v>79</v>
      </c>
      <c r="O847" t="s">
        <v>74</v>
      </c>
      <c r="P847" t="s">
        <v>74</v>
      </c>
      <c r="Q847" t="s">
        <v>74</v>
      </c>
      <c r="R847" t="s">
        <v>74</v>
      </c>
      <c r="S847" t="s">
        <v>74</v>
      </c>
      <c r="T847" t="s">
        <v>74</v>
      </c>
      <c r="U847" t="s">
        <v>16736</v>
      </c>
      <c r="V847" t="s">
        <v>16737</v>
      </c>
      <c r="W847" t="s">
        <v>16738</v>
      </c>
      <c r="X847" t="s">
        <v>11706</v>
      </c>
      <c r="Y847" t="s">
        <v>16739</v>
      </c>
      <c r="Z847" t="s">
        <v>16740</v>
      </c>
      <c r="AA847" t="s">
        <v>1594</v>
      </c>
      <c r="AB847" t="s">
        <v>1595</v>
      </c>
      <c r="AC847" t="s">
        <v>16741</v>
      </c>
      <c r="AD847" t="s">
        <v>1597</v>
      </c>
      <c r="AE847" t="s">
        <v>16742</v>
      </c>
      <c r="AF847" t="s">
        <v>74</v>
      </c>
      <c r="AG847">
        <v>75</v>
      </c>
      <c r="AH847">
        <v>11</v>
      </c>
      <c r="AI847">
        <v>11</v>
      </c>
      <c r="AJ847">
        <v>0</v>
      </c>
      <c r="AK847">
        <v>8</v>
      </c>
      <c r="AL847" t="s">
        <v>5807</v>
      </c>
      <c r="AM847" t="s">
        <v>4984</v>
      </c>
      <c r="AN847" t="s">
        <v>5808</v>
      </c>
      <c r="AO847" t="s">
        <v>5809</v>
      </c>
      <c r="AP847" t="s">
        <v>74</v>
      </c>
      <c r="AQ847" t="s">
        <v>74</v>
      </c>
      <c r="AR847" t="s">
        <v>5798</v>
      </c>
      <c r="AS847" t="s">
        <v>5810</v>
      </c>
      <c r="AT847" t="s">
        <v>16743</v>
      </c>
      <c r="AU847">
        <v>2020</v>
      </c>
      <c r="AV847">
        <v>15</v>
      </c>
      <c r="AW847">
        <v>8</v>
      </c>
      <c r="AX847" t="s">
        <v>74</v>
      </c>
      <c r="AY847" t="s">
        <v>74</v>
      </c>
      <c r="AZ847" t="s">
        <v>74</v>
      </c>
      <c r="BA847" t="s">
        <v>74</v>
      </c>
      <c r="BB847" t="s">
        <v>74</v>
      </c>
      <c r="BC847" t="s">
        <v>74</v>
      </c>
      <c r="BD847" t="s">
        <v>16744</v>
      </c>
      <c r="BE847" t="s">
        <v>16745</v>
      </c>
      <c r="BF847" t="str">
        <f>HYPERLINK("http://dx.doi.org/10.1371/journal.pone.0237425","http://dx.doi.org/10.1371/journal.pone.0237425")</f>
        <v>http://dx.doi.org/10.1371/journal.pone.0237425</v>
      </c>
      <c r="BG847" t="s">
        <v>74</v>
      </c>
      <c r="BH847" t="s">
        <v>74</v>
      </c>
      <c r="BI847">
        <v>24</v>
      </c>
      <c r="BJ847" t="s">
        <v>329</v>
      </c>
      <c r="BK847" t="s">
        <v>255</v>
      </c>
      <c r="BL847" t="s">
        <v>330</v>
      </c>
      <c r="BM847" t="s">
        <v>16746</v>
      </c>
      <c r="BN847">
        <v>32785268</v>
      </c>
      <c r="BO847" t="s">
        <v>332</v>
      </c>
      <c r="BP847" t="s">
        <v>74</v>
      </c>
      <c r="BQ847" t="s">
        <v>74</v>
      </c>
      <c r="BR847" t="s">
        <v>104</v>
      </c>
      <c r="BS847" t="s">
        <v>16747</v>
      </c>
      <c r="BT847" t="str">
        <f>HYPERLINK("https%3A%2F%2Fwww.webofscience.com%2Fwos%2Fwoscc%2Ffull-record%2FWOS:000561793900019","View Full Record in Web of Science")</f>
        <v>View Full Record in Web of Science</v>
      </c>
    </row>
    <row r="848" spans="1:72" x14ac:dyDescent="0.15">
      <c r="A848" t="s">
        <v>72</v>
      </c>
      <c r="B848" t="s">
        <v>16748</v>
      </c>
      <c r="C848" t="s">
        <v>74</v>
      </c>
      <c r="D848" t="s">
        <v>74</v>
      </c>
      <c r="E848" t="s">
        <v>74</v>
      </c>
      <c r="F848" t="s">
        <v>16749</v>
      </c>
      <c r="G848" t="s">
        <v>74</v>
      </c>
      <c r="H848" t="s">
        <v>74</v>
      </c>
      <c r="I848" t="s">
        <v>16750</v>
      </c>
      <c r="J848" t="s">
        <v>5798</v>
      </c>
      <c r="K848" t="s">
        <v>74</v>
      </c>
      <c r="L848" t="s">
        <v>74</v>
      </c>
      <c r="M848" t="s">
        <v>78</v>
      </c>
      <c r="N848" t="s">
        <v>79</v>
      </c>
      <c r="O848" t="s">
        <v>74</v>
      </c>
      <c r="P848" t="s">
        <v>74</v>
      </c>
      <c r="Q848" t="s">
        <v>74</v>
      </c>
      <c r="R848" t="s">
        <v>74</v>
      </c>
      <c r="S848" t="s">
        <v>74</v>
      </c>
      <c r="T848" t="s">
        <v>74</v>
      </c>
      <c r="U848" t="s">
        <v>16751</v>
      </c>
      <c r="V848" t="s">
        <v>16752</v>
      </c>
      <c r="W848" t="s">
        <v>16753</v>
      </c>
      <c r="X848" t="s">
        <v>16719</v>
      </c>
      <c r="Y848" t="s">
        <v>16754</v>
      </c>
      <c r="Z848" t="s">
        <v>16755</v>
      </c>
      <c r="AA848" t="s">
        <v>16756</v>
      </c>
      <c r="AB848" t="s">
        <v>16757</v>
      </c>
      <c r="AC848" t="s">
        <v>16758</v>
      </c>
      <c r="AD848" t="s">
        <v>16759</v>
      </c>
      <c r="AE848" t="s">
        <v>16760</v>
      </c>
      <c r="AF848" t="s">
        <v>74</v>
      </c>
      <c r="AG848">
        <v>40</v>
      </c>
      <c r="AH848">
        <v>8</v>
      </c>
      <c r="AI848">
        <v>8</v>
      </c>
      <c r="AJ848">
        <v>0</v>
      </c>
      <c r="AK848">
        <v>11</v>
      </c>
      <c r="AL848" t="s">
        <v>5807</v>
      </c>
      <c r="AM848" t="s">
        <v>4984</v>
      </c>
      <c r="AN848" t="s">
        <v>5808</v>
      </c>
      <c r="AO848" t="s">
        <v>5809</v>
      </c>
      <c r="AP848" t="s">
        <v>74</v>
      </c>
      <c r="AQ848" t="s">
        <v>74</v>
      </c>
      <c r="AR848" t="s">
        <v>5798</v>
      </c>
      <c r="AS848" t="s">
        <v>5810</v>
      </c>
      <c r="AT848" t="s">
        <v>16743</v>
      </c>
      <c r="AU848">
        <v>2020</v>
      </c>
      <c r="AV848">
        <v>15</v>
      </c>
      <c r="AW848">
        <v>8</v>
      </c>
      <c r="AX848" t="s">
        <v>74</v>
      </c>
      <c r="AY848" t="s">
        <v>74</v>
      </c>
      <c r="AZ848" t="s">
        <v>74</v>
      </c>
      <c r="BA848" t="s">
        <v>74</v>
      </c>
      <c r="BB848" t="s">
        <v>74</v>
      </c>
      <c r="BC848" t="s">
        <v>74</v>
      </c>
      <c r="BD848" t="s">
        <v>16761</v>
      </c>
      <c r="BE848" t="s">
        <v>16762</v>
      </c>
      <c r="BF848" t="str">
        <f>HYPERLINK("http://dx.doi.org/10.1371/journal.pone.0237257","http://dx.doi.org/10.1371/journal.pone.0237257")</f>
        <v>http://dx.doi.org/10.1371/journal.pone.0237257</v>
      </c>
      <c r="BG848" t="s">
        <v>74</v>
      </c>
      <c r="BH848" t="s">
        <v>74</v>
      </c>
      <c r="BI848">
        <v>16</v>
      </c>
      <c r="BJ848" t="s">
        <v>329</v>
      </c>
      <c r="BK848" t="s">
        <v>100</v>
      </c>
      <c r="BL848" t="s">
        <v>330</v>
      </c>
      <c r="BM848" t="s">
        <v>16746</v>
      </c>
      <c r="BN848">
        <v>32785267</v>
      </c>
      <c r="BO848" t="s">
        <v>16763</v>
      </c>
      <c r="BP848" t="s">
        <v>74</v>
      </c>
      <c r="BQ848" t="s">
        <v>74</v>
      </c>
      <c r="BR848" t="s">
        <v>104</v>
      </c>
      <c r="BS848" t="s">
        <v>16764</v>
      </c>
      <c r="BT848" t="str">
        <f>HYPERLINK("https%3A%2F%2Fwww.webofscience.com%2Fwos%2Fwoscc%2Ffull-record%2FWOS:000561793900063","View Full Record in Web of Science")</f>
        <v>View Full Record in Web of Science</v>
      </c>
    </row>
    <row r="849" spans="1:72" x14ac:dyDescent="0.15">
      <c r="A849" t="s">
        <v>72</v>
      </c>
      <c r="B849" t="s">
        <v>16765</v>
      </c>
      <c r="C849" t="s">
        <v>74</v>
      </c>
      <c r="D849" t="s">
        <v>74</v>
      </c>
      <c r="E849" t="s">
        <v>74</v>
      </c>
      <c r="F849" t="s">
        <v>16766</v>
      </c>
      <c r="G849" t="s">
        <v>74</v>
      </c>
      <c r="H849" t="s">
        <v>74</v>
      </c>
      <c r="I849" t="s">
        <v>16767</v>
      </c>
      <c r="J849" t="s">
        <v>4206</v>
      </c>
      <c r="K849" t="s">
        <v>74</v>
      </c>
      <c r="L849" t="s">
        <v>74</v>
      </c>
      <c r="M849" t="s">
        <v>78</v>
      </c>
      <c r="N849" t="s">
        <v>79</v>
      </c>
      <c r="O849" t="s">
        <v>74</v>
      </c>
      <c r="P849" t="s">
        <v>74</v>
      </c>
      <c r="Q849" t="s">
        <v>74</v>
      </c>
      <c r="R849" t="s">
        <v>74</v>
      </c>
      <c r="S849" t="s">
        <v>74</v>
      </c>
      <c r="T849" t="s">
        <v>16768</v>
      </c>
      <c r="U849" t="s">
        <v>16769</v>
      </c>
      <c r="V849" t="s">
        <v>16770</v>
      </c>
      <c r="W849" t="s">
        <v>16771</v>
      </c>
      <c r="X849" t="s">
        <v>16772</v>
      </c>
      <c r="Y849" t="s">
        <v>16773</v>
      </c>
      <c r="Z849" t="s">
        <v>16774</v>
      </c>
      <c r="AA849" t="s">
        <v>16775</v>
      </c>
      <c r="AB849" t="s">
        <v>16776</v>
      </c>
      <c r="AC849" t="s">
        <v>16777</v>
      </c>
      <c r="AD849" t="s">
        <v>16778</v>
      </c>
      <c r="AE849" t="s">
        <v>16779</v>
      </c>
      <c r="AF849" t="s">
        <v>74</v>
      </c>
      <c r="AG849">
        <v>27</v>
      </c>
      <c r="AH849">
        <v>12</v>
      </c>
      <c r="AI849">
        <v>12</v>
      </c>
      <c r="AJ849">
        <v>1</v>
      </c>
      <c r="AK849">
        <v>17</v>
      </c>
      <c r="AL849" t="s">
        <v>482</v>
      </c>
      <c r="AM849" t="s">
        <v>483</v>
      </c>
      <c r="AN849" t="s">
        <v>484</v>
      </c>
      <c r="AO849" t="s">
        <v>4219</v>
      </c>
      <c r="AP849" t="s">
        <v>4220</v>
      </c>
      <c r="AQ849" t="s">
        <v>74</v>
      </c>
      <c r="AR849" t="s">
        <v>4221</v>
      </c>
      <c r="AS849" t="s">
        <v>4222</v>
      </c>
      <c r="AT849" t="s">
        <v>1212</v>
      </c>
      <c r="AU849">
        <v>2020</v>
      </c>
      <c r="AV849">
        <v>55</v>
      </c>
      <c r="AW849" t="s">
        <v>14248</v>
      </c>
      <c r="AX849" t="s">
        <v>74</v>
      </c>
      <c r="AY849" t="s">
        <v>74</v>
      </c>
      <c r="AZ849" t="s">
        <v>74</v>
      </c>
      <c r="BA849" t="s">
        <v>74</v>
      </c>
      <c r="BB849">
        <v>2835</v>
      </c>
      <c r="BC849">
        <v>2847</v>
      </c>
      <c r="BD849" t="s">
        <v>74</v>
      </c>
      <c r="BE849" t="s">
        <v>16780</v>
      </c>
      <c r="BF849" t="str">
        <f>HYPERLINK("http://dx.doi.org/10.1007/s00382-020-05412-1","http://dx.doi.org/10.1007/s00382-020-05412-1")</f>
        <v>http://dx.doi.org/10.1007/s00382-020-05412-1</v>
      </c>
      <c r="BG849" t="s">
        <v>74</v>
      </c>
      <c r="BH849" t="s">
        <v>15048</v>
      </c>
      <c r="BI849">
        <v>13</v>
      </c>
      <c r="BJ849" t="s">
        <v>800</v>
      </c>
      <c r="BK849" t="s">
        <v>100</v>
      </c>
      <c r="BL849" t="s">
        <v>800</v>
      </c>
      <c r="BM849" t="s">
        <v>16570</v>
      </c>
      <c r="BN849" t="s">
        <v>74</v>
      </c>
      <c r="BO849" t="s">
        <v>74</v>
      </c>
      <c r="BP849" t="s">
        <v>74</v>
      </c>
      <c r="BQ849" t="s">
        <v>74</v>
      </c>
      <c r="BR849" t="s">
        <v>104</v>
      </c>
      <c r="BS849" t="s">
        <v>16781</v>
      </c>
      <c r="BT849" t="str">
        <f>HYPERLINK("https%3A%2F%2Fwww.webofscience.com%2Fwos%2Fwoscc%2Ffull-record%2FWOS:000559366500001","View Full Record in Web of Science")</f>
        <v>View Full Record in Web of Science</v>
      </c>
    </row>
    <row r="850" spans="1:72" x14ac:dyDescent="0.15">
      <c r="A850" t="s">
        <v>72</v>
      </c>
      <c r="B850" t="s">
        <v>16782</v>
      </c>
      <c r="C850" t="s">
        <v>74</v>
      </c>
      <c r="D850" t="s">
        <v>74</v>
      </c>
      <c r="E850" t="s">
        <v>74</v>
      </c>
      <c r="F850" t="s">
        <v>16783</v>
      </c>
      <c r="G850" t="s">
        <v>74</v>
      </c>
      <c r="H850" t="s">
        <v>74</v>
      </c>
      <c r="I850" t="s">
        <v>16784</v>
      </c>
      <c r="J850" t="s">
        <v>5669</v>
      </c>
      <c r="K850" t="s">
        <v>74</v>
      </c>
      <c r="L850" t="s">
        <v>74</v>
      </c>
      <c r="M850" t="s">
        <v>78</v>
      </c>
      <c r="N850" t="s">
        <v>138</v>
      </c>
      <c r="O850" t="s">
        <v>74</v>
      </c>
      <c r="P850" t="s">
        <v>74</v>
      </c>
      <c r="Q850" t="s">
        <v>74</v>
      </c>
      <c r="R850" t="s">
        <v>74</v>
      </c>
      <c r="S850" t="s">
        <v>74</v>
      </c>
      <c r="T850" t="s">
        <v>16785</v>
      </c>
      <c r="U850" t="s">
        <v>16786</v>
      </c>
      <c r="V850" t="s">
        <v>16787</v>
      </c>
      <c r="W850" t="s">
        <v>16788</v>
      </c>
      <c r="X850" t="s">
        <v>16789</v>
      </c>
      <c r="Y850" t="s">
        <v>16790</v>
      </c>
      <c r="Z850" t="s">
        <v>16791</v>
      </c>
      <c r="AA850" t="s">
        <v>16792</v>
      </c>
      <c r="AB850" t="s">
        <v>16793</v>
      </c>
      <c r="AC850" t="s">
        <v>16794</v>
      </c>
      <c r="AD850" t="s">
        <v>16795</v>
      </c>
      <c r="AE850" t="s">
        <v>16796</v>
      </c>
      <c r="AF850" t="s">
        <v>74</v>
      </c>
      <c r="AG850">
        <v>62</v>
      </c>
      <c r="AH850">
        <v>7</v>
      </c>
      <c r="AI850">
        <v>7</v>
      </c>
      <c r="AJ850">
        <v>8</v>
      </c>
      <c r="AK850">
        <v>72</v>
      </c>
      <c r="AL850" t="s">
        <v>219</v>
      </c>
      <c r="AM850" t="s">
        <v>220</v>
      </c>
      <c r="AN850" t="s">
        <v>221</v>
      </c>
      <c r="AO850" t="s">
        <v>5682</v>
      </c>
      <c r="AP850" t="s">
        <v>5683</v>
      </c>
      <c r="AQ850" t="s">
        <v>74</v>
      </c>
      <c r="AR850" t="s">
        <v>5684</v>
      </c>
      <c r="AS850" t="s">
        <v>5685</v>
      </c>
      <c r="AT850" t="s">
        <v>720</v>
      </c>
      <c r="AU850">
        <v>2020</v>
      </c>
      <c r="AV850">
        <v>30</v>
      </c>
      <c r="AW850">
        <v>12</v>
      </c>
      <c r="AX850" t="s">
        <v>74</v>
      </c>
      <c r="AY850" t="s">
        <v>74</v>
      </c>
      <c r="AZ850" t="s">
        <v>74</v>
      </c>
      <c r="BA850" t="s">
        <v>74</v>
      </c>
      <c r="BB850">
        <v>2428</v>
      </c>
      <c r="BC850">
        <v>2440</v>
      </c>
      <c r="BD850" t="s">
        <v>74</v>
      </c>
      <c r="BE850" t="s">
        <v>16797</v>
      </c>
      <c r="BF850" t="str">
        <f>HYPERLINK("http://dx.doi.org/10.1002/aqc.3371","http://dx.doi.org/10.1002/aqc.3371")</f>
        <v>http://dx.doi.org/10.1002/aqc.3371</v>
      </c>
      <c r="BG850" t="s">
        <v>74</v>
      </c>
      <c r="BH850" t="s">
        <v>15048</v>
      </c>
      <c r="BI850">
        <v>13</v>
      </c>
      <c r="BJ850" t="s">
        <v>5687</v>
      </c>
      <c r="BK850" t="s">
        <v>100</v>
      </c>
      <c r="BL850" t="s">
        <v>5688</v>
      </c>
      <c r="BM850" t="s">
        <v>16798</v>
      </c>
      <c r="BN850" t="s">
        <v>74</v>
      </c>
      <c r="BO850" t="s">
        <v>376</v>
      </c>
      <c r="BP850" t="s">
        <v>74</v>
      </c>
      <c r="BQ850" t="s">
        <v>74</v>
      </c>
      <c r="BR850" t="s">
        <v>104</v>
      </c>
      <c r="BS850" t="s">
        <v>16799</v>
      </c>
      <c r="BT850" t="str">
        <f>HYPERLINK("https%3A%2F%2Fwww.webofscience.com%2Fwos%2Fwoscc%2Ffull-record%2FWOS:000558586000001","View Full Record in Web of Science")</f>
        <v>View Full Record in Web of Science</v>
      </c>
    </row>
    <row r="851" spans="1:72" x14ac:dyDescent="0.15">
      <c r="A851" t="s">
        <v>72</v>
      </c>
      <c r="B851" t="s">
        <v>16800</v>
      </c>
      <c r="C851" t="s">
        <v>74</v>
      </c>
      <c r="D851" t="s">
        <v>74</v>
      </c>
      <c r="E851" t="s">
        <v>74</v>
      </c>
      <c r="F851" t="s">
        <v>16801</v>
      </c>
      <c r="G851" t="s">
        <v>74</v>
      </c>
      <c r="H851" t="s">
        <v>74</v>
      </c>
      <c r="I851" t="s">
        <v>16802</v>
      </c>
      <c r="J851" t="s">
        <v>16803</v>
      </c>
      <c r="K851" t="s">
        <v>74</v>
      </c>
      <c r="L851" t="s">
        <v>74</v>
      </c>
      <c r="M851" t="s">
        <v>78</v>
      </c>
      <c r="N851" t="s">
        <v>79</v>
      </c>
      <c r="O851" t="s">
        <v>74</v>
      </c>
      <c r="P851" t="s">
        <v>74</v>
      </c>
      <c r="Q851" t="s">
        <v>74</v>
      </c>
      <c r="R851" t="s">
        <v>74</v>
      </c>
      <c r="S851" t="s">
        <v>74</v>
      </c>
      <c r="T851" t="s">
        <v>16804</v>
      </c>
      <c r="U851" t="s">
        <v>16805</v>
      </c>
      <c r="V851" t="s">
        <v>16806</v>
      </c>
      <c r="W851" t="s">
        <v>16807</v>
      </c>
      <c r="X851" t="s">
        <v>10159</v>
      </c>
      <c r="Y851" t="s">
        <v>16808</v>
      </c>
      <c r="Z851" t="s">
        <v>16809</v>
      </c>
      <c r="AA851" t="s">
        <v>16810</v>
      </c>
      <c r="AB851" t="s">
        <v>16811</v>
      </c>
      <c r="AC851" t="s">
        <v>1597</v>
      </c>
      <c r="AD851" t="s">
        <v>1597</v>
      </c>
      <c r="AE851" t="s">
        <v>1597</v>
      </c>
      <c r="AF851" t="s">
        <v>74</v>
      </c>
      <c r="AG851">
        <v>80</v>
      </c>
      <c r="AH851">
        <v>16</v>
      </c>
      <c r="AI851">
        <v>16</v>
      </c>
      <c r="AJ851">
        <v>0</v>
      </c>
      <c r="AK851">
        <v>25</v>
      </c>
      <c r="AL851" t="s">
        <v>219</v>
      </c>
      <c r="AM851" t="s">
        <v>220</v>
      </c>
      <c r="AN851" t="s">
        <v>221</v>
      </c>
      <c r="AO851" t="s">
        <v>16812</v>
      </c>
      <c r="AP851" t="s">
        <v>16813</v>
      </c>
      <c r="AQ851" t="s">
        <v>74</v>
      </c>
      <c r="AR851" t="s">
        <v>16814</v>
      </c>
      <c r="AS851" t="s">
        <v>16815</v>
      </c>
      <c r="AT851" t="s">
        <v>6558</v>
      </c>
      <c r="AU851">
        <v>2020</v>
      </c>
      <c r="AV851">
        <v>26</v>
      </c>
      <c r="AW851">
        <v>10</v>
      </c>
      <c r="AX851" t="s">
        <v>74</v>
      </c>
      <c r="AY851" t="s">
        <v>74</v>
      </c>
      <c r="AZ851" t="s">
        <v>74</v>
      </c>
      <c r="BA851" t="s">
        <v>74</v>
      </c>
      <c r="BB851">
        <v>1291</v>
      </c>
      <c r="BC851">
        <v>1304</v>
      </c>
      <c r="BD851" t="s">
        <v>74</v>
      </c>
      <c r="BE851" t="s">
        <v>16816</v>
      </c>
      <c r="BF851" t="str">
        <f>HYPERLINK("http://dx.doi.org/10.1111/ddi.13120","http://dx.doi.org/10.1111/ddi.13120")</f>
        <v>http://dx.doi.org/10.1111/ddi.13120</v>
      </c>
      <c r="BG851" t="s">
        <v>74</v>
      </c>
      <c r="BH851" t="s">
        <v>15048</v>
      </c>
      <c r="BI851">
        <v>14</v>
      </c>
      <c r="BJ851" t="s">
        <v>1080</v>
      </c>
      <c r="BK851" t="s">
        <v>100</v>
      </c>
      <c r="BL851" t="s">
        <v>256</v>
      </c>
      <c r="BM851" t="s">
        <v>16817</v>
      </c>
      <c r="BN851" t="s">
        <v>74</v>
      </c>
      <c r="BO851" t="s">
        <v>202</v>
      </c>
      <c r="BP851" t="s">
        <v>74</v>
      </c>
      <c r="BQ851" t="s">
        <v>74</v>
      </c>
      <c r="BR851" t="s">
        <v>104</v>
      </c>
      <c r="BS851" t="s">
        <v>16818</v>
      </c>
      <c r="BT851" t="str">
        <f>HYPERLINK("https%3A%2F%2Fwww.webofscience.com%2Fwos%2Fwoscc%2Ffull-record%2FWOS:000558541800001","View Full Record in Web of Science")</f>
        <v>View Full Record in Web of Science</v>
      </c>
    </row>
    <row r="852" spans="1:72" x14ac:dyDescent="0.15">
      <c r="A852" t="s">
        <v>72</v>
      </c>
      <c r="B852" t="s">
        <v>16819</v>
      </c>
      <c r="C852" t="s">
        <v>74</v>
      </c>
      <c r="D852" t="s">
        <v>74</v>
      </c>
      <c r="E852" t="s">
        <v>74</v>
      </c>
      <c r="F852" t="s">
        <v>16820</v>
      </c>
      <c r="G852" t="s">
        <v>74</v>
      </c>
      <c r="H852" t="s">
        <v>74</v>
      </c>
      <c r="I852" t="s">
        <v>16821</v>
      </c>
      <c r="J852" t="s">
        <v>901</v>
      </c>
      <c r="K852" t="s">
        <v>74</v>
      </c>
      <c r="L852" t="s">
        <v>74</v>
      </c>
      <c r="M852" t="s">
        <v>78</v>
      </c>
      <c r="N852" t="s">
        <v>79</v>
      </c>
      <c r="O852" t="s">
        <v>74</v>
      </c>
      <c r="P852" t="s">
        <v>74</v>
      </c>
      <c r="Q852" t="s">
        <v>74</v>
      </c>
      <c r="R852" t="s">
        <v>74</v>
      </c>
      <c r="S852" t="s">
        <v>74</v>
      </c>
      <c r="T852" t="s">
        <v>16822</v>
      </c>
      <c r="U852" t="s">
        <v>16823</v>
      </c>
      <c r="V852" t="s">
        <v>16824</v>
      </c>
      <c r="W852" t="s">
        <v>16825</v>
      </c>
      <c r="X852" t="s">
        <v>16826</v>
      </c>
      <c r="Y852" t="s">
        <v>16827</v>
      </c>
      <c r="Z852" t="s">
        <v>16828</v>
      </c>
      <c r="AA852" t="s">
        <v>16829</v>
      </c>
      <c r="AB852" t="s">
        <v>16830</v>
      </c>
      <c r="AC852" t="s">
        <v>16831</v>
      </c>
      <c r="AD852" t="s">
        <v>16832</v>
      </c>
      <c r="AE852" t="s">
        <v>16833</v>
      </c>
      <c r="AF852" t="s">
        <v>74</v>
      </c>
      <c r="AG852">
        <v>108</v>
      </c>
      <c r="AH852">
        <v>25</v>
      </c>
      <c r="AI852">
        <v>25</v>
      </c>
      <c r="AJ852">
        <v>0</v>
      </c>
      <c r="AK852">
        <v>17</v>
      </c>
      <c r="AL852" t="s">
        <v>866</v>
      </c>
      <c r="AM852" t="s">
        <v>867</v>
      </c>
      <c r="AN852" t="s">
        <v>868</v>
      </c>
      <c r="AO852" t="s">
        <v>74</v>
      </c>
      <c r="AP852" t="s">
        <v>914</v>
      </c>
      <c r="AQ852" t="s">
        <v>74</v>
      </c>
      <c r="AR852" t="s">
        <v>915</v>
      </c>
      <c r="AS852" t="s">
        <v>916</v>
      </c>
      <c r="AT852" t="s">
        <v>16743</v>
      </c>
      <c r="AU852">
        <v>2020</v>
      </c>
      <c r="AV852">
        <v>7</v>
      </c>
      <c r="AW852" t="s">
        <v>74</v>
      </c>
      <c r="AX852" t="s">
        <v>74</v>
      </c>
      <c r="AY852" t="s">
        <v>74</v>
      </c>
      <c r="AZ852" t="s">
        <v>74</v>
      </c>
      <c r="BA852" t="s">
        <v>74</v>
      </c>
      <c r="BB852" t="s">
        <v>74</v>
      </c>
      <c r="BC852" t="s">
        <v>74</v>
      </c>
      <c r="BD852">
        <v>536</v>
      </c>
      <c r="BE852" t="s">
        <v>16834</v>
      </c>
      <c r="BF852" t="str">
        <f>HYPERLINK("http://dx.doi.org/10.3389/fmars.2020.00536","http://dx.doi.org/10.3389/fmars.2020.00536")</f>
        <v>http://dx.doi.org/10.3389/fmars.2020.00536</v>
      </c>
      <c r="BG852" t="s">
        <v>74</v>
      </c>
      <c r="BH852" t="s">
        <v>74</v>
      </c>
      <c r="BI852">
        <v>22</v>
      </c>
      <c r="BJ852" t="s">
        <v>918</v>
      </c>
      <c r="BK852" t="s">
        <v>100</v>
      </c>
      <c r="BL852" t="s">
        <v>919</v>
      </c>
      <c r="BM852" t="s">
        <v>16835</v>
      </c>
      <c r="BN852" t="s">
        <v>74</v>
      </c>
      <c r="BO852" t="s">
        <v>332</v>
      </c>
      <c r="BP852" t="s">
        <v>74</v>
      </c>
      <c r="BQ852" t="s">
        <v>74</v>
      </c>
      <c r="BR852" t="s">
        <v>104</v>
      </c>
      <c r="BS852" t="s">
        <v>16836</v>
      </c>
      <c r="BT852" t="str">
        <f>HYPERLINK("https%3A%2F%2Fwww.webofscience.com%2Fwos%2Fwoscc%2Ffull-record%2FWOS:000559799600001","View Full Record in Web of Science")</f>
        <v>View Full Record in Web of Science</v>
      </c>
    </row>
    <row r="853" spans="1:72" x14ac:dyDescent="0.15">
      <c r="A853" t="s">
        <v>72</v>
      </c>
      <c r="B853" t="s">
        <v>16837</v>
      </c>
      <c r="C853" t="s">
        <v>74</v>
      </c>
      <c r="D853" t="s">
        <v>74</v>
      </c>
      <c r="E853" t="s">
        <v>74</v>
      </c>
      <c r="F853" t="s">
        <v>16838</v>
      </c>
      <c r="G853" t="s">
        <v>74</v>
      </c>
      <c r="H853" t="s">
        <v>74</v>
      </c>
      <c r="I853" t="s">
        <v>16839</v>
      </c>
      <c r="J853" t="s">
        <v>4046</v>
      </c>
      <c r="K853" t="s">
        <v>74</v>
      </c>
      <c r="L853" t="s">
        <v>74</v>
      </c>
      <c r="M853" t="s">
        <v>78</v>
      </c>
      <c r="N853" t="s">
        <v>79</v>
      </c>
      <c r="O853" t="s">
        <v>74</v>
      </c>
      <c r="P853" t="s">
        <v>74</v>
      </c>
      <c r="Q853" t="s">
        <v>74</v>
      </c>
      <c r="R853" t="s">
        <v>74</v>
      </c>
      <c r="S853" t="s">
        <v>74</v>
      </c>
      <c r="T853" t="s">
        <v>16840</v>
      </c>
      <c r="U853" t="s">
        <v>16841</v>
      </c>
      <c r="V853" t="s">
        <v>16842</v>
      </c>
      <c r="W853" t="s">
        <v>16843</v>
      </c>
      <c r="X853" t="s">
        <v>16844</v>
      </c>
      <c r="Y853" t="s">
        <v>16845</v>
      </c>
      <c r="Z853" t="s">
        <v>213</v>
      </c>
      <c r="AA853" t="s">
        <v>16846</v>
      </c>
      <c r="AB853" t="s">
        <v>16847</v>
      </c>
      <c r="AC853" t="s">
        <v>16848</v>
      </c>
      <c r="AD853" t="s">
        <v>16849</v>
      </c>
      <c r="AE853" t="s">
        <v>16850</v>
      </c>
      <c r="AF853" t="s">
        <v>74</v>
      </c>
      <c r="AG853">
        <v>86</v>
      </c>
      <c r="AH853">
        <v>18</v>
      </c>
      <c r="AI853">
        <v>19</v>
      </c>
      <c r="AJ853">
        <v>8</v>
      </c>
      <c r="AK853">
        <v>38</v>
      </c>
      <c r="AL853" t="s">
        <v>866</v>
      </c>
      <c r="AM853" t="s">
        <v>867</v>
      </c>
      <c r="AN853" t="s">
        <v>868</v>
      </c>
      <c r="AO853" t="s">
        <v>74</v>
      </c>
      <c r="AP853" t="s">
        <v>4058</v>
      </c>
      <c r="AQ853" t="s">
        <v>74</v>
      </c>
      <c r="AR853" t="s">
        <v>4059</v>
      </c>
      <c r="AS853" t="s">
        <v>4060</v>
      </c>
      <c r="AT853" t="s">
        <v>16743</v>
      </c>
      <c r="AU853">
        <v>2020</v>
      </c>
      <c r="AV853">
        <v>11</v>
      </c>
      <c r="AW853" t="s">
        <v>74</v>
      </c>
      <c r="AX853" t="s">
        <v>74</v>
      </c>
      <c r="AY853" t="s">
        <v>74</v>
      </c>
      <c r="AZ853" t="s">
        <v>74</v>
      </c>
      <c r="BA853" t="s">
        <v>74</v>
      </c>
      <c r="BB853" t="s">
        <v>74</v>
      </c>
      <c r="BC853" t="s">
        <v>74</v>
      </c>
      <c r="BD853">
        <v>1936</v>
      </c>
      <c r="BE853" t="s">
        <v>16851</v>
      </c>
      <c r="BF853" t="str">
        <f>HYPERLINK("http://dx.doi.org/10.3389/fmicb.2020.01936","http://dx.doi.org/10.3389/fmicb.2020.01936")</f>
        <v>http://dx.doi.org/10.3389/fmicb.2020.01936</v>
      </c>
      <c r="BG853" t="s">
        <v>74</v>
      </c>
      <c r="BH853" t="s">
        <v>74</v>
      </c>
      <c r="BI853">
        <v>13</v>
      </c>
      <c r="BJ853" t="s">
        <v>229</v>
      </c>
      <c r="BK853" t="s">
        <v>100</v>
      </c>
      <c r="BL853" t="s">
        <v>229</v>
      </c>
      <c r="BM853" t="s">
        <v>16852</v>
      </c>
      <c r="BN853">
        <v>32903524</v>
      </c>
      <c r="BO853" t="s">
        <v>332</v>
      </c>
      <c r="BP853" t="s">
        <v>74</v>
      </c>
      <c r="BQ853" t="s">
        <v>74</v>
      </c>
      <c r="BR853" t="s">
        <v>104</v>
      </c>
      <c r="BS853" t="s">
        <v>16853</v>
      </c>
      <c r="BT853" t="str">
        <f>HYPERLINK("https%3A%2F%2Fwww.webofscience.com%2Fwos%2Fwoscc%2Ffull-record%2FWOS:000565344200001","View Full Record in Web of Science")</f>
        <v>View Full Record in Web of Science</v>
      </c>
    </row>
    <row r="854" spans="1:72" x14ac:dyDescent="0.15">
      <c r="A854" t="s">
        <v>72</v>
      </c>
      <c r="B854" t="s">
        <v>16854</v>
      </c>
      <c r="C854" t="s">
        <v>74</v>
      </c>
      <c r="D854" t="s">
        <v>74</v>
      </c>
      <c r="E854" t="s">
        <v>74</v>
      </c>
      <c r="F854" t="s">
        <v>16855</v>
      </c>
      <c r="G854" t="s">
        <v>74</v>
      </c>
      <c r="H854" t="s">
        <v>74</v>
      </c>
      <c r="I854" t="s">
        <v>16856</v>
      </c>
      <c r="J854" t="s">
        <v>5487</v>
      </c>
      <c r="K854" t="s">
        <v>74</v>
      </c>
      <c r="L854" t="s">
        <v>74</v>
      </c>
      <c r="M854" t="s">
        <v>78</v>
      </c>
      <c r="N854" t="s">
        <v>79</v>
      </c>
      <c r="O854" t="s">
        <v>74</v>
      </c>
      <c r="P854" t="s">
        <v>74</v>
      </c>
      <c r="Q854" t="s">
        <v>74</v>
      </c>
      <c r="R854" t="s">
        <v>74</v>
      </c>
      <c r="S854" t="s">
        <v>74</v>
      </c>
      <c r="T854" t="s">
        <v>16857</v>
      </c>
      <c r="U854" t="s">
        <v>16858</v>
      </c>
      <c r="V854" t="s">
        <v>16859</v>
      </c>
      <c r="W854" t="s">
        <v>16860</v>
      </c>
      <c r="X854" t="s">
        <v>16861</v>
      </c>
      <c r="Y854" t="s">
        <v>16862</v>
      </c>
      <c r="Z854" t="s">
        <v>16863</v>
      </c>
      <c r="AA854" t="s">
        <v>16864</v>
      </c>
      <c r="AB854" t="s">
        <v>16865</v>
      </c>
      <c r="AC854" t="s">
        <v>16866</v>
      </c>
      <c r="AD854" t="s">
        <v>16867</v>
      </c>
      <c r="AE854" t="s">
        <v>16868</v>
      </c>
      <c r="AF854" t="s">
        <v>74</v>
      </c>
      <c r="AG854">
        <v>48</v>
      </c>
      <c r="AH854">
        <v>7</v>
      </c>
      <c r="AI854">
        <v>7</v>
      </c>
      <c r="AJ854">
        <v>0</v>
      </c>
      <c r="AK854">
        <v>21</v>
      </c>
      <c r="AL854" t="s">
        <v>219</v>
      </c>
      <c r="AM854" t="s">
        <v>220</v>
      </c>
      <c r="AN854" t="s">
        <v>221</v>
      </c>
      <c r="AO854" t="s">
        <v>5498</v>
      </c>
      <c r="AP854" t="s">
        <v>5499</v>
      </c>
      <c r="AQ854" t="s">
        <v>74</v>
      </c>
      <c r="AR854" t="s">
        <v>5500</v>
      </c>
      <c r="AS854" t="s">
        <v>5501</v>
      </c>
      <c r="AT854" t="s">
        <v>6558</v>
      </c>
      <c r="AU854">
        <v>2020</v>
      </c>
      <c r="AV854">
        <v>23</v>
      </c>
      <c r="AW854">
        <v>10</v>
      </c>
      <c r="AX854" t="s">
        <v>74</v>
      </c>
      <c r="AY854" t="s">
        <v>74</v>
      </c>
      <c r="AZ854" t="s">
        <v>74</v>
      </c>
      <c r="BA854" t="s">
        <v>74</v>
      </c>
      <c r="BB854">
        <v>1460</v>
      </c>
      <c r="BC854">
        <v>1467</v>
      </c>
      <c r="BD854" t="s">
        <v>74</v>
      </c>
      <c r="BE854" t="s">
        <v>16869</v>
      </c>
      <c r="BF854" t="str">
        <f>HYPERLINK("http://dx.doi.org/10.1111/ele.13578","http://dx.doi.org/10.1111/ele.13578")</f>
        <v>http://dx.doi.org/10.1111/ele.13578</v>
      </c>
      <c r="BG854" t="s">
        <v>74</v>
      </c>
      <c r="BH854" t="s">
        <v>15048</v>
      </c>
      <c r="BI854">
        <v>8</v>
      </c>
      <c r="BJ854" t="s">
        <v>823</v>
      </c>
      <c r="BK854" t="s">
        <v>100</v>
      </c>
      <c r="BL854" t="s">
        <v>284</v>
      </c>
      <c r="BM854" t="s">
        <v>16870</v>
      </c>
      <c r="BN854">
        <v>32779837</v>
      </c>
      <c r="BO854" t="s">
        <v>8834</v>
      </c>
      <c r="BP854" t="s">
        <v>74</v>
      </c>
      <c r="BQ854" t="s">
        <v>74</v>
      </c>
      <c r="BR854" t="s">
        <v>104</v>
      </c>
      <c r="BS854" t="s">
        <v>16871</v>
      </c>
      <c r="BT854" t="str">
        <f>HYPERLINK("https%3A%2F%2Fwww.webofscience.com%2Fwos%2Fwoscc%2Ffull-record%2FWOS:000563931100001","View Full Record in Web of Science")</f>
        <v>View Full Record in Web of Science</v>
      </c>
    </row>
    <row r="855" spans="1:72" x14ac:dyDescent="0.15">
      <c r="A855" t="s">
        <v>72</v>
      </c>
      <c r="B855" t="s">
        <v>16872</v>
      </c>
      <c r="C855" t="s">
        <v>74</v>
      </c>
      <c r="D855" t="s">
        <v>74</v>
      </c>
      <c r="E855" t="s">
        <v>74</v>
      </c>
      <c r="F855" t="s">
        <v>16873</v>
      </c>
      <c r="G855" t="s">
        <v>74</v>
      </c>
      <c r="H855" t="s">
        <v>74</v>
      </c>
      <c r="I855" t="s">
        <v>16874</v>
      </c>
      <c r="J855" t="s">
        <v>4007</v>
      </c>
      <c r="K855" t="s">
        <v>74</v>
      </c>
      <c r="L855" t="s">
        <v>74</v>
      </c>
      <c r="M855" t="s">
        <v>78</v>
      </c>
      <c r="N855" t="s">
        <v>79</v>
      </c>
      <c r="O855" t="s">
        <v>74</v>
      </c>
      <c r="P855" t="s">
        <v>74</v>
      </c>
      <c r="Q855" t="s">
        <v>74</v>
      </c>
      <c r="R855" t="s">
        <v>74</v>
      </c>
      <c r="S855" t="s">
        <v>74</v>
      </c>
      <c r="T855" t="s">
        <v>16875</v>
      </c>
      <c r="U855" t="s">
        <v>16876</v>
      </c>
      <c r="V855" t="s">
        <v>16877</v>
      </c>
      <c r="W855" t="s">
        <v>16878</v>
      </c>
      <c r="X855" t="s">
        <v>16879</v>
      </c>
      <c r="Y855" t="s">
        <v>16880</v>
      </c>
      <c r="Z855" t="s">
        <v>16881</v>
      </c>
      <c r="AA855" t="s">
        <v>16882</v>
      </c>
      <c r="AB855" t="s">
        <v>16883</v>
      </c>
      <c r="AC855" t="s">
        <v>16884</v>
      </c>
      <c r="AD855" t="s">
        <v>16885</v>
      </c>
      <c r="AE855" t="s">
        <v>16886</v>
      </c>
      <c r="AF855" t="s">
        <v>74</v>
      </c>
      <c r="AG855">
        <v>98</v>
      </c>
      <c r="AH855">
        <v>45</v>
      </c>
      <c r="AI855">
        <v>54</v>
      </c>
      <c r="AJ855">
        <v>2</v>
      </c>
      <c r="AK855">
        <v>26</v>
      </c>
      <c r="AL855" t="s">
        <v>4018</v>
      </c>
      <c r="AM855" t="s">
        <v>609</v>
      </c>
      <c r="AN855" t="s">
        <v>4019</v>
      </c>
      <c r="AO855" t="s">
        <v>4020</v>
      </c>
      <c r="AP855" t="s">
        <v>74</v>
      </c>
      <c r="AQ855" t="s">
        <v>74</v>
      </c>
      <c r="AR855" t="s">
        <v>4021</v>
      </c>
      <c r="AS855" t="s">
        <v>4022</v>
      </c>
      <c r="AT855" t="s">
        <v>16887</v>
      </c>
      <c r="AU855">
        <v>2020</v>
      </c>
      <c r="AV855">
        <v>117</v>
      </c>
      <c r="AW855">
        <v>32</v>
      </c>
      <c r="AX855" t="s">
        <v>74</v>
      </c>
      <c r="AY855" t="s">
        <v>74</v>
      </c>
      <c r="AZ855" t="s">
        <v>74</v>
      </c>
      <c r="BA855" t="s">
        <v>74</v>
      </c>
      <c r="BB855">
        <v>18998</v>
      </c>
      <c r="BC855">
        <v>19006</v>
      </c>
      <c r="BD855" t="s">
        <v>74</v>
      </c>
      <c r="BE855" t="s">
        <v>16888</v>
      </c>
      <c r="BF855" t="str">
        <f>HYPERLINK("http://dx.doi.org/10.1073/pnas.1922502117","http://dx.doi.org/10.1073/pnas.1922502117")</f>
        <v>http://dx.doi.org/10.1073/pnas.1922502117</v>
      </c>
      <c r="BG855" t="s">
        <v>74</v>
      </c>
      <c r="BH855" t="s">
        <v>74</v>
      </c>
      <c r="BI855">
        <v>9</v>
      </c>
      <c r="BJ855" t="s">
        <v>329</v>
      </c>
      <c r="BK855" t="s">
        <v>100</v>
      </c>
      <c r="BL855" t="s">
        <v>330</v>
      </c>
      <c r="BM855" t="s">
        <v>16889</v>
      </c>
      <c r="BN855">
        <v>32719114</v>
      </c>
      <c r="BO855" t="s">
        <v>564</v>
      </c>
      <c r="BP855" t="s">
        <v>74</v>
      </c>
      <c r="BQ855" t="s">
        <v>74</v>
      </c>
      <c r="BR855" t="s">
        <v>104</v>
      </c>
      <c r="BS855" t="s">
        <v>16890</v>
      </c>
      <c r="BT855" t="str">
        <f>HYPERLINK("https%3A%2F%2Fwww.webofscience.com%2Fwos%2Fwoscc%2Ffull-record%2FWOS:000561789200021","View Full Record in Web of Science")</f>
        <v>View Full Record in Web of Science</v>
      </c>
    </row>
    <row r="856" spans="1:72" x14ac:dyDescent="0.15">
      <c r="A856" t="s">
        <v>72</v>
      </c>
      <c r="B856" t="s">
        <v>16891</v>
      </c>
      <c r="C856" t="s">
        <v>74</v>
      </c>
      <c r="D856" t="s">
        <v>74</v>
      </c>
      <c r="E856" t="s">
        <v>74</v>
      </c>
      <c r="F856" t="s">
        <v>16892</v>
      </c>
      <c r="G856" t="s">
        <v>74</v>
      </c>
      <c r="H856" t="s">
        <v>74</v>
      </c>
      <c r="I856" t="s">
        <v>16893</v>
      </c>
      <c r="J856" t="s">
        <v>1010</v>
      </c>
      <c r="K856" t="s">
        <v>74</v>
      </c>
      <c r="L856" t="s">
        <v>74</v>
      </c>
      <c r="M856" t="s">
        <v>78</v>
      </c>
      <c r="N856" t="s">
        <v>79</v>
      </c>
      <c r="O856" t="s">
        <v>74</v>
      </c>
      <c r="P856" t="s">
        <v>74</v>
      </c>
      <c r="Q856" t="s">
        <v>74</v>
      </c>
      <c r="R856" t="s">
        <v>74</v>
      </c>
      <c r="S856" t="s">
        <v>74</v>
      </c>
      <c r="T856" t="s">
        <v>74</v>
      </c>
      <c r="U856" t="s">
        <v>16894</v>
      </c>
      <c r="V856" t="s">
        <v>16895</v>
      </c>
      <c r="W856" t="s">
        <v>16896</v>
      </c>
      <c r="X856" t="s">
        <v>16897</v>
      </c>
      <c r="Y856" t="s">
        <v>16898</v>
      </c>
      <c r="Z856" t="s">
        <v>16899</v>
      </c>
      <c r="AA856" t="s">
        <v>16900</v>
      </c>
      <c r="AB856" t="s">
        <v>16901</v>
      </c>
      <c r="AC856" t="s">
        <v>74</v>
      </c>
      <c r="AD856" t="s">
        <v>74</v>
      </c>
      <c r="AE856" t="s">
        <v>74</v>
      </c>
      <c r="AF856" t="s">
        <v>74</v>
      </c>
      <c r="AG856">
        <v>44</v>
      </c>
      <c r="AH856">
        <v>10</v>
      </c>
      <c r="AI856">
        <v>11</v>
      </c>
      <c r="AJ856">
        <v>1</v>
      </c>
      <c r="AK856">
        <v>5</v>
      </c>
      <c r="AL856" t="s">
        <v>91</v>
      </c>
      <c r="AM856" t="s">
        <v>92</v>
      </c>
      <c r="AN856" t="s">
        <v>93</v>
      </c>
      <c r="AO856" t="s">
        <v>1022</v>
      </c>
      <c r="AP856" t="s">
        <v>1023</v>
      </c>
      <c r="AQ856" t="s">
        <v>74</v>
      </c>
      <c r="AR856" t="s">
        <v>1024</v>
      </c>
      <c r="AS856" t="s">
        <v>1025</v>
      </c>
      <c r="AT856" t="s">
        <v>16902</v>
      </c>
      <c r="AU856">
        <v>2020</v>
      </c>
      <c r="AV856">
        <v>20</v>
      </c>
      <c r="AW856">
        <v>15</v>
      </c>
      <c r="AX856" t="s">
        <v>74</v>
      </c>
      <c r="AY856" t="s">
        <v>74</v>
      </c>
      <c r="AZ856" t="s">
        <v>74</v>
      </c>
      <c r="BA856" t="s">
        <v>74</v>
      </c>
      <c r="BB856">
        <v>9331</v>
      </c>
      <c r="BC856">
        <v>9350</v>
      </c>
      <c r="BD856" t="s">
        <v>74</v>
      </c>
      <c r="BE856" t="s">
        <v>16903</v>
      </c>
      <c r="BF856" t="str">
        <f>HYPERLINK("http://dx.doi.org/10.5194/acp-20-9331-2020","http://dx.doi.org/10.5194/acp-20-9331-2020")</f>
        <v>http://dx.doi.org/10.5194/acp-20-9331-2020</v>
      </c>
      <c r="BG856" t="s">
        <v>74</v>
      </c>
      <c r="BH856" t="s">
        <v>74</v>
      </c>
      <c r="BI856">
        <v>20</v>
      </c>
      <c r="BJ856" t="s">
        <v>1027</v>
      </c>
      <c r="BK856" t="s">
        <v>100</v>
      </c>
      <c r="BL856" t="s">
        <v>1028</v>
      </c>
      <c r="BM856" t="s">
        <v>16904</v>
      </c>
      <c r="BN856" t="s">
        <v>74</v>
      </c>
      <c r="BO856" t="s">
        <v>350</v>
      </c>
      <c r="BP856" t="s">
        <v>74</v>
      </c>
      <c r="BQ856" t="s">
        <v>74</v>
      </c>
      <c r="BR856" t="s">
        <v>104</v>
      </c>
      <c r="BS856" t="s">
        <v>16905</v>
      </c>
      <c r="BT856" t="str">
        <f>HYPERLINK("https%3A%2F%2Fwww.webofscience.com%2Fwos%2Fwoscc%2Ffull-record%2FWOS:000562089000001","View Full Record in Web of Science")</f>
        <v>View Full Record in Web of Science</v>
      </c>
    </row>
    <row r="857" spans="1:72" x14ac:dyDescent="0.15">
      <c r="A857" t="s">
        <v>72</v>
      </c>
      <c r="B857" t="s">
        <v>16906</v>
      </c>
      <c r="C857" t="s">
        <v>74</v>
      </c>
      <c r="D857" t="s">
        <v>74</v>
      </c>
      <c r="E857" t="s">
        <v>74</v>
      </c>
      <c r="F857" t="s">
        <v>16907</v>
      </c>
      <c r="G857" t="s">
        <v>74</v>
      </c>
      <c r="H857" t="s">
        <v>74</v>
      </c>
      <c r="I857" t="s">
        <v>16908</v>
      </c>
      <c r="J857" t="s">
        <v>4328</v>
      </c>
      <c r="K857" t="s">
        <v>74</v>
      </c>
      <c r="L857" t="s">
        <v>74</v>
      </c>
      <c r="M857" t="s">
        <v>78</v>
      </c>
      <c r="N857" t="s">
        <v>79</v>
      </c>
      <c r="O857" t="s">
        <v>74</v>
      </c>
      <c r="P857" t="s">
        <v>74</v>
      </c>
      <c r="Q857" t="s">
        <v>74</v>
      </c>
      <c r="R857" t="s">
        <v>74</v>
      </c>
      <c r="S857" t="s">
        <v>74</v>
      </c>
      <c r="T857" t="s">
        <v>74</v>
      </c>
      <c r="U857" t="s">
        <v>16909</v>
      </c>
      <c r="V857" t="s">
        <v>16910</v>
      </c>
      <c r="W857" t="s">
        <v>16911</v>
      </c>
      <c r="X857" t="s">
        <v>16912</v>
      </c>
      <c r="Y857" t="s">
        <v>16913</v>
      </c>
      <c r="Z857" t="s">
        <v>16914</v>
      </c>
      <c r="AA857" t="s">
        <v>16915</v>
      </c>
      <c r="AB857" t="s">
        <v>16916</v>
      </c>
      <c r="AC857" t="s">
        <v>16917</v>
      </c>
      <c r="AD857" t="s">
        <v>16918</v>
      </c>
      <c r="AE857" t="s">
        <v>16919</v>
      </c>
      <c r="AF857" t="s">
        <v>74</v>
      </c>
      <c r="AG857">
        <v>88</v>
      </c>
      <c r="AH857">
        <v>169</v>
      </c>
      <c r="AI857">
        <v>182</v>
      </c>
      <c r="AJ857">
        <v>13</v>
      </c>
      <c r="AK857">
        <v>77</v>
      </c>
      <c r="AL857" t="s">
        <v>321</v>
      </c>
      <c r="AM857" t="s">
        <v>322</v>
      </c>
      <c r="AN857" t="s">
        <v>323</v>
      </c>
      <c r="AO857" t="s">
        <v>4340</v>
      </c>
      <c r="AP857" t="s">
        <v>4341</v>
      </c>
      <c r="AQ857" t="s">
        <v>74</v>
      </c>
      <c r="AR857" t="s">
        <v>4342</v>
      </c>
      <c r="AS857" t="s">
        <v>4343</v>
      </c>
      <c r="AT857" t="s">
        <v>11892</v>
      </c>
      <c r="AU857">
        <v>2020</v>
      </c>
      <c r="AV857">
        <v>13</v>
      </c>
      <c r="AW857">
        <v>9</v>
      </c>
      <c r="AX857" t="s">
        <v>74</v>
      </c>
      <c r="AY857" t="s">
        <v>74</v>
      </c>
      <c r="AZ857" t="s">
        <v>74</v>
      </c>
      <c r="BA857" t="s">
        <v>74</v>
      </c>
      <c r="BB857">
        <v>616</v>
      </c>
      <c r="BC857" t="s">
        <v>614</v>
      </c>
      <c r="BD857" t="s">
        <v>74</v>
      </c>
      <c r="BE857" t="s">
        <v>16920</v>
      </c>
      <c r="BF857" t="str">
        <f>HYPERLINK("http://dx.doi.org/10.1038/s41561-020-0616-z","http://dx.doi.org/10.1038/s41561-020-0616-z")</f>
        <v>http://dx.doi.org/10.1038/s41561-020-0616-z</v>
      </c>
      <c r="BG857" t="s">
        <v>74</v>
      </c>
      <c r="BH857" t="s">
        <v>15048</v>
      </c>
      <c r="BI857">
        <v>8</v>
      </c>
      <c r="BJ857" t="s">
        <v>534</v>
      </c>
      <c r="BK857" t="s">
        <v>100</v>
      </c>
      <c r="BL857" t="s">
        <v>535</v>
      </c>
      <c r="BM857" t="s">
        <v>15084</v>
      </c>
      <c r="BN857">
        <v>32952606</v>
      </c>
      <c r="BO857" t="s">
        <v>3431</v>
      </c>
      <c r="BP857" t="s">
        <v>417</v>
      </c>
      <c r="BQ857" t="s">
        <v>418</v>
      </c>
      <c r="BR857" t="s">
        <v>104</v>
      </c>
      <c r="BS857" t="s">
        <v>16921</v>
      </c>
      <c r="BT857" t="str">
        <f>HYPERLINK("https%3A%2F%2Fwww.webofscience.com%2Fwos%2Fwoscc%2Ffull-record%2FWOS:000558200900002","View Full Record in Web of Science")</f>
        <v>View Full Record in Web of Science</v>
      </c>
    </row>
    <row r="858" spans="1:72" x14ac:dyDescent="0.15">
      <c r="A858" t="s">
        <v>72</v>
      </c>
      <c r="B858" t="s">
        <v>16922</v>
      </c>
      <c r="C858" t="s">
        <v>74</v>
      </c>
      <c r="D858" t="s">
        <v>74</v>
      </c>
      <c r="E858" t="s">
        <v>74</v>
      </c>
      <c r="F858" t="s">
        <v>16923</v>
      </c>
      <c r="G858" t="s">
        <v>74</v>
      </c>
      <c r="H858" t="s">
        <v>74</v>
      </c>
      <c r="I858" t="s">
        <v>16924</v>
      </c>
      <c r="J858" t="s">
        <v>5669</v>
      </c>
      <c r="K858" t="s">
        <v>74</v>
      </c>
      <c r="L858" t="s">
        <v>74</v>
      </c>
      <c r="M858" t="s">
        <v>78</v>
      </c>
      <c r="N858" t="s">
        <v>79</v>
      </c>
      <c r="O858" t="s">
        <v>74</v>
      </c>
      <c r="P858" t="s">
        <v>74</v>
      </c>
      <c r="Q858" t="s">
        <v>74</v>
      </c>
      <c r="R858" t="s">
        <v>74</v>
      </c>
      <c r="S858" t="s">
        <v>74</v>
      </c>
      <c r="T858" t="s">
        <v>16925</v>
      </c>
      <c r="U858" t="s">
        <v>16926</v>
      </c>
      <c r="V858" t="s">
        <v>16927</v>
      </c>
      <c r="W858" t="s">
        <v>16928</v>
      </c>
      <c r="X858" t="s">
        <v>16929</v>
      </c>
      <c r="Y858" t="s">
        <v>16930</v>
      </c>
      <c r="Z858" t="s">
        <v>16931</v>
      </c>
      <c r="AA858" t="s">
        <v>16932</v>
      </c>
      <c r="AB858" t="s">
        <v>16933</v>
      </c>
      <c r="AC858" t="s">
        <v>16934</v>
      </c>
      <c r="AD858" t="s">
        <v>16935</v>
      </c>
      <c r="AE858" t="s">
        <v>16936</v>
      </c>
      <c r="AF858" t="s">
        <v>74</v>
      </c>
      <c r="AG858">
        <v>63</v>
      </c>
      <c r="AH858">
        <v>4</v>
      </c>
      <c r="AI858">
        <v>4</v>
      </c>
      <c r="AJ858">
        <v>1</v>
      </c>
      <c r="AK858">
        <v>12</v>
      </c>
      <c r="AL858" t="s">
        <v>219</v>
      </c>
      <c r="AM858" t="s">
        <v>220</v>
      </c>
      <c r="AN858" t="s">
        <v>221</v>
      </c>
      <c r="AO858" t="s">
        <v>5682</v>
      </c>
      <c r="AP858" t="s">
        <v>5683</v>
      </c>
      <c r="AQ858" t="s">
        <v>74</v>
      </c>
      <c r="AR858" t="s">
        <v>5684</v>
      </c>
      <c r="AS858" t="s">
        <v>5685</v>
      </c>
      <c r="AT858" t="s">
        <v>2623</v>
      </c>
      <c r="AU858">
        <v>2021</v>
      </c>
      <c r="AV858">
        <v>31</v>
      </c>
      <c r="AW858">
        <v>2</v>
      </c>
      <c r="AX858" t="s">
        <v>74</v>
      </c>
      <c r="AY858" t="s">
        <v>74</v>
      </c>
      <c r="AZ858" t="s">
        <v>489</v>
      </c>
      <c r="BA858" t="s">
        <v>74</v>
      </c>
      <c r="BB858">
        <v>290</v>
      </c>
      <c r="BC858">
        <v>303</v>
      </c>
      <c r="BD858" t="s">
        <v>74</v>
      </c>
      <c r="BE858" t="s">
        <v>16937</v>
      </c>
      <c r="BF858" t="str">
        <f>HYPERLINK("http://dx.doi.org/10.1002/aqc.3423","http://dx.doi.org/10.1002/aqc.3423")</f>
        <v>http://dx.doi.org/10.1002/aqc.3423</v>
      </c>
      <c r="BG858" t="s">
        <v>74</v>
      </c>
      <c r="BH858" t="s">
        <v>15048</v>
      </c>
      <c r="BI858">
        <v>14</v>
      </c>
      <c r="BJ858" t="s">
        <v>5687</v>
      </c>
      <c r="BK858" t="s">
        <v>100</v>
      </c>
      <c r="BL858" t="s">
        <v>5688</v>
      </c>
      <c r="BM858" t="s">
        <v>5689</v>
      </c>
      <c r="BN858" t="s">
        <v>74</v>
      </c>
      <c r="BO858" t="s">
        <v>74</v>
      </c>
      <c r="BP858" t="s">
        <v>74</v>
      </c>
      <c r="BQ858" t="s">
        <v>74</v>
      </c>
      <c r="BR858" t="s">
        <v>104</v>
      </c>
      <c r="BS858" t="s">
        <v>16938</v>
      </c>
      <c r="BT858" t="str">
        <f>HYPERLINK("https%3A%2F%2Fwww.webofscience.com%2Fwos%2Fwoscc%2Ffull-record%2FWOS:000557758900001","View Full Record in Web of Science")</f>
        <v>View Full Record in Web of Science</v>
      </c>
    </row>
    <row r="859" spans="1:72" x14ac:dyDescent="0.15">
      <c r="A859" t="s">
        <v>72</v>
      </c>
      <c r="B859" t="s">
        <v>16939</v>
      </c>
      <c r="C859" t="s">
        <v>74</v>
      </c>
      <c r="D859" t="s">
        <v>74</v>
      </c>
      <c r="E859" t="s">
        <v>74</v>
      </c>
      <c r="F859" t="s">
        <v>16940</v>
      </c>
      <c r="G859" t="s">
        <v>74</v>
      </c>
      <c r="H859" t="s">
        <v>74</v>
      </c>
      <c r="I859" t="s">
        <v>16941</v>
      </c>
      <c r="J859" t="s">
        <v>4249</v>
      </c>
      <c r="K859" t="s">
        <v>74</v>
      </c>
      <c r="L859" t="s">
        <v>74</v>
      </c>
      <c r="M859" t="s">
        <v>78</v>
      </c>
      <c r="N859" t="s">
        <v>79</v>
      </c>
      <c r="O859" t="s">
        <v>74</v>
      </c>
      <c r="P859" t="s">
        <v>74</v>
      </c>
      <c r="Q859" t="s">
        <v>74</v>
      </c>
      <c r="R859" t="s">
        <v>74</v>
      </c>
      <c r="S859" t="s">
        <v>74</v>
      </c>
      <c r="T859" t="s">
        <v>74</v>
      </c>
      <c r="U859" t="s">
        <v>16942</v>
      </c>
      <c r="V859" t="s">
        <v>16943</v>
      </c>
      <c r="W859" t="s">
        <v>16944</v>
      </c>
      <c r="X859" t="s">
        <v>16945</v>
      </c>
      <c r="Y859" t="s">
        <v>16946</v>
      </c>
      <c r="Z859" t="s">
        <v>16947</v>
      </c>
      <c r="AA859" t="s">
        <v>16948</v>
      </c>
      <c r="AB859" t="s">
        <v>16949</v>
      </c>
      <c r="AC859" t="s">
        <v>16950</v>
      </c>
      <c r="AD859" t="s">
        <v>16951</v>
      </c>
      <c r="AE859" t="s">
        <v>16952</v>
      </c>
      <c r="AF859" t="s">
        <v>74</v>
      </c>
      <c r="AG859">
        <v>53</v>
      </c>
      <c r="AH859">
        <v>63</v>
      </c>
      <c r="AI859">
        <v>68</v>
      </c>
      <c r="AJ859">
        <v>7</v>
      </c>
      <c r="AK859">
        <v>44</v>
      </c>
      <c r="AL859" t="s">
        <v>413</v>
      </c>
      <c r="AM859" t="s">
        <v>322</v>
      </c>
      <c r="AN859" t="s">
        <v>323</v>
      </c>
      <c r="AO859" t="s">
        <v>4260</v>
      </c>
      <c r="AP859" t="s">
        <v>4261</v>
      </c>
      <c r="AQ859" t="s">
        <v>74</v>
      </c>
      <c r="AR859" t="s">
        <v>4262</v>
      </c>
      <c r="AS859" t="s">
        <v>4263</v>
      </c>
      <c r="AT859" t="s">
        <v>6558</v>
      </c>
      <c r="AU859">
        <v>2020</v>
      </c>
      <c r="AV859">
        <v>10</v>
      </c>
      <c r="AW859">
        <v>10</v>
      </c>
      <c r="AX859" t="s">
        <v>74</v>
      </c>
      <c r="AY859" t="s">
        <v>74</v>
      </c>
      <c r="AZ859" t="s">
        <v>74</v>
      </c>
      <c r="BA859" t="s">
        <v>74</v>
      </c>
      <c r="BB859">
        <v>928</v>
      </c>
      <c r="BC859" t="s">
        <v>614</v>
      </c>
      <c r="BD859" t="s">
        <v>74</v>
      </c>
      <c r="BE859" t="s">
        <v>16953</v>
      </c>
      <c r="BF859" t="str">
        <f>HYPERLINK("http://dx.doi.org/10.1038/s41558-020-0865-2","http://dx.doi.org/10.1038/s41558-020-0865-2")</f>
        <v>http://dx.doi.org/10.1038/s41558-020-0865-2</v>
      </c>
      <c r="BG859" t="s">
        <v>74</v>
      </c>
      <c r="BH859" t="s">
        <v>15048</v>
      </c>
      <c r="BI859">
        <v>7</v>
      </c>
      <c r="BJ859" t="s">
        <v>4265</v>
      </c>
      <c r="BK859" t="s">
        <v>255</v>
      </c>
      <c r="BL859" t="s">
        <v>1028</v>
      </c>
      <c r="BM859" t="s">
        <v>16954</v>
      </c>
      <c r="BN859" t="s">
        <v>74</v>
      </c>
      <c r="BO859" t="s">
        <v>618</v>
      </c>
      <c r="BP859" t="s">
        <v>74</v>
      </c>
      <c r="BQ859" t="s">
        <v>74</v>
      </c>
      <c r="BR859" t="s">
        <v>104</v>
      </c>
      <c r="BS859" t="s">
        <v>16955</v>
      </c>
      <c r="BT859" t="str">
        <f>HYPERLINK("https%3A%2F%2Fwww.webofscience.com%2Fwos%2Fwoscc%2Ffull-record%2FWOS:000558132800002","View Full Record in Web of Science")</f>
        <v>View Full Record in Web of Science</v>
      </c>
    </row>
    <row r="860" spans="1:72" x14ac:dyDescent="0.15">
      <c r="A860" t="s">
        <v>72</v>
      </c>
      <c r="B860" t="s">
        <v>16956</v>
      </c>
      <c r="C860" t="s">
        <v>74</v>
      </c>
      <c r="D860" t="s">
        <v>74</v>
      </c>
      <c r="E860" t="s">
        <v>74</v>
      </c>
      <c r="F860" t="s">
        <v>16957</v>
      </c>
      <c r="G860" t="s">
        <v>74</v>
      </c>
      <c r="H860" t="s">
        <v>74</v>
      </c>
      <c r="I860" t="s">
        <v>16958</v>
      </c>
      <c r="J860" t="s">
        <v>309</v>
      </c>
      <c r="K860" t="s">
        <v>74</v>
      </c>
      <c r="L860" t="s">
        <v>74</v>
      </c>
      <c r="M860" t="s">
        <v>78</v>
      </c>
      <c r="N860" t="s">
        <v>79</v>
      </c>
      <c r="O860" t="s">
        <v>74</v>
      </c>
      <c r="P860" t="s">
        <v>74</v>
      </c>
      <c r="Q860" t="s">
        <v>74</v>
      </c>
      <c r="R860" t="s">
        <v>74</v>
      </c>
      <c r="S860" t="s">
        <v>74</v>
      </c>
      <c r="T860" t="s">
        <v>74</v>
      </c>
      <c r="U860" t="s">
        <v>16959</v>
      </c>
      <c r="V860" t="s">
        <v>16960</v>
      </c>
      <c r="W860" t="s">
        <v>16961</v>
      </c>
      <c r="X860" t="s">
        <v>16962</v>
      </c>
      <c r="Y860" t="s">
        <v>16963</v>
      </c>
      <c r="Z860" t="s">
        <v>16964</v>
      </c>
      <c r="AA860" t="s">
        <v>74</v>
      </c>
      <c r="AB860" t="s">
        <v>74</v>
      </c>
      <c r="AC860" t="s">
        <v>16965</v>
      </c>
      <c r="AD860" t="s">
        <v>16966</v>
      </c>
      <c r="AE860" t="s">
        <v>16967</v>
      </c>
      <c r="AF860" t="s">
        <v>74</v>
      </c>
      <c r="AG860">
        <v>78</v>
      </c>
      <c r="AH860">
        <v>14</v>
      </c>
      <c r="AI860">
        <v>14</v>
      </c>
      <c r="AJ860">
        <v>5</v>
      </c>
      <c r="AK860">
        <v>26</v>
      </c>
      <c r="AL860" t="s">
        <v>15760</v>
      </c>
      <c r="AM860" t="s">
        <v>123</v>
      </c>
      <c r="AN860" t="s">
        <v>15761</v>
      </c>
      <c r="AO860" t="s">
        <v>324</v>
      </c>
      <c r="AP860" t="s">
        <v>74</v>
      </c>
      <c r="AQ860" t="s">
        <v>74</v>
      </c>
      <c r="AR860" t="s">
        <v>325</v>
      </c>
      <c r="AS860" t="s">
        <v>326</v>
      </c>
      <c r="AT860" t="s">
        <v>16902</v>
      </c>
      <c r="AU860">
        <v>2020</v>
      </c>
      <c r="AV860">
        <v>10</v>
      </c>
      <c r="AW860">
        <v>1</v>
      </c>
      <c r="AX860" t="s">
        <v>74</v>
      </c>
      <c r="AY860" t="s">
        <v>74</v>
      </c>
      <c r="AZ860" t="s">
        <v>74</v>
      </c>
      <c r="BA860" t="s">
        <v>74</v>
      </c>
      <c r="BB860" t="s">
        <v>74</v>
      </c>
      <c r="BC860" t="s">
        <v>74</v>
      </c>
      <c r="BD860">
        <v>13494</v>
      </c>
      <c r="BE860" t="s">
        <v>16968</v>
      </c>
      <c r="BF860" t="str">
        <f>HYPERLINK("http://dx.doi.org/10.1038/s41598-020-70417-z","http://dx.doi.org/10.1038/s41598-020-70417-z")</f>
        <v>http://dx.doi.org/10.1038/s41598-020-70417-z</v>
      </c>
      <c r="BG860" t="s">
        <v>74</v>
      </c>
      <c r="BH860" t="s">
        <v>74</v>
      </c>
      <c r="BI860">
        <v>11</v>
      </c>
      <c r="BJ860" t="s">
        <v>329</v>
      </c>
      <c r="BK860" t="s">
        <v>100</v>
      </c>
      <c r="BL860" t="s">
        <v>330</v>
      </c>
      <c r="BM860" t="s">
        <v>16969</v>
      </c>
      <c r="BN860">
        <v>32778681</v>
      </c>
      <c r="BO860" t="s">
        <v>2113</v>
      </c>
      <c r="BP860" t="s">
        <v>74</v>
      </c>
      <c r="BQ860" t="s">
        <v>74</v>
      </c>
      <c r="BR860" t="s">
        <v>104</v>
      </c>
      <c r="BS860" t="s">
        <v>16970</v>
      </c>
      <c r="BT860" t="str">
        <f>HYPERLINK("https%3A%2F%2Fwww.webofscience.com%2Fwos%2Fwoscc%2Ffull-record%2FWOS:000561124300030","View Full Record in Web of Science")</f>
        <v>View Full Record in Web of Science</v>
      </c>
    </row>
    <row r="861" spans="1:72" x14ac:dyDescent="0.15">
      <c r="A861" t="s">
        <v>72</v>
      </c>
      <c r="B861" t="s">
        <v>16971</v>
      </c>
      <c r="C861" t="s">
        <v>74</v>
      </c>
      <c r="D861" t="s">
        <v>74</v>
      </c>
      <c r="E861" t="s">
        <v>74</v>
      </c>
      <c r="F861" t="s">
        <v>16972</v>
      </c>
      <c r="G861" t="s">
        <v>74</v>
      </c>
      <c r="H861" t="s">
        <v>74</v>
      </c>
      <c r="I861" t="s">
        <v>16973</v>
      </c>
      <c r="J861" t="s">
        <v>16974</v>
      </c>
      <c r="K861" t="s">
        <v>74</v>
      </c>
      <c r="L861" t="s">
        <v>74</v>
      </c>
      <c r="M861" t="s">
        <v>78</v>
      </c>
      <c r="N861" t="s">
        <v>79</v>
      </c>
      <c r="O861" t="s">
        <v>74</v>
      </c>
      <c r="P861" t="s">
        <v>74</v>
      </c>
      <c r="Q861" t="s">
        <v>74</v>
      </c>
      <c r="R861" t="s">
        <v>74</v>
      </c>
      <c r="S861" t="s">
        <v>74</v>
      </c>
      <c r="T861" t="s">
        <v>16975</v>
      </c>
      <c r="U861" t="s">
        <v>16976</v>
      </c>
      <c r="V861" t="s">
        <v>16977</v>
      </c>
      <c r="W861" t="s">
        <v>16978</v>
      </c>
      <c r="X861" t="s">
        <v>16979</v>
      </c>
      <c r="Y861" t="s">
        <v>16980</v>
      </c>
      <c r="Z861" t="s">
        <v>16981</v>
      </c>
      <c r="AA861" t="s">
        <v>16982</v>
      </c>
      <c r="AB861" t="s">
        <v>16983</v>
      </c>
      <c r="AC861" t="s">
        <v>16984</v>
      </c>
      <c r="AD861" t="s">
        <v>16985</v>
      </c>
      <c r="AE861" t="s">
        <v>16986</v>
      </c>
      <c r="AF861" t="s">
        <v>74</v>
      </c>
      <c r="AG861">
        <v>23</v>
      </c>
      <c r="AH861">
        <v>10</v>
      </c>
      <c r="AI861">
        <v>10</v>
      </c>
      <c r="AJ861">
        <v>1</v>
      </c>
      <c r="AK861">
        <v>29</v>
      </c>
      <c r="AL861" t="s">
        <v>275</v>
      </c>
      <c r="AM861" t="s">
        <v>276</v>
      </c>
      <c r="AN861" t="s">
        <v>277</v>
      </c>
      <c r="AO861" t="s">
        <v>16987</v>
      </c>
      <c r="AP861" t="s">
        <v>16988</v>
      </c>
      <c r="AQ861" t="s">
        <v>74</v>
      </c>
      <c r="AR861" t="s">
        <v>16989</v>
      </c>
      <c r="AS861" t="s">
        <v>16990</v>
      </c>
      <c r="AT861" t="s">
        <v>16902</v>
      </c>
      <c r="AU861">
        <v>2020</v>
      </c>
      <c r="AV861">
        <v>319</v>
      </c>
      <c r="AW861" t="s">
        <v>74</v>
      </c>
      <c r="AX861" t="s">
        <v>74</v>
      </c>
      <c r="AY861" t="s">
        <v>74</v>
      </c>
      <c r="AZ861" t="s">
        <v>74</v>
      </c>
      <c r="BA861" t="s">
        <v>74</v>
      </c>
      <c r="BB861">
        <v>54</v>
      </c>
      <c r="BC861">
        <v>60</v>
      </c>
      <c r="BD861" t="s">
        <v>74</v>
      </c>
      <c r="BE861" t="s">
        <v>16991</v>
      </c>
      <c r="BF861" t="str">
        <f>HYPERLINK("http://dx.doi.org/10.1016/j.jbiotec.2020.05.014","http://dx.doi.org/10.1016/j.jbiotec.2020.05.014")</f>
        <v>http://dx.doi.org/10.1016/j.jbiotec.2020.05.014</v>
      </c>
      <c r="BG861" t="s">
        <v>74</v>
      </c>
      <c r="BH861" t="s">
        <v>74</v>
      </c>
      <c r="BI861">
        <v>7</v>
      </c>
      <c r="BJ861" t="s">
        <v>2484</v>
      </c>
      <c r="BK861" t="s">
        <v>100</v>
      </c>
      <c r="BL861" t="s">
        <v>2484</v>
      </c>
      <c r="BM861" t="s">
        <v>16992</v>
      </c>
      <c r="BN861">
        <v>32450178</v>
      </c>
      <c r="BO861" t="s">
        <v>1259</v>
      </c>
      <c r="BP861" t="s">
        <v>74</v>
      </c>
      <c r="BQ861" t="s">
        <v>74</v>
      </c>
      <c r="BR861" t="s">
        <v>104</v>
      </c>
      <c r="BS861" t="s">
        <v>16993</v>
      </c>
      <c r="BT861" t="str">
        <f>HYPERLINK("https%3A%2F%2Fwww.webofscience.com%2Fwos%2Fwoscc%2Ffull-record%2FWOS:000542948300006","View Full Record in Web of Science")</f>
        <v>View Full Record in Web of Science</v>
      </c>
    </row>
    <row r="862" spans="1:72" x14ac:dyDescent="0.15">
      <c r="A862" t="s">
        <v>72</v>
      </c>
      <c r="B862" t="s">
        <v>16994</v>
      </c>
      <c r="C862" t="s">
        <v>74</v>
      </c>
      <c r="D862" t="s">
        <v>74</v>
      </c>
      <c r="E862" t="s">
        <v>74</v>
      </c>
      <c r="F862" t="s">
        <v>16995</v>
      </c>
      <c r="G862" t="s">
        <v>74</v>
      </c>
      <c r="H862" t="s">
        <v>74</v>
      </c>
      <c r="I862" t="s">
        <v>16996</v>
      </c>
      <c r="J862" t="s">
        <v>10018</v>
      </c>
      <c r="K862" t="s">
        <v>74</v>
      </c>
      <c r="L862" t="s">
        <v>74</v>
      </c>
      <c r="M862" t="s">
        <v>78</v>
      </c>
      <c r="N862" t="s">
        <v>79</v>
      </c>
      <c r="O862" t="s">
        <v>74</v>
      </c>
      <c r="P862" t="s">
        <v>74</v>
      </c>
      <c r="Q862" t="s">
        <v>74</v>
      </c>
      <c r="R862" t="s">
        <v>74</v>
      </c>
      <c r="S862" t="s">
        <v>74</v>
      </c>
      <c r="T862" t="s">
        <v>16997</v>
      </c>
      <c r="U862" t="s">
        <v>16998</v>
      </c>
      <c r="V862" t="s">
        <v>16999</v>
      </c>
      <c r="W862" t="s">
        <v>17000</v>
      </c>
      <c r="X862" t="s">
        <v>17001</v>
      </c>
      <c r="Y862" t="s">
        <v>17002</v>
      </c>
      <c r="Z862" t="s">
        <v>17003</v>
      </c>
      <c r="AA862" t="s">
        <v>17004</v>
      </c>
      <c r="AB862" t="s">
        <v>17005</v>
      </c>
      <c r="AC862" t="s">
        <v>17006</v>
      </c>
      <c r="AD862" t="s">
        <v>17007</v>
      </c>
      <c r="AE862" t="s">
        <v>17008</v>
      </c>
      <c r="AF862" t="s">
        <v>74</v>
      </c>
      <c r="AG862">
        <v>58</v>
      </c>
      <c r="AH862">
        <v>15</v>
      </c>
      <c r="AI862">
        <v>16</v>
      </c>
      <c r="AJ862">
        <v>2</v>
      </c>
      <c r="AK862">
        <v>25</v>
      </c>
      <c r="AL862" t="s">
        <v>219</v>
      </c>
      <c r="AM862" t="s">
        <v>220</v>
      </c>
      <c r="AN862" t="s">
        <v>221</v>
      </c>
      <c r="AO862" t="s">
        <v>10030</v>
      </c>
      <c r="AP862" t="s">
        <v>10031</v>
      </c>
      <c r="AQ862" t="s">
        <v>74</v>
      </c>
      <c r="AR862" t="s">
        <v>10032</v>
      </c>
      <c r="AS862" t="s">
        <v>10033</v>
      </c>
      <c r="AT862" t="s">
        <v>6558</v>
      </c>
      <c r="AU862">
        <v>2020</v>
      </c>
      <c r="AV862">
        <v>11</v>
      </c>
      <c r="AW862">
        <v>10</v>
      </c>
      <c r="AX862" t="s">
        <v>74</v>
      </c>
      <c r="AY862" t="s">
        <v>74</v>
      </c>
      <c r="AZ862" t="s">
        <v>74</v>
      </c>
      <c r="BA862" t="s">
        <v>74</v>
      </c>
      <c r="BB862">
        <v>1258</v>
      </c>
      <c r="BC862">
        <v>1272</v>
      </c>
      <c r="BD862" t="s">
        <v>74</v>
      </c>
      <c r="BE862" t="s">
        <v>17009</v>
      </c>
      <c r="BF862" t="str">
        <f>HYPERLINK("http://dx.doi.org/10.1111/2041-210X.13447","http://dx.doi.org/10.1111/2041-210X.13447")</f>
        <v>http://dx.doi.org/10.1111/2041-210X.13447</v>
      </c>
      <c r="BG862" t="s">
        <v>74</v>
      </c>
      <c r="BH862" t="s">
        <v>15048</v>
      </c>
      <c r="BI862">
        <v>15</v>
      </c>
      <c r="BJ862" t="s">
        <v>823</v>
      </c>
      <c r="BK862" t="s">
        <v>100</v>
      </c>
      <c r="BL862" t="s">
        <v>284</v>
      </c>
      <c r="BM862" t="s">
        <v>17010</v>
      </c>
      <c r="BN862" t="s">
        <v>74</v>
      </c>
      <c r="BO862" t="s">
        <v>74</v>
      </c>
      <c r="BP862" t="s">
        <v>74</v>
      </c>
      <c r="BQ862" t="s">
        <v>74</v>
      </c>
      <c r="BR862" t="s">
        <v>104</v>
      </c>
      <c r="BS862" t="s">
        <v>17011</v>
      </c>
      <c r="BT862" t="str">
        <f>HYPERLINK("https%3A%2F%2Fwww.webofscience.com%2Fwos%2Fwoscc%2Ffull-record%2FWOS:000557272500001","View Full Record in Web of Science")</f>
        <v>View Full Record in Web of Science</v>
      </c>
    </row>
    <row r="863" spans="1:72" x14ac:dyDescent="0.15">
      <c r="A863" t="s">
        <v>72</v>
      </c>
      <c r="B863" t="s">
        <v>17012</v>
      </c>
      <c r="C863" t="s">
        <v>74</v>
      </c>
      <c r="D863" t="s">
        <v>74</v>
      </c>
      <c r="E863" t="s">
        <v>74</v>
      </c>
      <c r="F863" t="s">
        <v>17013</v>
      </c>
      <c r="G863" t="s">
        <v>74</v>
      </c>
      <c r="H863" t="s">
        <v>74</v>
      </c>
      <c r="I863" t="s">
        <v>17014</v>
      </c>
      <c r="J863" t="s">
        <v>17015</v>
      </c>
      <c r="K863" t="s">
        <v>74</v>
      </c>
      <c r="L863" t="s">
        <v>74</v>
      </c>
      <c r="M863" t="s">
        <v>78</v>
      </c>
      <c r="N863" t="s">
        <v>79</v>
      </c>
      <c r="O863" t="s">
        <v>74</v>
      </c>
      <c r="P863" t="s">
        <v>74</v>
      </c>
      <c r="Q863" t="s">
        <v>74</v>
      </c>
      <c r="R863" t="s">
        <v>74</v>
      </c>
      <c r="S863" t="s">
        <v>74</v>
      </c>
      <c r="T863" t="s">
        <v>17016</v>
      </c>
      <c r="U863" t="s">
        <v>17017</v>
      </c>
      <c r="V863" t="s">
        <v>17018</v>
      </c>
      <c r="W863" t="s">
        <v>17019</v>
      </c>
      <c r="X863" t="s">
        <v>17020</v>
      </c>
      <c r="Y863" t="s">
        <v>17021</v>
      </c>
      <c r="Z863" t="s">
        <v>17022</v>
      </c>
      <c r="AA863" t="s">
        <v>17023</v>
      </c>
      <c r="AB863" t="s">
        <v>17024</v>
      </c>
      <c r="AC863" t="s">
        <v>17025</v>
      </c>
      <c r="AD863" t="s">
        <v>17026</v>
      </c>
      <c r="AE863" t="s">
        <v>17027</v>
      </c>
      <c r="AF863" t="s">
        <v>74</v>
      </c>
      <c r="AG863">
        <v>96</v>
      </c>
      <c r="AH863">
        <v>26</v>
      </c>
      <c r="AI863">
        <v>26</v>
      </c>
      <c r="AJ863">
        <v>6</v>
      </c>
      <c r="AK863">
        <v>39</v>
      </c>
      <c r="AL863" t="s">
        <v>11282</v>
      </c>
      <c r="AM863" t="s">
        <v>123</v>
      </c>
      <c r="AN863" t="s">
        <v>11283</v>
      </c>
      <c r="AO863" t="s">
        <v>17028</v>
      </c>
      <c r="AP863" t="s">
        <v>74</v>
      </c>
      <c r="AQ863" t="s">
        <v>74</v>
      </c>
      <c r="AR863" t="s">
        <v>17015</v>
      </c>
      <c r="AS863" t="s">
        <v>17029</v>
      </c>
      <c r="AT863" t="s">
        <v>17030</v>
      </c>
      <c r="AU863">
        <v>2020</v>
      </c>
      <c r="AV863">
        <v>8</v>
      </c>
      <c r="AW863">
        <v>1</v>
      </c>
      <c r="AX863" t="s">
        <v>74</v>
      </c>
      <c r="AY863" t="s">
        <v>74</v>
      </c>
      <c r="AZ863" t="s">
        <v>74</v>
      </c>
      <c r="BA863" t="s">
        <v>74</v>
      </c>
      <c r="BB863" t="s">
        <v>74</v>
      </c>
      <c r="BC863" t="s">
        <v>74</v>
      </c>
      <c r="BD863">
        <v>116</v>
      </c>
      <c r="BE863" t="s">
        <v>17031</v>
      </c>
      <c r="BF863" t="str">
        <f>HYPERLINK("http://dx.doi.org/10.1186/s40168-020-00889-8","http://dx.doi.org/10.1186/s40168-020-00889-8")</f>
        <v>http://dx.doi.org/10.1186/s40168-020-00889-8</v>
      </c>
      <c r="BG863" t="s">
        <v>74</v>
      </c>
      <c r="BH863" t="s">
        <v>74</v>
      </c>
      <c r="BI863">
        <v>24</v>
      </c>
      <c r="BJ863" t="s">
        <v>229</v>
      </c>
      <c r="BK863" t="s">
        <v>100</v>
      </c>
      <c r="BL863" t="s">
        <v>229</v>
      </c>
      <c r="BM863" t="s">
        <v>17032</v>
      </c>
      <c r="BN863">
        <v>32772914</v>
      </c>
      <c r="BO863" t="s">
        <v>397</v>
      </c>
      <c r="BP863" t="s">
        <v>74</v>
      </c>
      <c r="BQ863" t="s">
        <v>74</v>
      </c>
      <c r="BR863" t="s">
        <v>104</v>
      </c>
      <c r="BS863" t="s">
        <v>17033</v>
      </c>
      <c r="BT863" t="str">
        <f>HYPERLINK("https%3A%2F%2Fwww.webofscience.com%2Fwos%2Fwoscc%2Ffull-record%2FWOS:000560886100001","View Full Record in Web of Science")</f>
        <v>View Full Record in Web of Science</v>
      </c>
    </row>
    <row r="864" spans="1:72" x14ac:dyDescent="0.15">
      <c r="A864" t="s">
        <v>72</v>
      </c>
      <c r="B864" t="s">
        <v>17034</v>
      </c>
      <c r="C864" t="s">
        <v>74</v>
      </c>
      <c r="D864" t="s">
        <v>74</v>
      </c>
      <c r="E864" t="s">
        <v>74</v>
      </c>
      <c r="F864" t="s">
        <v>17035</v>
      </c>
      <c r="G864" t="s">
        <v>74</v>
      </c>
      <c r="H864" t="s">
        <v>74</v>
      </c>
      <c r="I864" t="s">
        <v>17036</v>
      </c>
      <c r="J864" t="s">
        <v>17037</v>
      </c>
      <c r="K864" t="s">
        <v>74</v>
      </c>
      <c r="L864" t="s">
        <v>74</v>
      </c>
      <c r="M864" t="s">
        <v>78</v>
      </c>
      <c r="N864" t="s">
        <v>17038</v>
      </c>
      <c r="O864" t="s">
        <v>74</v>
      </c>
      <c r="P864" t="s">
        <v>74</v>
      </c>
      <c r="Q864" t="s">
        <v>74</v>
      </c>
      <c r="R864" t="s">
        <v>74</v>
      </c>
      <c r="S864" t="s">
        <v>74</v>
      </c>
      <c r="T864" t="s">
        <v>74</v>
      </c>
      <c r="U864" t="s">
        <v>74</v>
      </c>
      <c r="V864" t="s">
        <v>74</v>
      </c>
      <c r="W864" t="s">
        <v>74</v>
      </c>
      <c r="X864" t="s">
        <v>74</v>
      </c>
      <c r="Y864" t="s">
        <v>74</v>
      </c>
      <c r="Z864" t="s">
        <v>74</v>
      </c>
      <c r="AA864" t="s">
        <v>74</v>
      </c>
      <c r="AB864" t="s">
        <v>74</v>
      </c>
      <c r="AC864" t="s">
        <v>74</v>
      </c>
      <c r="AD864" t="s">
        <v>74</v>
      </c>
      <c r="AE864" t="s">
        <v>74</v>
      </c>
      <c r="AF864" t="s">
        <v>74</v>
      </c>
      <c r="AG864">
        <v>0</v>
      </c>
      <c r="AH864">
        <v>0</v>
      </c>
      <c r="AI864">
        <v>0</v>
      </c>
      <c r="AJ864">
        <v>0</v>
      </c>
      <c r="AK864">
        <v>0</v>
      </c>
      <c r="AL864" t="s">
        <v>17039</v>
      </c>
      <c r="AM864" t="s">
        <v>17040</v>
      </c>
      <c r="AN864" t="s">
        <v>17041</v>
      </c>
      <c r="AO864" t="s">
        <v>17042</v>
      </c>
      <c r="AP864" t="s">
        <v>74</v>
      </c>
      <c r="AQ864" t="s">
        <v>74</v>
      </c>
      <c r="AR864" t="s">
        <v>17043</v>
      </c>
      <c r="AS864" t="s">
        <v>17044</v>
      </c>
      <c r="AT864" t="s">
        <v>17045</v>
      </c>
      <c r="AU864">
        <v>2020</v>
      </c>
      <c r="AV864">
        <v>245</v>
      </c>
      <c r="AW864">
        <v>3294</v>
      </c>
      <c r="AX864" t="s">
        <v>74</v>
      </c>
      <c r="AY864" t="s">
        <v>74</v>
      </c>
      <c r="AZ864" t="s">
        <v>74</v>
      </c>
      <c r="BA864" t="s">
        <v>74</v>
      </c>
      <c r="BB864">
        <v>18</v>
      </c>
      <c r="BC864">
        <v>18</v>
      </c>
      <c r="BD864" t="s">
        <v>74</v>
      </c>
      <c r="BE864" t="s">
        <v>74</v>
      </c>
      <c r="BF864" t="s">
        <v>74</v>
      </c>
      <c r="BG864" t="s">
        <v>74</v>
      </c>
      <c r="BH864" t="s">
        <v>74</v>
      </c>
      <c r="BI864">
        <v>1</v>
      </c>
      <c r="BJ864" t="s">
        <v>329</v>
      </c>
      <c r="BK864" t="s">
        <v>100</v>
      </c>
      <c r="BL864" t="s">
        <v>330</v>
      </c>
      <c r="BM864" t="s">
        <v>17046</v>
      </c>
      <c r="BN864" t="s">
        <v>74</v>
      </c>
      <c r="BO864" t="s">
        <v>74</v>
      </c>
      <c r="BP864" t="s">
        <v>74</v>
      </c>
      <c r="BQ864" t="s">
        <v>74</v>
      </c>
      <c r="BR864" t="s">
        <v>104</v>
      </c>
      <c r="BS864" t="s">
        <v>17047</v>
      </c>
      <c r="BT864" t="str">
        <f>HYPERLINK("https%3A%2F%2Fwww.webofscience.com%2Fwos%2Fwoscc%2Ffull-record%2FWOS:000559891300018","View Full Record in Web of Science")</f>
        <v>View Full Record in Web of Science</v>
      </c>
    </row>
    <row r="865" spans="1:72" x14ac:dyDescent="0.15">
      <c r="A865" t="s">
        <v>72</v>
      </c>
      <c r="B865" t="s">
        <v>17048</v>
      </c>
      <c r="C865" t="s">
        <v>74</v>
      </c>
      <c r="D865" t="s">
        <v>74</v>
      </c>
      <c r="E865" t="s">
        <v>74</v>
      </c>
      <c r="F865" t="s">
        <v>17049</v>
      </c>
      <c r="G865" t="s">
        <v>74</v>
      </c>
      <c r="H865" t="s">
        <v>74</v>
      </c>
      <c r="I865" t="s">
        <v>17050</v>
      </c>
      <c r="J865" t="s">
        <v>15201</v>
      </c>
      <c r="K865" t="s">
        <v>74</v>
      </c>
      <c r="L865" t="s">
        <v>74</v>
      </c>
      <c r="M865" t="s">
        <v>78</v>
      </c>
      <c r="N865" t="s">
        <v>79</v>
      </c>
      <c r="O865" t="s">
        <v>74</v>
      </c>
      <c r="P865" t="s">
        <v>74</v>
      </c>
      <c r="Q865" t="s">
        <v>74</v>
      </c>
      <c r="R865" t="s">
        <v>74</v>
      </c>
      <c r="S865" t="s">
        <v>74</v>
      </c>
      <c r="T865" t="s">
        <v>17051</v>
      </c>
      <c r="U865" t="s">
        <v>17052</v>
      </c>
      <c r="V865" t="s">
        <v>17053</v>
      </c>
      <c r="W865" t="s">
        <v>17054</v>
      </c>
      <c r="X865" t="s">
        <v>17055</v>
      </c>
      <c r="Y865" t="s">
        <v>17056</v>
      </c>
      <c r="Z865" t="s">
        <v>17057</v>
      </c>
      <c r="AA865" t="s">
        <v>17058</v>
      </c>
      <c r="AB865" t="s">
        <v>17059</v>
      </c>
      <c r="AC865" t="s">
        <v>17060</v>
      </c>
      <c r="AD865" t="s">
        <v>17061</v>
      </c>
      <c r="AE865" t="s">
        <v>17062</v>
      </c>
      <c r="AF865" t="s">
        <v>74</v>
      </c>
      <c r="AG865">
        <v>142</v>
      </c>
      <c r="AH865">
        <v>39</v>
      </c>
      <c r="AI865">
        <v>40</v>
      </c>
      <c r="AJ865">
        <v>5</v>
      </c>
      <c r="AK865">
        <v>32</v>
      </c>
      <c r="AL865" t="s">
        <v>866</v>
      </c>
      <c r="AM865" t="s">
        <v>867</v>
      </c>
      <c r="AN865" t="s">
        <v>868</v>
      </c>
      <c r="AO865" t="s">
        <v>15214</v>
      </c>
      <c r="AP865" t="s">
        <v>74</v>
      </c>
      <c r="AQ865" t="s">
        <v>74</v>
      </c>
      <c r="AR865" t="s">
        <v>15215</v>
      </c>
      <c r="AS865" t="s">
        <v>15216</v>
      </c>
      <c r="AT865" t="s">
        <v>16707</v>
      </c>
      <c r="AU865">
        <v>2020</v>
      </c>
      <c r="AV865">
        <v>11</v>
      </c>
      <c r="AW865" t="s">
        <v>74</v>
      </c>
      <c r="AX865" t="s">
        <v>74</v>
      </c>
      <c r="AY865" t="s">
        <v>74</v>
      </c>
      <c r="AZ865" t="s">
        <v>74</v>
      </c>
      <c r="BA865" t="s">
        <v>74</v>
      </c>
      <c r="BB865" t="s">
        <v>74</v>
      </c>
      <c r="BC865" t="s">
        <v>74</v>
      </c>
      <c r="BD865">
        <v>1178</v>
      </c>
      <c r="BE865" t="s">
        <v>17063</v>
      </c>
      <c r="BF865" t="str">
        <f>HYPERLINK("http://dx.doi.org/10.3389/fpls.2020.01178","http://dx.doi.org/10.3389/fpls.2020.01178")</f>
        <v>http://dx.doi.org/10.3389/fpls.2020.01178</v>
      </c>
      <c r="BG865" t="s">
        <v>74</v>
      </c>
      <c r="BH865" t="s">
        <v>74</v>
      </c>
      <c r="BI865">
        <v>17</v>
      </c>
      <c r="BJ865" t="s">
        <v>176</v>
      </c>
      <c r="BK865" t="s">
        <v>100</v>
      </c>
      <c r="BL865" t="s">
        <v>176</v>
      </c>
      <c r="BM865" t="s">
        <v>17064</v>
      </c>
      <c r="BN865">
        <v>32922412</v>
      </c>
      <c r="BO865" t="s">
        <v>397</v>
      </c>
      <c r="BP865" t="s">
        <v>74</v>
      </c>
      <c r="BQ865" t="s">
        <v>74</v>
      </c>
      <c r="BR865" t="s">
        <v>104</v>
      </c>
      <c r="BS865" t="s">
        <v>17065</v>
      </c>
      <c r="BT865" t="str">
        <f>HYPERLINK("https%3A%2F%2Fwww.webofscience.com%2Fwos%2Fwoscc%2Ffull-record%2FWOS:000565334000001","View Full Record in Web of Science")</f>
        <v>View Full Record in Web of Science</v>
      </c>
    </row>
    <row r="866" spans="1:72" x14ac:dyDescent="0.15">
      <c r="A866" t="s">
        <v>72</v>
      </c>
      <c r="B866" t="s">
        <v>17066</v>
      </c>
      <c r="C866" t="s">
        <v>74</v>
      </c>
      <c r="D866" t="s">
        <v>74</v>
      </c>
      <c r="E866" t="s">
        <v>74</v>
      </c>
      <c r="F866" t="s">
        <v>17067</v>
      </c>
      <c r="G866" t="s">
        <v>74</v>
      </c>
      <c r="H866" t="s">
        <v>74</v>
      </c>
      <c r="I866" t="s">
        <v>17068</v>
      </c>
      <c r="J866" t="s">
        <v>3492</v>
      </c>
      <c r="K866" t="s">
        <v>74</v>
      </c>
      <c r="L866" t="s">
        <v>74</v>
      </c>
      <c r="M866" t="s">
        <v>78</v>
      </c>
      <c r="N866" t="s">
        <v>79</v>
      </c>
      <c r="O866" t="s">
        <v>74</v>
      </c>
      <c r="P866" t="s">
        <v>74</v>
      </c>
      <c r="Q866" t="s">
        <v>74</v>
      </c>
      <c r="R866" t="s">
        <v>74</v>
      </c>
      <c r="S866" t="s">
        <v>74</v>
      </c>
      <c r="T866" t="s">
        <v>17069</v>
      </c>
      <c r="U866" t="s">
        <v>17070</v>
      </c>
      <c r="V866" t="s">
        <v>17071</v>
      </c>
      <c r="W866" t="s">
        <v>17072</v>
      </c>
      <c r="X866" t="s">
        <v>17073</v>
      </c>
      <c r="Y866" t="s">
        <v>17074</v>
      </c>
      <c r="Z866" t="s">
        <v>17075</v>
      </c>
      <c r="AA866" t="s">
        <v>17076</v>
      </c>
      <c r="AB866" t="s">
        <v>17077</v>
      </c>
      <c r="AC866" t="s">
        <v>17078</v>
      </c>
      <c r="AD866" t="s">
        <v>17079</v>
      </c>
      <c r="AE866" t="s">
        <v>17080</v>
      </c>
      <c r="AF866" t="s">
        <v>74</v>
      </c>
      <c r="AG866">
        <v>38</v>
      </c>
      <c r="AH866">
        <v>1</v>
      </c>
      <c r="AI866">
        <v>2</v>
      </c>
      <c r="AJ866">
        <v>3</v>
      </c>
      <c r="AK866">
        <v>21</v>
      </c>
      <c r="AL866" t="s">
        <v>866</v>
      </c>
      <c r="AM866" t="s">
        <v>867</v>
      </c>
      <c r="AN866" t="s">
        <v>868</v>
      </c>
      <c r="AO866" t="s">
        <v>74</v>
      </c>
      <c r="AP866" t="s">
        <v>3505</v>
      </c>
      <c r="AQ866" t="s">
        <v>74</v>
      </c>
      <c r="AR866" t="s">
        <v>3506</v>
      </c>
      <c r="AS866" t="s">
        <v>3507</v>
      </c>
      <c r="AT866" t="s">
        <v>16707</v>
      </c>
      <c r="AU866">
        <v>2020</v>
      </c>
      <c r="AV866">
        <v>8</v>
      </c>
      <c r="AW866" t="s">
        <v>74</v>
      </c>
      <c r="AX866" t="s">
        <v>74</v>
      </c>
      <c r="AY866" t="s">
        <v>74</v>
      </c>
      <c r="AZ866" t="s">
        <v>74</v>
      </c>
      <c r="BA866" t="s">
        <v>74</v>
      </c>
      <c r="BB866" t="s">
        <v>74</v>
      </c>
      <c r="BC866" t="s">
        <v>74</v>
      </c>
      <c r="BD866">
        <v>250</v>
      </c>
      <c r="BE866" t="s">
        <v>17081</v>
      </c>
      <c r="BF866" t="str">
        <f>HYPERLINK("http://dx.doi.org/10.3389/feart.2020.00250","http://dx.doi.org/10.3389/feart.2020.00250")</f>
        <v>http://dx.doi.org/10.3389/feart.2020.00250</v>
      </c>
      <c r="BG866" t="s">
        <v>74</v>
      </c>
      <c r="BH866" t="s">
        <v>74</v>
      </c>
      <c r="BI866">
        <v>12</v>
      </c>
      <c r="BJ866" t="s">
        <v>534</v>
      </c>
      <c r="BK866" t="s">
        <v>100</v>
      </c>
      <c r="BL866" t="s">
        <v>535</v>
      </c>
      <c r="BM866" t="s">
        <v>17082</v>
      </c>
      <c r="BN866" t="s">
        <v>74</v>
      </c>
      <c r="BO866" t="s">
        <v>202</v>
      </c>
      <c r="BP866" t="s">
        <v>74</v>
      </c>
      <c r="BQ866" t="s">
        <v>74</v>
      </c>
      <c r="BR866" t="s">
        <v>104</v>
      </c>
      <c r="BS866" t="s">
        <v>17083</v>
      </c>
      <c r="BT866" t="str">
        <f>HYPERLINK("https%3A%2F%2Fwww.webofscience.com%2Fwos%2Fwoscc%2Ffull-record%2FWOS:000563329200001","View Full Record in Web of Science")</f>
        <v>View Full Record in Web of Science</v>
      </c>
    </row>
    <row r="867" spans="1:72" x14ac:dyDescent="0.15">
      <c r="A867" t="s">
        <v>72</v>
      </c>
      <c r="B867" t="s">
        <v>17084</v>
      </c>
      <c r="C867" t="s">
        <v>74</v>
      </c>
      <c r="D867" t="s">
        <v>74</v>
      </c>
      <c r="E867" t="s">
        <v>74</v>
      </c>
      <c r="F867" t="s">
        <v>17085</v>
      </c>
      <c r="G867" t="s">
        <v>74</v>
      </c>
      <c r="H867" t="s">
        <v>74</v>
      </c>
      <c r="I867" t="s">
        <v>17086</v>
      </c>
      <c r="J867" t="s">
        <v>9765</v>
      </c>
      <c r="K867" t="s">
        <v>74</v>
      </c>
      <c r="L867" t="s">
        <v>74</v>
      </c>
      <c r="M867" t="s">
        <v>78</v>
      </c>
      <c r="N867" t="s">
        <v>79</v>
      </c>
      <c r="O867" t="s">
        <v>74</v>
      </c>
      <c r="P867" t="s">
        <v>74</v>
      </c>
      <c r="Q867" t="s">
        <v>74</v>
      </c>
      <c r="R867" t="s">
        <v>74</v>
      </c>
      <c r="S867" t="s">
        <v>74</v>
      </c>
      <c r="T867" t="s">
        <v>74</v>
      </c>
      <c r="U867" t="s">
        <v>17087</v>
      </c>
      <c r="V867" t="s">
        <v>17088</v>
      </c>
      <c r="W867" t="s">
        <v>17089</v>
      </c>
      <c r="X867" t="s">
        <v>17090</v>
      </c>
      <c r="Y867" t="s">
        <v>17091</v>
      </c>
      <c r="Z867" t="s">
        <v>17092</v>
      </c>
      <c r="AA867" t="s">
        <v>17093</v>
      </c>
      <c r="AB867" t="s">
        <v>17094</v>
      </c>
      <c r="AC867" t="s">
        <v>17095</v>
      </c>
      <c r="AD867" t="s">
        <v>17096</v>
      </c>
      <c r="AE867" t="s">
        <v>17097</v>
      </c>
      <c r="AF867" t="s">
        <v>74</v>
      </c>
      <c r="AG867">
        <v>98</v>
      </c>
      <c r="AH867">
        <v>11</v>
      </c>
      <c r="AI867">
        <v>12</v>
      </c>
      <c r="AJ867">
        <v>1</v>
      </c>
      <c r="AK867">
        <v>19</v>
      </c>
      <c r="AL867" t="s">
        <v>91</v>
      </c>
      <c r="AM867" t="s">
        <v>92</v>
      </c>
      <c r="AN867" t="s">
        <v>93</v>
      </c>
      <c r="AO867" t="s">
        <v>9777</v>
      </c>
      <c r="AP867" t="s">
        <v>9778</v>
      </c>
      <c r="AQ867" t="s">
        <v>74</v>
      </c>
      <c r="AR867" t="s">
        <v>9779</v>
      </c>
      <c r="AS867" t="s">
        <v>9780</v>
      </c>
      <c r="AT867" t="s">
        <v>16707</v>
      </c>
      <c r="AU867">
        <v>2020</v>
      </c>
      <c r="AV867">
        <v>16</v>
      </c>
      <c r="AW867">
        <v>4</v>
      </c>
      <c r="AX867" t="s">
        <v>74</v>
      </c>
      <c r="AY867" t="s">
        <v>74</v>
      </c>
      <c r="AZ867" t="s">
        <v>74</v>
      </c>
      <c r="BA867" t="s">
        <v>74</v>
      </c>
      <c r="BB867">
        <v>1451</v>
      </c>
      <c r="BC867">
        <v>1467</v>
      </c>
      <c r="BD867" t="s">
        <v>74</v>
      </c>
      <c r="BE867" t="s">
        <v>17098</v>
      </c>
      <c r="BF867" t="str">
        <f>HYPERLINK("http://dx.doi.org/10.5194/cp-16-1451-2020","http://dx.doi.org/10.5194/cp-16-1451-2020")</f>
        <v>http://dx.doi.org/10.5194/cp-16-1451-2020</v>
      </c>
      <c r="BG867" t="s">
        <v>74</v>
      </c>
      <c r="BH867" t="s">
        <v>74</v>
      </c>
      <c r="BI867">
        <v>17</v>
      </c>
      <c r="BJ867" t="s">
        <v>3614</v>
      </c>
      <c r="BK867" t="s">
        <v>100</v>
      </c>
      <c r="BL867" t="s">
        <v>3615</v>
      </c>
      <c r="BM867" t="s">
        <v>17099</v>
      </c>
      <c r="BN867" t="s">
        <v>74</v>
      </c>
      <c r="BO867" t="s">
        <v>9575</v>
      </c>
      <c r="BP867" t="s">
        <v>74</v>
      </c>
      <c r="BQ867" t="s">
        <v>74</v>
      </c>
      <c r="BR867" t="s">
        <v>104</v>
      </c>
      <c r="BS867" t="s">
        <v>17100</v>
      </c>
      <c r="BT867" t="str">
        <f>HYPERLINK("https%3A%2F%2Fwww.webofscience.com%2Fwos%2Fwoscc%2Ffull-record%2FWOS:000562026200001","View Full Record in Web of Science")</f>
        <v>View Full Record in Web of Science</v>
      </c>
    </row>
    <row r="868" spans="1:72" x14ac:dyDescent="0.15">
      <c r="A868" t="s">
        <v>72</v>
      </c>
      <c r="B868" t="s">
        <v>17101</v>
      </c>
      <c r="C868" t="s">
        <v>74</v>
      </c>
      <c r="D868" t="s">
        <v>74</v>
      </c>
      <c r="E868" t="s">
        <v>74</v>
      </c>
      <c r="F868" t="s">
        <v>17102</v>
      </c>
      <c r="G868" t="s">
        <v>74</v>
      </c>
      <c r="H868" t="s">
        <v>74</v>
      </c>
      <c r="I868" t="s">
        <v>17103</v>
      </c>
      <c r="J868" t="s">
        <v>1063</v>
      </c>
      <c r="K868" t="s">
        <v>74</v>
      </c>
      <c r="L868" t="s">
        <v>74</v>
      </c>
      <c r="M868" t="s">
        <v>78</v>
      </c>
      <c r="N868" t="s">
        <v>79</v>
      </c>
      <c r="O868" t="s">
        <v>74</v>
      </c>
      <c r="P868" t="s">
        <v>74</v>
      </c>
      <c r="Q868" t="s">
        <v>74</v>
      </c>
      <c r="R868" t="s">
        <v>74</v>
      </c>
      <c r="S868" t="s">
        <v>74</v>
      </c>
      <c r="T868" t="s">
        <v>17104</v>
      </c>
      <c r="U868" t="s">
        <v>17105</v>
      </c>
      <c r="V868" t="s">
        <v>17106</v>
      </c>
      <c r="W868" t="s">
        <v>17107</v>
      </c>
      <c r="X868" t="s">
        <v>17108</v>
      </c>
      <c r="Y868" t="s">
        <v>17109</v>
      </c>
      <c r="Z868" t="s">
        <v>17110</v>
      </c>
      <c r="AA868" t="s">
        <v>17111</v>
      </c>
      <c r="AB868" t="s">
        <v>17112</v>
      </c>
      <c r="AC868" t="s">
        <v>17113</v>
      </c>
      <c r="AD868" t="s">
        <v>17113</v>
      </c>
      <c r="AE868" t="s">
        <v>17114</v>
      </c>
      <c r="AF868" t="s">
        <v>74</v>
      </c>
      <c r="AG868">
        <v>64</v>
      </c>
      <c r="AH868">
        <v>9</v>
      </c>
      <c r="AI868">
        <v>9</v>
      </c>
      <c r="AJ868">
        <v>9</v>
      </c>
      <c r="AK868">
        <v>28</v>
      </c>
      <c r="AL868" t="s">
        <v>482</v>
      </c>
      <c r="AM868" t="s">
        <v>483</v>
      </c>
      <c r="AN868" t="s">
        <v>484</v>
      </c>
      <c r="AO868" t="s">
        <v>1075</v>
      </c>
      <c r="AP868" t="s">
        <v>1076</v>
      </c>
      <c r="AQ868" t="s">
        <v>74</v>
      </c>
      <c r="AR868" t="s">
        <v>1077</v>
      </c>
      <c r="AS868" t="s">
        <v>1078</v>
      </c>
      <c r="AT868" t="s">
        <v>11892</v>
      </c>
      <c r="AU868">
        <v>2020</v>
      </c>
      <c r="AV868">
        <v>43</v>
      </c>
      <c r="AW868">
        <v>9</v>
      </c>
      <c r="AX868" t="s">
        <v>74</v>
      </c>
      <c r="AY868" t="s">
        <v>74</v>
      </c>
      <c r="AZ868" t="s">
        <v>74</v>
      </c>
      <c r="BA868" t="s">
        <v>74</v>
      </c>
      <c r="BB868">
        <v>1233</v>
      </c>
      <c r="BC868">
        <v>1245</v>
      </c>
      <c r="BD868" t="s">
        <v>74</v>
      </c>
      <c r="BE868" t="s">
        <v>17115</v>
      </c>
      <c r="BF868" t="str">
        <f>HYPERLINK("http://dx.doi.org/10.1007/s00300-020-02704-4","http://dx.doi.org/10.1007/s00300-020-02704-4")</f>
        <v>http://dx.doi.org/10.1007/s00300-020-02704-4</v>
      </c>
      <c r="BG868" t="s">
        <v>74</v>
      </c>
      <c r="BH868" t="s">
        <v>15048</v>
      </c>
      <c r="BI868">
        <v>13</v>
      </c>
      <c r="BJ868" t="s">
        <v>1080</v>
      </c>
      <c r="BK868" t="s">
        <v>100</v>
      </c>
      <c r="BL868" t="s">
        <v>256</v>
      </c>
      <c r="BM868" t="s">
        <v>17116</v>
      </c>
      <c r="BN868" t="s">
        <v>74</v>
      </c>
      <c r="BO868" t="s">
        <v>74</v>
      </c>
      <c r="BP868" t="s">
        <v>74</v>
      </c>
      <c r="BQ868" t="s">
        <v>74</v>
      </c>
      <c r="BR868" t="s">
        <v>104</v>
      </c>
      <c r="BS868" t="s">
        <v>17117</v>
      </c>
      <c r="BT868" t="str">
        <f>HYPERLINK("https%3A%2F%2Fwww.webofscience.com%2Fwos%2Fwoscc%2Ffull-record%2FWOS:000557139900001","View Full Record in Web of Science")</f>
        <v>View Full Record in Web of Science</v>
      </c>
    </row>
    <row r="869" spans="1:72" x14ac:dyDescent="0.15">
      <c r="A869" t="s">
        <v>72</v>
      </c>
      <c r="B869" t="s">
        <v>17118</v>
      </c>
      <c r="C869" t="s">
        <v>74</v>
      </c>
      <c r="D869" t="s">
        <v>74</v>
      </c>
      <c r="E869" t="s">
        <v>74</v>
      </c>
      <c r="F869" t="s">
        <v>17119</v>
      </c>
      <c r="G869" t="s">
        <v>74</v>
      </c>
      <c r="H869" t="s">
        <v>74</v>
      </c>
      <c r="I869" t="s">
        <v>17120</v>
      </c>
      <c r="J869" t="s">
        <v>6330</v>
      </c>
      <c r="K869" t="s">
        <v>74</v>
      </c>
      <c r="L869" t="s">
        <v>74</v>
      </c>
      <c r="M869" t="s">
        <v>78</v>
      </c>
      <c r="N869" t="s">
        <v>79</v>
      </c>
      <c r="O869" t="s">
        <v>74</v>
      </c>
      <c r="P869" t="s">
        <v>74</v>
      </c>
      <c r="Q869" t="s">
        <v>74</v>
      </c>
      <c r="R869" t="s">
        <v>74</v>
      </c>
      <c r="S869" t="s">
        <v>74</v>
      </c>
      <c r="T869" t="s">
        <v>17121</v>
      </c>
      <c r="U869" t="s">
        <v>17122</v>
      </c>
      <c r="V869" t="s">
        <v>74</v>
      </c>
      <c r="W869" t="s">
        <v>17123</v>
      </c>
      <c r="X869" t="s">
        <v>17124</v>
      </c>
      <c r="Y869" t="s">
        <v>17125</v>
      </c>
      <c r="Z869" t="s">
        <v>6219</v>
      </c>
      <c r="AA869" t="s">
        <v>74</v>
      </c>
      <c r="AB869" t="s">
        <v>74</v>
      </c>
      <c r="AC869" t="s">
        <v>74</v>
      </c>
      <c r="AD869" t="s">
        <v>74</v>
      </c>
      <c r="AE869" t="s">
        <v>74</v>
      </c>
      <c r="AF869" t="s">
        <v>74</v>
      </c>
      <c r="AG869">
        <v>13</v>
      </c>
      <c r="AH869">
        <v>2</v>
      </c>
      <c r="AI869">
        <v>2</v>
      </c>
      <c r="AJ869">
        <v>2</v>
      </c>
      <c r="AK869">
        <v>17</v>
      </c>
      <c r="AL869" t="s">
        <v>219</v>
      </c>
      <c r="AM869" t="s">
        <v>220</v>
      </c>
      <c r="AN869" t="s">
        <v>221</v>
      </c>
      <c r="AO869" t="s">
        <v>6342</v>
      </c>
      <c r="AP869" t="s">
        <v>6343</v>
      </c>
      <c r="AQ869" t="s">
        <v>74</v>
      </c>
      <c r="AR869" t="s">
        <v>6344</v>
      </c>
      <c r="AS869" t="s">
        <v>6345</v>
      </c>
      <c r="AT869" t="s">
        <v>1212</v>
      </c>
      <c r="AU869">
        <v>2020</v>
      </c>
      <c r="AV869">
        <v>51</v>
      </c>
      <c r="AW869">
        <v>11</v>
      </c>
      <c r="AX869" t="s">
        <v>74</v>
      </c>
      <c r="AY869" t="s">
        <v>74</v>
      </c>
      <c r="AZ869" t="s">
        <v>74</v>
      </c>
      <c r="BA869" t="s">
        <v>74</v>
      </c>
      <c r="BB869">
        <v>4819</v>
      </c>
      <c r="BC869">
        <v>4823</v>
      </c>
      <c r="BD869" t="s">
        <v>74</v>
      </c>
      <c r="BE869" t="s">
        <v>17126</v>
      </c>
      <c r="BF869" t="str">
        <f>HYPERLINK("http://dx.doi.org/10.1111/are.14809","http://dx.doi.org/10.1111/are.14809")</f>
        <v>http://dx.doi.org/10.1111/are.14809</v>
      </c>
      <c r="BG869" t="s">
        <v>74</v>
      </c>
      <c r="BH869" t="s">
        <v>15048</v>
      </c>
      <c r="BI869">
        <v>5</v>
      </c>
      <c r="BJ869" t="s">
        <v>439</v>
      </c>
      <c r="BK869" t="s">
        <v>100</v>
      </c>
      <c r="BL869" t="s">
        <v>439</v>
      </c>
      <c r="BM869" t="s">
        <v>17127</v>
      </c>
      <c r="BN869" t="s">
        <v>74</v>
      </c>
      <c r="BO869" t="s">
        <v>202</v>
      </c>
      <c r="BP869" t="s">
        <v>74</v>
      </c>
      <c r="BQ869" t="s">
        <v>74</v>
      </c>
      <c r="BR869" t="s">
        <v>104</v>
      </c>
      <c r="BS869" t="s">
        <v>17128</v>
      </c>
      <c r="BT869" t="str">
        <f>HYPERLINK("https%3A%2F%2Fwww.webofscience.com%2Fwos%2Fwoscc%2Ffull-record%2FWOS:000556354700001","View Full Record in Web of Science")</f>
        <v>View Full Record in Web of Science</v>
      </c>
    </row>
    <row r="870" spans="1:72" x14ac:dyDescent="0.15">
      <c r="A870" t="s">
        <v>72</v>
      </c>
      <c r="B870" t="s">
        <v>17129</v>
      </c>
      <c r="C870" t="s">
        <v>74</v>
      </c>
      <c r="D870" t="s">
        <v>74</v>
      </c>
      <c r="E870" t="s">
        <v>74</v>
      </c>
      <c r="F870" t="s">
        <v>17130</v>
      </c>
      <c r="G870" t="s">
        <v>74</v>
      </c>
      <c r="H870" t="s">
        <v>74</v>
      </c>
      <c r="I870" t="s">
        <v>17131</v>
      </c>
      <c r="J870" t="s">
        <v>9765</v>
      </c>
      <c r="K870" t="s">
        <v>74</v>
      </c>
      <c r="L870" t="s">
        <v>74</v>
      </c>
      <c r="M870" t="s">
        <v>78</v>
      </c>
      <c r="N870" t="s">
        <v>79</v>
      </c>
      <c r="O870" t="s">
        <v>74</v>
      </c>
      <c r="P870" t="s">
        <v>74</v>
      </c>
      <c r="Q870" t="s">
        <v>74</v>
      </c>
      <c r="R870" t="s">
        <v>74</v>
      </c>
      <c r="S870" t="s">
        <v>74</v>
      </c>
      <c r="T870" t="s">
        <v>74</v>
      </c>
      <c r="U870" t="s">
        <v>17132</v>
      </c>
      <c r="V870" t="s">
        <v>17133</v>
      </c>
      <c r="W870" t="s">
        <v>17134</v>
      </c>
      <c r="X870" t="s">
        <v>17135</v>
      </c>
      <c r="Y870" t="s">
        <v>17136</v>
      </c>
      <c r="Z870" t="s">
        <v>17137</v>
      </c>
      <c r="AA870" t="s">
        <v>17138</v>
      </c>
      <c r="AB870" t="s">
        <v>17139</v>
      </c>
      <c r="AC870" t="s">
        <v>17140</v>
      </c>
      <c r="AD870" t="s">
        <v>17141</v>
      </c>
      <c r="AE870" t="s">
        <v>17142</v>
      </c>
      <c r="AF870" t="s">
        <v>74</v>
      </c>
      <c r="AG870">
        <v>65</v>
      </c>
      <c r="AH870">
        <v>19</v>
      </c>
      <c r="AI870">
        <v>21</v>
      </c>
      <c r="AJ870">
        <v>1</v>
      </c>
      <c r="AK870">
        <v>10</v>
      </c>
      <c r="AL870" t="s">
        <v>91</v>
      </c>
      <c r="AM870" t="s">
        <v>92</v>
      </c>
      <c r="AN870" t="s">
        <v>93</v>
      </c>
      <c r="AO870" t="s">
        <v>9777</v>
      </c>
      <c r="AP870" t="s">
        <v>9778</v>
      </c>
      <c r="AQ870" t="s">
        <v>74</v>
      </c>
      <c r="AR870" t="s">
        <v>9779</v>
      </c>
      <c r="AS870" t="s">
        <v>9780</v>
      </c>
      <c r="AT870" t="s">
        <v>17143</v>
      </c>
      <c r="AU870">
        <v>2020</v>
      </c>
      <c r="AV870">
        <v>16</v>
      </c>
      <c r="AW870">
        <v>4</v>
      </c>
      <c r="AX870" t="s">
        <v>74</v>
      </c>
      <c r="AY870" t="s">
        <v>74</v>
      </c>
      <c r="AZ870" t="s">
        <v>74</v>
      </c>
      <c r="BA870" t="s">
        <v>74</v>
      </c>
      <c r="BB870">
        <v>1429</v>
      </c>
      <c r="BC870">
        <v>1450</v>
      </c>
      <c r="BD870" t="s">
        <v>74</v>
      </c>
      <c r="BE870" t="s">
        <v>17144</v>
      </c>
      <c r="BF870" t="str">
        <f>HYPERLINK("http://dx.doi.org/10.5194/cp-16-1429-2020","http://dx.doi.org/10.5194/cp-16-1429-2020")</f>
        <v>http://dx.doi.org/10.5194/cp-16-1429-2020</v>
      </c>
      <c r="BG870" t="s">
        <v>74</v>
      </c>
      <c r="BH870" t="s">
        <v>74</v>
      </c>
      <c r="BI870">
        <v>22</v>
      </c>
      <c r="BJ870" t="s">
        <v>3614</v>
      </c>
      <c r="BK870" t="s">
        <v>100</v>
      </c>
      <c r="BL870" t="s">
        <v>3615</v>
      </c>
      <c r="BM870" t="s">
        <v>17145</v>
      </c>
      <c r="BN870" t="s">
        <v>74</v>
      </c>
      <c r="BO870" t="s">
        <v>9575</v>
      </c>
      <c r="BP870" t="s">
        <v>74</v>
      </c>
      <c r="BQ870" t="s">
        <v>74</v>
      </c>
      <c r="BR870" t="s">
        <v>104</v>
      </c>
      <c r="BS870" t="s">
        <v>17146</v>
      </c>
      <c r="BT870" t="str">
        <f>HYPERLINK("https%3A%2F%2Fwww.webofscience.com%2Fwos%2Fwoscc%2Ffull-record%2FWOS:000626813600001","View Full Record in Web of Science")</f>
        <v>View Full Record in Web of Science</v>
      </c>
    </row>
    <row r="871" spans="1:72" x14ac:dyDescent="0.15">
      <c r="A871" t="s">
        <v>72</v>
      </c>
      <c r="B871" t="s">
        <v>17147</v>
      </c>
      <c r="C871" t="s">
        <v>74</v>
      </c>
      <c r="D871" t="s">
        <v>74</v>
      </c>
      <c r="E871" t="s">
        <v>74</v>
      </c>
      <c r="F871" t="s">
        <v>17148</v>
      </c>
      <c r="G871" t="s">
        <v>74</v>
      </c>
      <c r="H871" t="s">
        <v>74</v>
      </c>
      <c r="I871" t="s">
        <v>17149</v>
      </c>
      <c r="J871" t="s">
        <v>309</v>
      </c>
      <c r="K871" t="s">
        <v>74</v>
      </c>
      <c r="L871" t="s">
        <v>74</v>
      </c>
      <c r="M871" t="s">
        <v>78</v>
      </c>
      <c r="N871" t="s">
        <v>79</v>
      </c>
      <c r="O871" t="s">
        <v>74</v>
      </c>
      <c r="P871" t="s">
        <v>74</v>
      </c>
      <c r="Q871" t="s">
        <v>74</v>
      </c>
      <c r="R871" t="s">
        <v>74</v>
      </c>
      <c r="S871" t="s">
        <v>74</v>
      </c>
      <c r="T871" t="s">
        <v>74</v>
      </c>
      <c r="U871" t="s">
        <v>17150</v>
      </c>
      <c r="V871" t="s">
        <v>17151</v>
      </c>
      <c r="W871" t="s">
        <v>17152</v>
      </c>
      <c r="X871" t="s">
        <v>17153</v>
      </c>
      <c r="Y871" t="s">
        <v>17154</v>
      </c>
      <c r="Z871" t="s">
        <v>17155</v>
      </c>
      <c r="AA871" t="s">
        <v>74</v>
      </c>
      <c r="AB871" t="s">
        <v>74</v>
      </c>
      <c r="AC871" t="s">
        <v>74</v>
      </c>
      <c r="AD871" t="s">
        <v>74</v>
      </c>
      <c r="AE871" t="s">
        <v>74</v>
      </c>
      <c r="AF871" t="s">
        <v>74</v>
      </c>
      <c r="AG871">
        <v>75</v>
      </c>
      <c r="AH871">
        <v>3</v>
      </c>
      <c r="AI871">
        <v>3</v>
      </c>
      <c r="AJ871">
        <v>0</v>
      </c>
      <c r="AK871">
        <v>3</v>
      </c>
      <c r="AL871" t="s">
        <v>413</v>
      </c>
      <c r="AM871" t="s">
        <v>322</v>
      </c>
      <c r="AN871" t="s">
        <v>323</v>
      </c>
      <c r="AO871" t="s">
        <v>324</v>
      </c>
      <c r="AP871" t="s">
        <v>74</v>
      </c>
      <c r="AQ871" t="s">
        <v>74</v>
      </c>
      <c r="AR871" t="s">
        <v>325</v>
      </c>
      <c r="AS871" t="s">
        <v>326</v>
      </c>
      <c r="AT871" t="s">
        <v>17143</v>
      </c>
      <c r="AU871">
        <v>2020</v>
      </c>
      <c r="AV871">
        <v>10</v>
      </c>
      <c r="AW871">
        <v>1</v>
      </c>
      <c r="AX871" t="s">
        <v>74</v>
      </c>
      <c r="AY871" t="s">
        <v>74</v>
      </c>
      <c r="AZ871" t="s">
        <v>74</v>
      </c>
      <c r="BA871" t="s">
        <v>74</v>
      </c>
      <c r="BB871" t="s">
        <v>74</v>
      </c>
      <c r="BC871" t="s">
        <v>74</v>
      </c>
      <c r="BD871">
        <v>13177</v>
      </c>
      <c r="BE871" t="s">
        <v>17156</v>
      </c>
      <c r="BF871" t="str">
        <f>HYPERLINK("http://dx.doi.org/10.1038/s41598-020-69780-8","http://dx.doi.org/10.1038/s41598-020-69780-8")</f>
        <v>http://dx.doi.org/10.1038/s41598-020-69780-8</v>
      </c>
      <c r="BG871" t="s">
        <v>74</v>
      </c>
      <c r="BH871" t="s">
        <v>74</v>
      </c>
      <c r="BI871">
        <v>15</v>
      </c>
      <c r="BJ871" t="s">
        <v>329</v>
      </c>
      <c r="BK871" t="s">
        <v>100</v>
      </c>
      <c r="BL871" t="s">
        <v>330</v>
      </c>
      <c r="BM871" t="s">
        <v>17157</v>
      </c>
      <c r="BN871">
        <v>32764584</v>
      </c>
      <c r="BO871" t="s">
        <v>6286</v>
      </c>
      <c r="BP871" t="s">
        <v>74</v>
      </c>
      <c r="BQ871" t="s">
        <v>74</v>
      </c>
      <c r="BR871" t="s">
        <v>104</v>
      </c>
      <c r="BS871" t="s">
        <v>17158</v>
      </c>
      <c r="BT871" t="str">
        <f>HYPERLINK("https%3A%2F%2Fwww.webofscience.com%2Fwos%2Fwoscc%2Ffull-record%2FWOS:000573233300006","View Full Record in Web of Science")</f>
        <v>View Full Record in Web of Science</v>
      </c>
    </row>
    <row r="872" spans="1:72" x14ac:dyDescent="0.15">
      <c r="A872" t="s">
        <v>72</v>
      </c>
      <c r="B872" t="s">
        <v>17159</v>
      </c>
      <c r="C872" t="s">
        <v>74</v>
      </c>
      <c r="D872" t="s">
        <v>74</v>
      </c>
      <c r="E872" t="s">
        <v>74</v>
      </c>
      <c r="F872" t="s">
        <v>17160</v>
      </c>
      <c r="G872" t="s">
        <v>74</v>
      </c>
      <c r="H872" t="s">
        <v>74</v>
      </c>
      <c r="I872" t="s">
        <v>17161</v>
      </c>
      <c r="J872" t="s">
        <v>309</v>
      </c>
      <c r="K872" t="s">
        <v>74</v>
      </c>
      <c r="L872" t="s">
        <v>74</v>
      </c>
      <c r="M872" t="s">
        <v>78</v>
      </c>
      <c r="N872" t="s">
        <v>79</v>
      </c>
      <c r="O872" t="s">
        <v>74</v>
      </c>
      <c r="P872" t="s">
        <v>74</v>
      </c>
      <c r="Q872" t="s">
        <v>74</v>
      </c>
      <c r="R872" t="s">
        <v>74</v>
      </c>
      <c r="S872" t="s">
        <v>74</v>
      </c>
      <c r="T872" t="s">
        <v>74</v>
      </c>
      <c r="U872" t="s">
        <v>17162</v>
      </c>
      <c r="V872" t="s">
        <v>17163</v>
      </c>
      <c r="W872" t="s">
        <v>17164</v>
      </c>
      <c r="X872" t="s">
        <v>17165</v>
      </c>
      <c r="Y872" t="s">
        <v>17166</v>
      </c>
      <c r="Z872" t="s">
        <v>17167</v>
      </c>
      <c r="AA872" t="s">
        <v>74</v>
      </c>
      <c r="AB872" t="s">
        <v>74</v>
      </c>
      <c r="AC872" t="s">
        <v>17168</v>
      </c>
      <c r="AD872" t="s">
        <v>17169</v>
      </c>
      <c r="AE872" t="s">
        <v>17170</v>
      </c>
      <c r="AF872" t="s">
        <v>74</v>
      </c>
      <c r="AG872">
        <v>48</v>
      </c>
      <c r="AH872">
        <v>1</v>
      </c>
      <c r="AI872">
        <v>1</v>
      </c>
      <c r="AJ872">
        <v>1</v>
      </c>
      <c r="AK872">
        <v>3</v>
      </c>
      <c r="AL872" t="s">
        <v>413</v>
      </c>
      <c r="AM872" t="s">
        <v>322</v>
      </c>
      <c r="AN872" t="s">
        <v>323</v>
      </c>
      <c r="AO872" t="s">
        <v>324</v>
      </c>
      <c r="AP872" t="s">
        <v>74</v>
      </c>
      <c r="AQ872" t="s">
        <v>74</v>
      </c>
      <c r="AR872" t="s">
        <v>325</v>
      </c>
      <c r="AS872" t="s">
        <v>326</v>
      </c>
      <c r="AT872" t="s">
        <v>17143</v>
      </c>
      <c r="AU872">
        <v>2020</v>
      </c>
      <c r="AV872">
        <v>10</v>
      </c>
      <c r="AW872">
        <v>1</v>
      </c>
      <c r="AX872" t="s">
        <v>74</v>
      </c>
      <c r="AY872" t="s">
        <v>74</v>
      </c>
      <c r="AZ872" t="s">
        <v>74</v>
      </c>
      <c r="BA872" t="s">
        <v>74</v>
      </c>
      <c r="BB872" t="s">
        <v>74</v>
      </c>
      <c r="BC872" t="s">
        <v>74</v>
      </c>
      <c r="BD872">
        <v>13194</v>
      </c>
      <c r="BE872" t="s">
        <v>17171</v>
      </c>
      <c r="BF872" t="str">
        <f>HYPERLINK("http://dx.doi.org/10.1038/s41598-020-70020-2","http://dx.doi.org/10.1038/s41598-020-70020-2")</f>
        <v>http://dx.doi.org/10.1038/s41598-020-70020-2</v>
      </c>
      <c r="BG872" t="s">
        <v>74</v>
      </c>
      <c r="BH872" t="s">
        <v>74</v>
      </c>
      <c r="BI872">
        <v>8</v>
      </c>
      <c r="BJ872" t="s">
        <v>329</v>
      </c>
      <c r="BK872" t="s">
        <v>100</v>
      </c>
      <c r="BL872" t="s">
        <v>330</v>
      </c>
      <c r="BM872" t="s">
        <v>17172</v>
      </c>
      <c r="BN872">
        <v>32764595</v>
      </c>
      <c r="BO872" t="s">
        <v>332</v>
      </c>
      <c r="BP872" t="s">
        <v>74</v>
      </c>
      <c r="BQ872" t="s">
        <v>74</v>
      </c>
      <c r="BR872" t="s">
        <v>104</v>
      </c>
      <c r="BS872" t="s">
        <v>17173</v>
      </c>
      <c r="BT872" t="str">
        <f>HYPERLINK("https%3A%2F%2Fwww.webofscience.com%2Fwos%2Fwoscc%2Ffull-record%2FWOS:000573234000008","View Full Record in Web of Science")</f>
        <v>View Full Record in Web of Science</v>
      </c>
    </row>
    <row r="873" spans="1:72" x14ac:dyDescent="0.15">
      <c r="A873" t="s">
        <v>72</v>
      </c>
      <c r="B873" t="s">
        <v>17174</v>
      </c>
      <c r="C873" t="s">
        <v>74</v>
      </c>
      <c r="D873" t="s">
        <v>74</v>
      </c>
      <c r="E873" t="s">
        <v>74</v>
      </c>
      <c r="F873" t="s">
        <v>17175</v>
      </c>
      <c r="G873" t="s">
        <v>74</v>
      </c>
      <c r="H873" t="s">
        <v>74</v>
      </c>
      <c r="I873" t="s">
        <v>17176</v>
      </c>
      <c r="J873" t="s">
        <v>3492</v>
      </c>
      <c r="K873" t="s">
        <v>74</v>
      </c>
      <c r="L873" t="s">
        <v>74</v>
      </c>
      <c r="M873" t="s">
        <v>78</v>
      </c>
      <c r="N873" t="s">
        <v>79</v>
      </c>
      <c r="O873" t="s">
        <v>74</v>
      </c>
      <c r="P873" t="s">
        <v>74</v>
      </c>
      <c r="Q873" t="s">
        <v>74</v>
      </c>
      <c r="R873" t="s">
        <v>74</v>
      </c>
      <c r="S873" t="s">
        <v>74</v>
      </c>
      <c r="T873" t="s">
        <v>17177</v>
      </c>
      <c r="U873" t="s">
        <v>17178</v>
      </c>
      <c r="V873" t="s">
        <v>17179</v>
      </c>
      <c r="W873" t="s">
        <v>17180</v>
      </c>
      <c r="X873" t="s">
        <v>17181</v>
      </c>
      <c r="Y873" t="s">
        <v>17182</v>
      </c>
      <c r="Z873" t="s">
        <v>17183</v>
      </c>
      <c r="AA873" t="s">
        <v>17184</v>
      </c>
      <c r="AB873" t="s">
        <v>17185</v>
      </c>
      <c r="AC873" t="s">
        <v>17186</v>
      </c>
      <c r="AD873" t="s">
        <v>17187</v>
      </c>
      <c r="AE873" t="s">
        <v>17188</v>
      </c>
      <c r="AF873" t="s">
        <v>74</v>
      </c>
      <c r="AG873">
        <v>105</v>
      </c>
      <c r="AH873">
        <v>11</v>
      </c>
      <c r="AI873">
        <v>12</v>
      </c>
      <c r="AJ873">
        <v>1</v>
      </c>
      <c r="AK873">
        <v>12</v>
      </c>
      <c r="AL873" t="s">
        <v>866</v>
      </c>
      <c r="AM873" t="s">
        <v>867</v>
      </c>
      <c r="AN873" t="s">
        <v>868</v>
      </c>
      <c r="AO873" t="s">
        <v>74</v>
      </c>
      <c r="AP873" t="s">
        <v>3505</v>
      </c>
      <c r="AQ873" t="s">
        <v>74</v>
      </c>
      <c r="AR873" t="s">
        <v>3506</v>
      </c>
      <c r="AS873" t="s">
        <v>3507</v>
      </c>
      <c r="AT873" t="s">
        <v>17143</v>
      </c>
      <c r="AU873">
        <v>2020</v>
      </c>
      <c r="AV873">
        <v>8</v>
      </c>
      <c r="AW873" t="s">
        <v>74</v>
      </c>
      <c r="AX873" t="s">
        <v>74</v>
      </c>
      <c r="AY873" t="s">
        <v>74</v>
      </c>
      <c r="AZ873" t="s">
        <v>74</v>
      </c>
      <c r="BA873" t="s">
        <v>74</v>
      </c>
      <c r="BB873" t="s">
        <v>74</v>
      </c>
      <c r="BC873" t="s">
        <v>74</v>
      </c>
      <c r="BD873">
        <v>329</v>
      </c>
      <c r="BE873" t="s">
        <v>17189</v>
      </c>
      <c r="BF873" t="str">
        <f>HYPERLINK("http://dx.doi.org/10.3389/feart.2020.00329","http://dx.doi.org/10.3389/feart.2020.00329")</f>
        <v>http://dx.doi.org/10.3389/feart.2020.00329</v>
      </c>
      <c r="BG873" t="s">
        <v>74</v>
      </c>
      <c r="BH873" t="s">
        <v>74</v>
      </c>
      <c r="BI873">
        <v>20</v>
      </c>
      <c r="BJ873" t="s">
        <v>534</v>
      </c>
      <c r="BK873" t="s">
        <v>100</v>
      </c>
      <c r="BL873" t="s">
        <v>535</v>
      </c>
      <c r="BM873" t="s">
        <v>17190</v>
      </c>
      <c r="BN873" t="s">
        <v>74</v>
      </c>
      <c r="BO873" t="s">
        <v>202</v>
      </c>
      <c r="BP873" t="s">
        <v>74</v>
      </c>
      <c r="BQ873" t="s">
        <v>74</v>
      </c>
      <c r="BR873" t="s">
        <v>104</v>
      </c>
      <c r="BS873" t="s">
        <v>17191</v>
      </c>
      <c r="BT873" t="str">
        <f>HYPERLINK("https%3A%2F%2Fwww.webofscience.com%2Fwos%2Fwoscc%2Ffull-record%2FWOS:000563482400001","View Full Record in Web of Science")</f>
        <v>View Full Record in Web of Science</v>
      </c>
    </row>
    <row r="874" spans="1:72" x14ac:dyDescent="0.15">
      <c r="A874" t="s">
        <v>72</v>
      </c>
      <c r="B874" t="s">
        <v>17192</v>
      </c>
      <c r="C874" t="s">
        <v>74</v>
      </c>
      <c r="D874" t="s">
        <v>74</v>
      </c>
      <c r="E874" t="s">
        <v>74</v>
      </c>
      <c r="F874" t="s">
        <v>17193</v>
      </c>
      <c r="G874" t="s">
        <v>74</v>
      </c>
      <c r="H874" t="s">
        <v>74</v>
      </c>
      <c r="I874" t="s">
        <v>17194</v>
      </c>
      <c r="J874" t="s">
        <v>4046</v>
      </c>
      <c r="K874" t="s">
        <v>74</v>
      </c>
      <c r="L874" t="s">
        <v>74</v>
      </c>
      <c r="M874" t="s">
        <v>78</v>
      </c>
      <c r="N874" t="s">
        <v>79</v>
      </c>
      <c r="O874" t="s">
        <v>74</v>
      </c>
      <c r="P874" t="s">
        <v>74</v>
      </c>
      <c r="Q874" t="s">
        <v>74</v>
      </c>
      <c r="R874" t="s">
        <v>74</v>
      </c>
      <c r="S874" t="s">
        <v>74</v>
      </c>
      <c r="T874" t="s">
        <v>17195</v>
      </c>
      <c r="U874" t="s">
        <v>17196</v>
      </c>
      <c r="V874" t="s">
        <v>17197</v>
      </c>
      <c r="W874" t="s">
        <v>17198</v>
      </c>
      <c r="X874" t="s">
        <v>16719</v>
      </c>
      <c r="Y874" t="s">
        <v>17199</v>
      </c>
      <c r="Z874" t="s">
        <v>17200</v>
      </c>
      <c r="AA874" t="s">
        <v>17201</v>
      </c>
      <c r="AB874" t="s">
        <v>17202</v>
      </c>
      <c r="AC874" t="s">
        <v>17203</v>
      </c>
      <c r="AD874" t="s">
        <v>17204</v>
      </c>
      <c r="AE874" t="s">
        <v>17205</v>
      </c>
      <c r="AF874" t="s">
        <v>74</v>
      </c>
      <c r="AG874">
        <v>97</v>
      </c>
      <c r="AH874">
        <v>8</v>
      </c>
      <c r="AI874">
        <v>9</v>
      </c>
      <c r="AJ874">
        <v>2</v>
      </c>
      <c r="AK874">
        <v>8</v>
      </c>
      <c r="AL874" t="s">
        <v>866</v>
      </c>
      <c r="AM874" t="s">
        <v>867</v>
      </c>
      <c r="AN874" t="s">
        <v>868</v>
      </c>
      <c r="AO874" t="s">
        <v>74</v>
      </c>
      <c r="AP874" t="s">
        <v>4058</v>
      </c>
      <c r="AQ874" t="s">
        <v>74</v>
      </c>
      <c r="AR874" t="s">
        <v>4059</v>
      </c>
      <c r="AS874" t="s">
        <v>4060</v>
      </c>
      <c r="AT874" t="s">
        <v>17143</v>
      </c>
      <c r="AU874">
        <v>2020</v>
      </c>
      <c r="AV874">
        <v>11</v>
      </c>
      <c r="AW874" t="s">
        <v>74</v>
      </c>
      <c r="AX874" t="s">
        <v>74</v>
      </c>
      <c r="AY874" t="s">
        <v>74</v>
      </c>
      <c r="AZ874" t="s">
        <v>74</v>
      </c>
      <c r="BA874" t="s">
        <v>74</v>
      </c>
      <c r="BB874" t="s">
        <v>74</v>
      </c>
      <c r="BC874" t="s">
        <v>74</v>
      </c>
      <c r="BD874">
        <v>1847</v>
      </c>
      <c r="BE874" t="s">
        <v>17206</v>
      </c>
      <c r="BF874" t="str">
        <f>HYPERLINK("http://dx.doi.org/10.3389/fmicb.2020.01847","http://dx.doi.org/10.3389/fmicb.2020.01847")</f>
        <v>http://dx.doi.org/10.3389/fmicb.2020.01847</v>
      </c>
      <c r="BG874" t="s">
        <v>74</v>
      </c>
      <c r="BH874" t="s">
        <v>74</v>
      </c>
      <c r="BI874">
        <v>14</v>
      </c>
      <c r="BJ874" t="s">
        <v>229</v>
      </c>
      <c r="BK874" t="s">
        <v>100</v>
      </c>
      <c r="BL874" t="s">
        <v>229</v>
      </c>
      <c r="BM874" t="s">
        <v>17207</v>
      </c>
      <c r="BN874">
        <v>32849444</v>
      </c>
      <c r="BO874" t="s">
        <v>332</v>
      </c>
      <c r="BP874" t="s">
        <v>74</v>
      </c>
      <c r="BQ874" t="s">
        <v>74</v>
      </c>
      <c r="BR874" t="s">
        <v>104</v>
      </c>
      <c r="BS874" t="s">
        <v>17208</v>
      </c>
      <c r="BT874" t="str">
        <f>HYPERLINK("https%3A%2F%2Fwww.webofscience.com%2Fwos%2Fwoscc%2Ffull-record%2FWOS:000563205700001","View Full Record in Web of Science")</f>
        <v>View Full Record in Web of Science</v>
      </c>
    </row>
    <row r="875" spans="1:72" x14ac:dyDescent="0.15">
      <c r="A875" t="s">
        <v>72</v>
      </c>
      <c r="B875" t="s">
        <v>17209</v>
      </c>
      <c r="C875" t="s">
        <v>74</v>
      </c>
      <c r="D875" t="s">
        <v>74</v>
      </c>
      <c r="E875" t="s">
        <v>74</v>
      </c>
      <c r="F875" t="s">
        <v>17210</v>
      </c>
      <c r="G875" t="s">
        <v>74</v>
      </c>
      <c r="H875" t="s">
        <v>74</v>
      </c>
      <c r="I875" t="s">
        <v>17211</v>
      </c>
      <c r="J875" t="s">
        <v>17212</v>
      </c>
      <c r="K875" t="s">
        <v>74</v>
      </c>
      <c r="L875" t="s">
        <v>74</v>
      </c>
      <c r="M875" t="s">
        <v>78</v>
      </c>
      <c r="N875" t="s">
        <v>79</v>
      </c>
      <c r="O875" t="s">
        <v>74</v>
      </c>
      <c r="P875" t="s">
        <v>74</v>
      </c>
      <c r="Q875" t="s">
        <v>74</v>
      </c>
      <c r="R875" t="s">
        <v>74</v>
      </c>
      <c r="S875" t="s">
        <v>74</v>
      </c>
      <c r="T875" t="s">
        <v>17213</v>
      </c>
      <c r="U875" t="s">
        <v>17214</v>
      </c>
      <c r="V875" t="s">
        <v>17215</v>
      </c>
      <c r="W875" t="s">
        <v>17216</v>
      </c>
      <c r="X875" t="s">
        <v>17217</v>
      </c>
      <c r="Y875" t="s">
        <v>17218</v>
      </c>
      <c r="Z875" t="s">
        <v>17219</v>
      </c>
      <c r="AA875" t="s">
        <v>74</v>
      </c>
      <c r="AB875" t="s">
        <v>74</v>
      </c>
      <c r="AC875" t="s">
        <v>17220</v>
      </c>
      <c r="AD875" t="s">
        <v>17221</v>
      </c>
      <c r="AE875" t="s">
        <v>17222</v>
      </c>
      <c r="AF875" t="s">
        <v>74</v>
      </c>
      <c r="AG875">
        <v>149</v>
      </c>
      <c r="AH875">
        <v>10</v>
      </c>
      <c r="AI875">
        <v>10</v>
      </c>
      <c r="AJ875">
        <v>0</v>
      </c>
      <c r="AK875">
        <v>5</v>
      </c>
      <c r="AL875" t="s">
        <v>692</v>
      </c>
      <c r="AM875" t="s">
        <v>693</v>
      </c>
      <c r="AN875" t="s">
        <v>694</v>
      </c>
      <c r="AO875" t="s">
        <v>17223</v>
      </c>
      <c r="AP875" t="s">
        <v>17224</v>
      </c>
      <c r="AQ875" t="s">
        <v>74</v>
      </c>
      <c r="AR875" t="s">
        <v>17212</v>
      </c>
      <c r="AS875" t="s">
        <v>17212</v>
      </c>
      <c r="AT875" t="s">
        <v>16002</v>
      </c>
      <c r="AU875">
        <v>2020</v>
      </c>
      <c r="AV875">
        <v>142</v>
      </c>
      <c r="AW875">
        <v>3</v>
      </c>
      <c r="AX875" t="s">
        <v>74</v>
      </c>
      <c r="AY875" t="s">
        <v>74</v>
      </c>
      <c r="AZ875" t="s">
        <v>74</v>
      </c>
      <c r="BA875" t="s">
        <v>74</v>
      </c>
      <c r="BB875">
        <v>223</v>
      </c>
      <c r="BC875">
        <v>236</v>
      </c>
      <c r="BD875" t="s">
        <v>74</v>
      </c>
      <c r="BE875" t="s">
        <v>17225</v>
      </c>
      <c r="BF875" t="str">
        <f>HYPERLINK("http://dx.doi.org/10.1080/11035897.2020.1781245","http://dx.doi.org/10.1080/11035897.2020.1781245")</f>
        <v>http://dx.doi.org/10.1080/11035897.2020.1781245</v>
      </c>
      <c r="BG875" t="s">
        <v>74</v>
      </c>
      <c r="BH875" t="s">
        <v>15048</v>
      </c>
      <c r="BI875">
        <v>14</v>
      </c>
      <c r="BJ875" t="s">
        <v>3307</v>
      </c>
      <c r="BK875" t="s">
        <v>100</v>
      </c>
      <c r="BL875" t="s">
        <v>3307</v>
      </c>
      <c r="BM875" t="s">
        <v>17226</v>
      </c>
      <c r="BN875" t="s">
        <v>74</v>
      </c>
      <c r="BO875" t="s">
        <v>701</v>
      </c>
      <c r="BP875" t="s">
        <v>74</v>
      </c>
      <c r="BQ875" t="s">
        <v>74</v>
      </c>
      <c r="BR875" t="s">
        <v>104</v>
      </c>
      <c r="BS875" t="s">
        <v>17227</v>
      </c>
      <c r="BT875" t="str">
        <f>HYPERLINK("https%3A%2F%2Fwww.webofscience.com%2Fwos%2Fwoscc%2Ffull-record%2FWOS:000556080700001","View Full Record in Web of Science")</f>
        <v>View Full Record in Web of Science</v>
      </c>
    </row>
    <row r="876" spans="1:72" x14ac:dyDescent="0.15">
      <c r="A876" t="s">
        <v>72</v>
      </c>
      <c r="B876" t="s">
        <v>17228</v>
      </c>
      <c r="C876" t="s">
        <v>74</v>
      </c>
      <c r="D876" t="s">
        <v>74</v>
      </c>
      <c r="E876" t="s">
        <v>74</v>
      </c>
      <c r="F876" t="s">
        <v>17229</v>
      </c>
      <c r="G876" t="s">
        <v>74</v>
      </c>
      <c r="H876" t="s">
        <v>74</v>
      </c>
      <c r="I876" t="s">
        <v>17230</v>
      </c>
      <c r="J876" t="s">
        <v>901</v>
      </c>
      <c r="K876" t="s">
        <v>74</v>
      </c>
      <c r="L876" t="s">
        <v>74</v>
      </c>
      <c r="M876" t="s">
        <v>78</v>
      </c>
      <c r="N876" t="s">
        <v>138</v>
      </c>
      <c r="O876" t="s">
        <v>74</v>
      </c>
      <c r="P876" t="s">
        <v>74</v>
      </c>
      <c r="Q876" t="s">
        <v>74</v>
      </c>
      <c r="R876" t="s">
        <v>74</v>
      </c>
      <c r="S876" t="s">
        <v>74</v>
      </c>
      <c r="T876" t="s">
        <v>17231</v>
      </c>
      <c r="U876" t="s">
        <v>17232</v>
      </c>
      <c r="V876" t="s">
        <v>17233</v>
      </c>
      <c r="W876" t="s">
        <v>17234</v>
      </c>
      <c r="X876" t="s">
        <v>17235</v>
      </c>
      <c r="Y876" t="s">
        <v>17236</v>
      </c>
      <c r="Z876" t="s">
        <v>17237</v>
      </c>
      <c r="AA876" t="s">
        <v>17238</v>
      </c>
      <c r="AB876" t="s">
        <v>17239</v>
      </c>
      <c r="AC876" t="s">
        <v>17240</v>
      </c>
      <c r="AD876" t="s">
        <v>17241</v>
      </c>
      <c r="AE876" t="s">
        <v>17242</v>
      </c>
      <c r="AF876" t="s">
        <v>74</v>
      </c>
      <c r="AG876">
        <v>279</v>
      </c>
      <c r="AH876">
        <v>26</v>
      </c>
      <c r="AI876">
        <v>26</v>
      </c>
      <c r="AJ876">
        <v>7</v>
      </c>
      <c r="AK876">
        <v>37</v>
      </c>
      <c r="AL876" t="s">
        <v>866</v>
      </c>
      <c r="AM876" t="s">
        <v>867</v>
      </c>
      <c r="AN876" t="s">
        <v>868</v>
      </c>
      <c r="AO876" t="s">
        <v>74</v>
      </c>
      <c r="AP876" t="s">
        <v>914</v>
      </c>
      <c r="AQ876" t="s">
        <v>74</v>
      </c>
      <c r="AR876" t="s">
        <v>915</v>
      </c>
      <c r="AS876" t="s">
        <v>916</v>
      </c>
      <c r="AT876" t="s">
        <v>17143</v>
      </c>
      <c r="AU876">
        <v>2020</v>
      </c>
      <c r="AV876">
        <v>7</v>
      </c>
      <c r="AW876" t="s">
        <v>74</v>
      </c>
      <c r="AX876" t="s">
        <v>74</v>
      </c>
      <c r="AY876" t="s">
        <v>74</v>
      </c>
      <c r="AZ876" t="s">
        <v>74</v>
      </c>
      <c r="BA876" t="s">
        <v>74</v>
      </c>
      <c r="BB876" t="s">
        <v>74</v>
      </c>
      <c r="BC876" t="s">
        <v>74</v>
      </c>
      <c r="BD876">
        <v>576</v>
      </c>
      <c r="BE876" t="s">
        <v>17243</v>
      </c>
      <c r="BF876" t="str">
        <f>HYPERLINK("http://dx.doi.org/10.3389/fmars.2020.00576","http://dx.doi.org/10.3389/fmars.2020.00576")</f>
        <v>http://dx.doi.org/10.3389/fmars.2020.00576</v>
      </c>
      <c r="BG876" t="s">
        <v>74</v>
      </c>
      <c r="BH876" t="s">
        <v>74</v>
      </c>
      <c r="BI876">
        <v>23</v>
      </c>
      <c r="BJ876" t="s">
        <v>918</v>
      </c>
      <c r="BK876" t="s">
        <v>255</v>
      </c>
      <c r="BL876" t="s">
        <v>919</v>
      </c>
      <c r="BM876" t="s">
        <v>17244</v>
      </c>
      <c r="BN876" t="s">
        <v>74</v>
      </c>
      <c r="BO876" t="s">
        <v>397</v>
      </c>
      <c r="BP876" t="s">
        <v>74</v>
      </c>
      <c r="BQ876" t="s">
        <v>74</v>
      </c>
      <c r="BR876" t="s">
        <v>104</v>
      </c>
      <c r="BS876" t="s">
        <v>17245</v>
      </c>
      <c r="BT876" t="str">
        <f>HYPERLINK("https%3A%2F%2Fwww.webofscience.com%2Fwos%2Fwoscc%2Ffull-record%2FWOS:000561925100001","View Full Record in Web of Science")</f>
        <v>View Full Record in Web of Science</v>
      </c>
    </row>
    <row r="877" spans="1:72" x14ac:dyDescent="0.15">
      <c r="A877" t="s">
        <v>72</v>
      </c>
      <c r="B877" t="s">
        <v>17246</v>
      </c>
      <c r="C877" t="s">
        <v>74</v>
      </c>
      <c r="D877" t="s">
        <v>74</v>
      </c>
      <c r="E877" t="s">
        <v>74</v>
      </c>
      <c r="F877" t="s">
        <v>17247</v>
      </c>
      <c r="G877" t="s">
        <v>74</v>
      </c>
      <c r="H877" t="s">
        <v>74</v>
      </c>
      <c r="I877" t="s">
        <v>17248</v>
      </c>
      <c r="J877" t="s">
        <v>569</v>
      </c>
      <c r="K877" t="s">
        <v>74</v>
      </c>
      <c r="L877" t="s">
        <v>74</v>
      </c>
      <c r="M877" t="s">
        <v>78</v>
      </c>
      <c r="N877" t="s">
        <v>79</v>
      </c>
      <c r="O877" t="s">
        <v>74</v>
      </c>
      <c r="P877" t="s">
        <v>74</v>
      </c>
      <c r="Q877" t="s">
        <v>74</v>
      </c>
      <c r="R877" t="s">
        <v>74</v>
      </c>
      <c r="S877" t="s">
        <v>74</v>
      </c>
      <c r="T877" t="s">
        <v>17249</v>
      </c>
      <c r="U877" t="s">
        <v>17250</v>
      </c>
      <c r="V877" t="s">
        <v>17251</v>
      </c>
      <c r="W877" t="s">
        <v>17252</v>
      </c>
      <c r="X877" t="s">
        <v>17253</v>
      </c>
      <c r="Y877" t="s">
        <v>17254</v>
      </c>
      <c r="Z877" t="s">
        <v>17255</v>
      </c>
      <c r="AA877" t="s">
        <v>17256</v>
      </c>
      <c r="AB877" t="s">
        <v>17257</v>
      </c>
      <c r="AC877" t="s">
        <v>74</v>
      </c>
      <c r="AD877" t="s">
        <v>74</v>
      </c>
      <c r="AE877" t="s">
        <v>74</v>
      </c>
      <c r="AF877" t="s">
        <v>74</v>
      </c>
      <c r="AG877">
        <v>49</v>
      </c>
      <c r="AH877">
        <v>4</v>
      </c>
      <c r="AI877">
        <v>4</v>
      </c>
      <c r="AJ877">
        <v>0</v>
      </c>
      <c r="AK877">
        <v>4</v>
      </c>
      <c r="AL877" t="s">
        <v>581</v>
      </c>
      <c r="AM877" t="s">
        <v>582</v>
      </c>
      <c r="AN877" t="s">
        <v>583</v>
      </c>
      <c r="AO877" t="s">
        <v>584</v>
      </c>
      <c r="AP877" t="s">
        <v>585</v>
      </c>
      <c r="AQ877" t="s">
        <v>74</v>
      </c>
      <c r="AR877" t="s">
        <v>586</v>
      </c>
      <c r="AS877" t="s">
        <v>587</v>
      </c>
      <c r="AT877" t="s">
        <v>17143</v>
      </c>
      <c r="AU877">
        <v>2020</v>
      </c>
      <c r="AV877">
        <v>50</v>
      </c>
      <c r="AW877">
        <v>5</v>
      </c>
      <c r="AX877" t="s">
        <v>74</v>
      </c>
      <c r="AY877" t="s">
        <v>74</v>
      </c>
      <c r="AZ877" t="s">
        <v>74</v>
      </c>
      <c r="BA877" t="s">
        <v>74</v>
      </c>
      <c r="BB877" t="s">
        <v>74</v>
      </c>
      <c r="BC877" t="s">
        <v>74</v>
      </c>
      <c r="BD877">
        <v>64</v>
      </c>
      <c r="BE877" t="s">
        <v>17258</v>
      </c>
      <c r="BF877" t="str">
        <f>HYPERLINK("http://dx.doi.org/10.1007/s12526-020-01080-w","http://dx.doi.org/10.1007/s12526-020-01080-w")</f>
        <v>http://dx.doi.org/10.1007/s12526-020-01080-w</v>
      </c>
      <c r="BG877" t="s">
        <v>74</v>
      </c>
      <c r="BH877" t="s">
        <v>74</v>
      </c>
      <c r="BI877">
        <v>26</v>
      </c>
      <c r="BJ877" t="s">
        <v>589</v>
      </c>
      <c r="BK877" t="s">
        <v>100</v>
      </c>
      <c r="BL877" t="s">
        <v>590</v>
      </c>
      <c r="BM877" t="s">
        <v>17259</v>
      </c>
      <c r="BN877" t="s">
        <v>74</v>
      </c>
      <c r="BO877" t="s">
        <v>74</v>
      </c>
      <c r="BP877" t="s">
        <v>74</v>
      </c>
      <c r="BQ877" t="s">
        <v>74</v>
      </c>
      <c r="BR877" t="s">
        <v>104</v>
      </c>
      <c r="BS877" t="s">
        <v>17260</v>
      </c>
      <c r="BT877" t="str">
        <f>HYPERLINK("https%3A%2F%2Fwww.webofscience.com%2Fwos%2Fwoscc%2Ffull-record%2FWOS:000561112300001","View Full Record in Web of Science")</f>
        <v>View Full Record in Web of Science</v>
      </c>
    </row>
    <row r="878" spans="1:72" x14ac:dyDescent="0.15">
      <c r="A878" t="s">
        <v>72</v>
      </c>
      <c r="B878" t="s">
        <v>17261</v>
      </c>
      <c r="C878" t="s">
        <v>74</v>
      </c>
      <c r="D878" t="s">
        <v>74</v>
      </c>
      <c r="E878" t="s">
        <v>74</v>
      </c>
      <c r="F878" t="s">
        <v>17262</v>
      </c>
      <c r="G878" t="s">
        <v>74</v>
      </c>
      <c r="H878" t="s">
        <v>74</v>
      </c>
      <c r="I878" t="s">
        <v>17263</v>
      </c>
      <c r="J878" t="s">
        <v>10172</v>
      </c>
      <c r="K878" t="s">
        <v>74</v>
      </c>
      <c r="L878" t="s">
        <v>74</v>
      </c>
      <c r="M878" t="s">
        <v>78</v>
      </c>
      <c r="N878" t="s">
        <v>79</v>
      </c>
      <c r="O878" t="s">
        <v>74</v>
      </c>
      <c r="P878" t="s">
        <v>74</v>
      </c>
      <c r="Q878" t="s">
        <v>74</v>
      </c>
      <c r="R878" t="s">
        <v>74</v>
      </c>
      <c r="S878" t="s">
        <v>74</v>
      </c>
      <c r="T878" t="s">
        <v>74</v>
      </c>
      <c r="U878" t="s">
        <v>17264</v>
      </c>
      <c r="V878" t="s">
        <v>17265</v>
      </c>
      <c r="W878" t="s">
        <v>17266</v>
      </c>
      <c r="X878" t="s">
        <v>17267</v>
      </c>
      <c r="Y878" t="s">
        <v>17268</v>
      </c>
      <c r="Z878" t="s">
        <v>17269</v>
      </c>
      <c r="AA878" t="s">
        <v>17270</v>
      </c>
      <c r="AB878" t="s">
        <v>17271</v>
      </c>
      <c r="AC878" t="s">
        <v>17272</v>
      </c>
      <c r="AD878" t="s">
        <v>17273</v>
      </c>
      <c r="AE878" t="s">
        <v>17274</v>
      </c>
      <c r="AF878" t="s">
        <v>74</v>
      </c>
      <c r="AG878">
        <v>75</v>
      </c>
      <c r="AH878">
        <v>0</v>
      </c>
      <c r="AI878">
        <v>0</v>
      </c>
      <c r="AJ878">
        <v>1</v>
      </c>
      <c r="AK878">
        <v>3</v>
      </c>
      <c r="AL878" t="s">
        <v>219</v>
      </c>
      <c r="AM878" t="s">
        <v>220</v>
      </c>
      <c r="AN878" t="s">
        <v>221</v>
      </c>
      <c r="AO878" t="s">
        <v>10184</v>
      </c>
      <c r="AP878" t="s">
        <v>10185</v>
      </c>
      <c r="AQ878" t="s">
        <v>74</v>
      </c>
      <c r="AR878" t="s">
        <v>10172</v>
      </c>
      <c r="AS878" t="s">
        <v>10186</v>
      </c>
      <c r="AT878" t="s">
        <v>6558</v>
      </c>
      <c r="AU878">
        <v>2020</v>
      </c>
      <c r="AV878">
        <v>49</v>
      </c>
      <c r="AW878">
        <v>4</v>
      </c>
      <c r="AX878" t="s">
        <v>74</v>
      </c>
      <c r="AY878" t="s">
        <v>74</v>
      </c>
      <c r="AZ878" t="s">
        <v>74</v>
      </c>
      <c r="BA878" t="s">
        <v>74</v>
      </c>
      <c r="BB878">
        <v>718</v>
      </c>
      <c r="BC878">
        <v>729</v>
      </c>
      <c r="BD878" t="s">
        <v>74</v>
      </c>
      <c r="BE878" t="s">
        <v>17275</v>
      </c>
      <c r="BF878" t="str">
        <f>HYPERLINK("http://dx.doi.org/10.1111/bor.12463","http://dx.doi.org/10.1111/bor.12463")</f>
        <v>http://dx.doi.org/10.1111/bor.12463</v>
      </c>
      <c r="BG878" t="s">
        <v>74</v>
      </c>
      <c r="BH878" t="s">
        <v>15048</v>
      </c>
      <c r="BI878">
        <v>12</v>
      </c>
      <c r="BJ878" t="s">
        <v>99</v>
      </c>
      <c r="BK878" t="s">
        <v>100</v>
      </c>
      <c r="BL878" t="s">
        <v>101</v>
      </c>
      <c r="BM878" t="s">
        <v>17276</v>
      </c>
      <c r="BN878" t="s">
        <v>74</v>
      </c>
      <c r="BO878" t="s">
        <v>74</v>
      </c>
      <c r="BP878" t="s">
        <v>74</v>
      </c>
      <c r="BQ878" t="s">
        <v>74</v>
      </c>
      <c r="BR878" t="s">
        <v>104</v>
      </c>
      <c r="BS878" t="s">
        <v>17277</v>
      </c>
      <c r="BT878" t="str">
        <f>HYPERLINK("https%3A%2F%2Fwww.webofscience.com%2Fwos%2Fwoscc%2Ffull-record%2FWOS:000556129000001","View Full Record in Web of Science")</f>
        <v>View Full Record in Web of Science</v>
      </c>
    </row>
    <row r="879" spans="1:72" x14ac:dyDescent="0.15">
      <c r="A879" t="s">
        <v>72</v>
      </c>
      <c r="B879" t="s">
        <v>17278</v>
      </c>
      <c r="C879" t="s">
        <v>74</v>
      </c>
      <c r="D879" t="s">
        <v>74</v>
      </c>
      <c r="E879" t="s">
        <v>74</v>
      </c>
      <c r="F879" t="s">
        <v>17279</v>
      </c>
      <c r="G879" t="s">
        <v>74</v>
      </c>
      <c r="H879" t="s">
        <v>74</v>
      </c>
      <c r="I879" t="s">
        <v>17280</v>
      </c>
      <c r="J879" t="s">
        <v>9765</v>
      </c>
      <c r="K879" t="s">
        <v>74</v>
      </c>
      <c r="L879" t="s">
        <v>74</v>
      </c>
      <c r="M879" t="s">
        <v>78</v>
      </c>
      <c r="N879" t="s">
        <v>79</v>
      </c>
      <c r="O879" t="s">
        <v>74</v>
      </c>
      <c r="P879" t="s">
        <v>74</v>
      </c>
      <c r="Q879" t="s">
        <v>74</v>
      </c>
      <c r="R879" t="s">
        <v>74</v>
      </c>
      <c r="S879" t="s">
        <v>74</v>
      </c>
      <c r="T879" t="s">
        <v>74</v>
      </c>
      <c r="U879" t="s">
        <v>17281</v>
      </c>
      <c r="V879" t="s">
        <v>17282</v>
      </c>
      <c r="W879" t="s">
        <v>17283</v>
      </c>
      <c r="X879" t="s">
        <v>17284</v>
      </c>
      <c r="Y879" t="s">
        <v>17285</v>
      </c>
      <c r="Z879" t="s">
        <v>17286</v>
      </c>
      <c r="AA879" t="s">
        <v>74</v>
      </c>
      <c r="AB879" t="s">
        <v>17287</v>
      </c>
      <c r="AC879" t="s">
        <v>17288</v>
      </c>
      <c r="AD879" t="s">
        <v>17289</v>
      </c>
      <c r="AE879" t="s">
        <v>17290</v>
      </c>
      <c r="AF879" t="s">
        <v>74</v>
      </c>
      <c r="AG879">
        <v>50</v>
      </c>
      <c r="AH879">
        <v>1</v>
      </c>
      <c r="AI879">
        <v>1</v>
      </c>
      <c r="AJ879">
        <v>0</v>
      </c>
      <c r="AK879">
        <v>6</v>
      </c>
      <c r="AL879" t="s">
        <v>91</v>
      </c>
      <c r="AM879" t="s">
        <v>92</v>
      </c>
      <c r="AN879" t="s">
        <v>93</v>
      </c>
      <c r="AO879" t="s">
        <v>9777</v>
      </c>
      <c r="AP879" t="s">
        <v>9778</v>
      </c>
      <c r="AQ879" t="s">
        <v>74</v>
      </c>
      <c r="AR879" t="s">
        <v>9779</v>
      </c>
      <c r="AS879" t="s">
        <v>9780</v>
      </c>
      <c r="AT879" t="s">
        <v>17291</v>
      </c>
      <c r="AU879">
        <v>2020</v>
      </c>
      <c r="AV879">
        <v>16</v>
      </c>
      <c r="AW879">
        <v>4</v>
      </c>
      <c r="AX879" t="s">
        <v>74</v>
      </c>
      <c r="AY879" t="s">
        <v>74</v>
      </c>
      <c r="AZ879" t="s">
        <v>74</v>
      </c>
      <c r="BA879" t="s">
        <v>74</v>
      </c>
      <c r="BB879">
        <v>1411</v>
      </c>
      <c r="BC879">
        <v>1428</v>
      </c>
      <c r="BD879" t="s">
        <v>74</v>
      </c>
      <c r="BE879" t="s">
        <v>17292</v>
      </c>
      <c r="BF879" t="str">
        <f>HYPERLINK("http://dx.doi.org/10.5194/cp-16-1411-2020","http://dx.doi.org/10.5194/cp-16-1411-2020")</f>
        <v>http://dx.doi.org/10.5194/cp-16-1411-2020</v>
      </c>
      <c r="BG879" t="s">
        <v>74</v>
      </c>
      <c r="BH879" t="s">
        <v>74</v>
      </c>
      <c r="BI879">
        <v>18</v>
      </c>
      <c r="BJ879" t="s">
        <v>3614</v>
      </c>
      <c r="BK879" t="s">
        <v>100</v>
      </c>
      <c r="BL879" t="s">
        <v>3615</v>
      </c>
      <c r="BM879" t="s">
        <v>17293</v>
      </c>
      <c r="BN879" t="s">
        <v>74</v>
      </c>
      <c r="BO879" t="s">
        <v>350</v>
      </c>
      <c r="BP879" t="s">
        <v>74</v>
      </c>
      <c r="BQ879" t="s">
        <v>74</v>
      </c>
      <c r="BR879" t="s">
        <v>104</v>
      </c>
      <c r="BS879" t="s">
        <v>17294</v>
      </c>
      <c r="BT879" t="str">
        <f>HYPERLINK("https%3A%2F%2Fwww.webofscience.com%2Fwos%2Fwoscc%2Ffull-record%2FWOS:000558781700001","View Full Record in Web of Science")</f>
        <v>View Full Record in Web of Science</v>
      </c>
    </row>
    <row r="880" spans="1:72" x14ac:dyDescent="0.15">
      <c r="A880" t="s">
        <v>72</v>
      </c>
      <c r="B880" t="s">
        <v>17295</v>
      </c>
      <c r="C880" t="s">
        <v>74</v>
      </c>
      <c r="D880" t="s">
        <v>74</v>
      </c>
      <c r="E880" t="s">
        <v>74</v>
      </c>
      <c r="F880" t="s">
        <v>17296</v>
      </c>
      <c r="G880" t="s">
        <v>74</v>
      </c>
      <c r="H880" t="s">
        <v>74</v>
      </c>
      <c r="I880" t="s">
        <v>17297</v>
      </c>
      <c r="J880" t="s">
        <v>706</v>
      </c>
      <c r="K880" t="s">
        <v>74</v>
      </c>
      <c r="L880" t="s">
        <v>74</v>
      </c>
      <c r="M880" t="s">
        <v>78</v>
      </c>
      <c r="N880" t="s">
        <v>79</v>
      </c>
      <c r="O880" t="s">
        <v>74</v>
      </c>
      <c r="P880" t="s">
        <v>74</v>
      </c>
      <c r="Q880" t="s">
        <v>74</v>
      </c>
      <c r="R880" t="s">
        <v>74</v>
      </c>
      <c r="S880" t="s">
        <v>74</v>
      </c>
      <c r="T880" t="s">
        <v>17298</v>
      </c>
      <c r="U880" t="s">
        <v>17299</v>
      </c>
      <c r="V880" t="s">
        <v>17300</v>
      </c>
      <c r="W880" t="s">
        <v>17301</v>
      </c>
      <c r="X880" t="s">
        <v>17302</v>
      </c>
      <c r="Y880" t="s">
        <v>17303</v>
      </c>
      <c r="Z880" t="s">
        <v>17304</v>
      </c>
      <c r="AA880" t="s">
        <v>17305</v>
      </c>
      <c r="AB880" t="s">
        <v>17306</v>
      </c>
      <c r="AC880" t="s">
        <v>17307</v>
      </c>
      <c r="AD880" t="s">
        <v>17308</v>
      </c>
      <c r="AE880" t="s">
        <v>17309</v>
      </c>
      <c r="AF880" t="s">
        <v>74</v>
      </c>
      <c r="AG880">
        <v>62</v>
      </c>
      <c r="AH880">
        <v>8</v>
      </c>
      <c r="AI880">
        <v>8</v>
      </c>
      <c r="AJ880">
        <v>1</v>
      </c>
      <c r="AK880">
        <v>11</v>
      </c>
      <c r="AL880" t="s">
        <v>219</v>
      </c>
      <c r="AM880" t="s">
        <v>220</v>
      </c>
      <c r="AN880" t="s">
        <v>221</v>
      </c>
      <c r="AO880" t="s">
        <v>717</v>
      </c>
      <c r="AP880" t="s">
        <v>74</v>
      </c>
      <c r="AQ880" t="s">
        <v>74</v>
      </c>
      <c r="AR880" t="s">
        <v>718</v>
      </c>
      <c r="AS880" t="s">
        <v>719</v>
      </c>
      <c r="AT880" t="s">
        <v>894</v>
      </c>
      <c r="AU880">
        <v>2020</v>
      </c>
      <c r="AV880">
        <v>10</v>
      </c>
      <c r="AW880">
        <v>16</v>
      </c>
      <c r="AX880" t="s">
        <v>74</v>
      </c>
      <c r="AY880" t="s">
        <v>74</v>
      </c>
      <c r="AZ880" t="s">
        <v>74</v>
      </c>
      <c r="BA880" t="s">
        <v>74</v>
      </c>
      <c r="BB880">
        <v>8959</v>
      </c>
      <c r="BC880">
        <v>8975</v>
      </c>
      <c r="BD880" t="s">
        <v>74</v>
      </c>
      <c r="BE880" t="s">
        <v>17310</v>
      </c>
      <c r="BF880" t="str">
        <f>HYPERLINK("http://dx.doi.org/10.1002/ece3.6601","http://dx.doi.org/10.1002/ece3.6601")</f>
        <v>http://dx.doi.org/10.1002/ece3.6601</v>
      </c>
      <c r="BG880" t="s">
        <v>74</v>
      </c>
      <c r="BH880" t="s">
        <v>15048</v>
      </c>
      <c r="BI880">
        <v>17</v>
      </c>
      <c r="BJ880" t="s">
        <v>722</v>
      </c>
      <c r="BK880" t="s">
        <v>100</v>
      </c>
      <c r="BL880" t="s">
        <v>723</v>
      </c>
      <c r="BM880" t="s">
        <v>17311</v>
      </c>
      <c r="BN880">
        <v>32884671</v>
      </c>
      <c r="BO880" t="s">
        <v>5850</v>
      </c>
      <c r="BP880" t="s">
        <v>74</v>
      </c>
      <c r="BQ880" t="s">
        <v>74</v>
      </c>
      <c r="BR880" t="s">
        <v>104</v>
      </c>
      <c r="BS880" t="s">
        <v>17312</v>
      </c>
      <c r="BT880" t="str">
        <f>HYPERLINK("https%3A%2F%2Fwww.webofscience.com%2Fwos%2Fwoscc%2Ffull-record%2FWOS:000555614600001","View Full Record in Web of Science")</f>
        <v>View Full Record in Web of Science</v>
      </c>
    </row>
    <row r="881" spans="1:72" x14ac:dyDescent="0.15">
      <c r="A881" t="s">
        <v>72</v>
      </c>
      <c r="B881" t="s">
        <v>17313</v>
      </c>
      <c r="C881" t="s">
        <v>74</v>
      </c>
      <c r="D881" t="s">
        <v>74</v>
      </c>
      <c r="E881" t="s">
        <v>74</v>
      </c>
      <c r="F881" t="s">
        <v>17314</v>
      </c>
      <c r="G881" t="s">
        <v>74</v>
      </c>
      <c r="H881" t="s">
        <v>74</v>
      </c>
      <c r="I881" t="s">
        <v>17315</v>
      </c>
      <c r="J881" t="s">
        <v>17316</v>
      </c>
      <c r="K881" t="s">
        <v>74</v>
      </c>
      <c r="L881" t="s">
        <v>74</v>
      </c>
      <c r="M881" t="s">
        <v>78</v>
      </c>
      <c r="N881" t="s">
        <v>138</v>
      </c>
      <c r="O881" t="s">
        <v>74</v>
      </c>
      <c r="P881" t="s">
        <v>74</v>
      </c>
      <c r="Q881" t="s">
        <v>74</v>
      </c>
      <c r="R881" t="s">
        <v>74</v>
      </c>
      <c r="S881" t="s">
        <v>74</v>
      </c>
      <c r="T881" t="s">
        <v>17317</v>
      </c>
      <c r="U881" t="s">
        <v>17318</v>
      </c>
      <c r="V881" t="s">
        <v>17319</v>
      </c>
      <c r="W881" t="s">
        <v>17320</v>
      </c>
      <c r="X881" t="s">
        <v>17321</v>
      </c>
      <c r="Y881" t="s">
        <v>17322</v>
      </c>
      <c r="Z881" t="s">
        <v>17323</v>
      </c>
      <c r="AA881" t="s">
        <v>17324</v>
      </c>
      <c r="AB881" t="s">
        <v>17325</v>
      </c>
      <c r="AC881" t="s">
        <v>74</v>
      </c>
      <c r="AD881" t="s">
        <v>74</v>
      </c>
      <c r="AE881" t="s">
        <v>74</v>
      </c>
      <c r="AF881" t="s">
        <v>74</v>
      </c>
      <c r="AG881">
        <v>95</v>
      </c>
      <c r="AH881">
        <v>20</v>
      </c>
      <c r="AI881">
        <v>20</v>
      </c>
      <c r="AJ881">
        <v>3</v>
      </c>
      <c r="AK881">
        <v>20</v>
      </c>
      <c r="AL881" t="s">
        <v>219</v>
      </c>
      <c r="AM881" t="s">
        <v>220</v>
      </c>
      <c r="AN881" t="s">
        <v>221</v>
      </c>
      <c r="AO881" t="s">
        <v>17326</v>
      </c>
      <c r="AP881" t="s">
        <v>17327</v>
      </c>
      <c r="AQ881" t="s">
        <v>74</v>
      </c>
      <c r="AR881" t="s">
        <v>17316</v>
      </c>
      <c r="AS881" t="s">
        <v>17328</v>
      </c>
      <c r="AT881" t="s">
        <v>720</v>
      </c>
      <c r="AU881">
        <v>2020</v>
      </c>
      <c r="AV881">
        <v>43</v>
      </c>
      <c r="AW881">
        <v>12</v>
      </c>
      <c r="AX881" t="s">
        <v>74</v>
      </c>
      <c r="AY881" t="s">
        <v>74</v>
      </c>
      <c r="AZ881" t="s">
        <v>74</v>
      </c>
      <c r="BA881" t="s">
        <v>74</v>
      </c>
      <c r="BB881">
        <v>1764</v>
      </c>
      <c r="BC881">
        <v>1778</v>
      </c>
      <c r="BD881" t="s">
        <v>74</v>
      </c>
      <c r="BE881" t="s">
        <v>17329</v>
      </c>
      <c r="BF881" t="str">
        <f>HYPERLINK("http://dx.doi.org/10.1111/ecog.04996","http://dx.doi.org/10.1111/ecog.04996")</f>
        <v>http://dx.doi.org/10.1111/ecog.04996</v>
      </c>
      <c r="BG881" t="s">
        <v>74</v>
      </c>
      <c r="BH881" t="s">
        <v>15048</v>
      </c>
      <c r="BI881">
        <v>15</v>
      </c>
      <c r="BJ881" t="s">
        <v>1080</v>
      </c>
      <c r="BK881" t="s">
        <v>100</v>
      </c>
      <c r="BL881" t="s">
        <v>256</v>
      </c>
      <c r="BM881" t="s">
        <v>17330</v>
      </c>
      <c r="BN881" t="s">
        <v>74</v>
      </c>
      <c r="BO881" t="s">
        <v>2486</v>
      </c>
      <c r="BP881" t="s">
        <v>74</v>
      </c>
      <c r="BQ881" t="s">
        <v>74</v>
      </c>
      <c r="BR881" t="s">
        <v>104</v>
      </c>
      <c r="BS881" t="s">
        <v>17331</v>
      </c>
      <c r="BT881" t="str">
        <f>HYPERLINK("https%3A%2F%2Fwww.webofscience.com%2Fwos%2Fwoscc%2Ffull-record%2FWOS:000555271500001","View Full Record in Web of Science")</f>
        <v>View Full Record in Web of Science</v>
      </c>
    </row>
    <row r="882" spans="1:72" x14ac:dyDescent="0.15">
      <c r="A882" t="s">
        <v>72</v>
      </c>
      <c r="B882" t="s">
        <v>17332</v>
      </c>
      <c r="C882" t="s">
        <v>74</v>
      </c>
      <c r="D882" t="s">
        <v>74</v>
      </c>
      <c r="E882" t="s">
        <v>74</v>
      </c>
      <c r="F882" t="s">
        <v>17333</v>
      </c>
      <c r="G882" t="s">
        <v>74</v>
      </c>
      <c r="H882" t="s">
        <v>74</v>
      </c>
      <c r="I882" t="s">
        <v>17334</v>
      </c>
      <c r="J882" t="s">
        <v>14648</v>
      </c>
      <c r="K882" t="s">
        <v>74</v>
      </c>
      <c r="L882" t="s">
        <v>74</v>
      </c>
      <c r="M882" t="s">
        <v>78</v>
      </c>
      <c r="N882" t="s">
        <v>79</v>
      </c>
      <c r="O882" t="s">
        <v>74</v>
      </c>
      <c r="P882" t="s">
        <v>74</v>
      </c>
      <c r="Q882" t="s">
        <v>74</v>
      </c>
      <c r="R882" t="s">
        <v>74</v>
      </c>
      <c r="S882" t="s">
        <v>74</v>
      </c>
      <c r="T882" t="s">
        <v>17335</v>
      </c>
      <c r="U882" t="s">
        <v>17336</v>
      </c>
      <c r="V882" t="s">
        <v>17337</v>
      </c>
      <c r="W882" t="s">
        <v>17338</v>
      </c>
      <c r="X882" t="s">
        <v>17339</v>
      </c>
      <c r="Y882" t="s">
        <v>17340</v>
      </c>
      <c r="Z882" t="s">
        <v>17341</v>
      </c>
      <c r="AA882" t="s">
        <v>74</v>
      </c>
      <c r="AB882" t="s">
        <v>74</v>
      </c>
      <c r="AC882" t="s">
        <v>17342</v>
      </c>
      <c r="AD882" t="s">
        <v>17343</v>
      </c>
      <c r="AE882" t="s">
        <v>17344</v>
      </c>
      <c r="AF882" t="s">
        <v>74</v>
      </c>
      <c r="AG882">
        <v>56</v>
      </c>
      <c r="AH882">
        <v>26</v>
      </c>
      <c r="AI882">
        <v>27</v>
      </c>
      <c r="AJ882">
        <v>2</v>
      </c>
      <c r="AK882">
        <v>25</v>
      </c>
      <c r="AL882" t="s">
        <v>219</v>
      </c>
      <c r="AM882" t="s">
        <v>220</v>
      </c>
      <c r="AN882" t="s">
        <v>6220</v>
      </c>
      <c r="AO882" t="s">
        <v>74</v>
      </c>
      <c r="AP882" t="s">
        <v>14660</v>
      </c>
      <c r="AQ882" t="s">
        <v>74</v>
      </c>
      <c r="AR882" t="s">
        <v>14661</v>
      </c>
      <c r="AS882" t="s">
        <v>14662</v>
      </c>
      <c r="AT882" t="s">
        <v>10611</v>
      </c>
      <c r="AU882">
        <v>2021</v>
      </c>
      <c r="AV882">
        <v>7</v>
      </c>
      <c r="AW882">
        <v>2</v>
      </c>
      <c r="AX882" t="s">
        <v>74</v>
      </c>
      <c r="AY882" t="s">
        <v>74</v>
      </c>
      <c r="AZ882" t="s">
        <v>74</v>
      </c>
      <c r="BA882" t="s">
        <v>74</v>
      </c>
      <c r="BB882">
        <v>139</v>
      </c>
      <c r="BC882">
        <v>153</v>
      </c>
      <c r="BD882" t="s">
        <v>74</v>
      </c>
      <c r="BE882" t="s">
        <v>17345</v>
      </c>
      <c r="BF882" t="str">
        <f>HYPERLINK("http://dx.doi.org/10.1002/rse2.176","http://dx.doi.org/10.1002/rse2.176")</f>
        <v>http://dx.doi.org/10.1002/rse2.176</v>
      </c>
      <c r="BG882" t="s">
        <v>74</v>
      </c>
      <c r="BH882" t="s">
        <v>15048</v>
      </c>
      <c r="BI882">
        <v>15</v>
      </c>
      <c r="BJ882" t="s">
        <v>14664</v>
      </c>
      <c r="BK882" t="s">
        <v>100</v>
      </c>
      <c r="BL882" t="s">
        <v>10253</v>
      </c>
      <c r="BM882" t="s">
        <v>17346</v>
      </c>
      <c r="BN882" t="s">
        <v>74</v>
      </c>
      <c r="BO882" t="s">
        <v>2486</v>
      </c>
      <c r="BP882" t="s">
        <v>74</v>
      </c>
      <c r="BQ882" t="s">
        <v>74</v>
      </c>
      <c r="BR882" t="s">
        <v>104</v>
      </c>
      <c r="BS882" t="s">
        <v>17347</v>
      </c>
      <c r="BT882" t="str">
        <f>HYPERLINK("https%3A%2F%2Fwww.webofscience.com%2Fwos%2Fwoscc%2Ffull-record%2FWOS:000555295300001","View Full Record in Web of Science")</f>
        <v>View Full Record in Web of Science</v>
      </c>
    </row>
    <row r="883" spans="1:72" x14ac:dyDescent="0.15">
      <c r="A883" t="s">
        <v>72</v>
      </c>
      <c r="B883" t="s">
        <v>17348</v>
      </c>
      <c r="C883" t="s">
        <v>74</v>
      </c>
      <c r="D883" t="s">
        <v>74</v>
      </c>
      <c r="E883" t="s">
        <v>74</v>
      </c>
      <c r="F883" t="s">
        <v>17349</v>
      </c>
      <c r="G883" t="s">
        <v>74</v>
      </c>
      <c r="H883" t="s">
        <v>74</v>
      </c>
      <c r="I883" t="s">
        <v>17350</v>
      </c>
      <c r="J883" t="s">
        <v>4372</v>
      </c>
      <c r="K883" t="s">
        <v>74</v>
      </c>
      <c r="L883" t="s">
        <v>74</v>
      </c>
      <c r="M883" t="s">
        <v>78</v>
      </c>
      <c r="N883" t="s">
        <v>79</v>
      </c>
      <c r="O883" t="s">
        <v>74</v>
      </c>
      <c r="P883" t="s">
        <v>74</v>
      </c>
      <c r="Q883" t="s">
        <v>74</v>
      </c>
      <c r="R883" t="s">
        <v>74</v>
      </c>
      <c r="S883" t="s">
        <v>74</v>
      </c>
      <c r="T883" t="s">
        <v>17351</v>
      </c>
      <c r="U883" t="s">
        <v>17352</v>
      </c>
      <c r="V883" t="s">
        <v>17353</v>
      </c>
      <c r="W883" t="s">
        <v>17354</v>
      </c>
      <c r="X883" t="s">
        <v>17355</v>
      </c>
      <c r="Y883" t="s">
        <v>17356</v>
      </c>
      <c r="Z883" t="s">
        <v>17357</v>
      </c>
      <c r="AA883" t="s">
        <v>17358</v>
      </c>
      <c r="AB883" t="s">
        <v>17359</v>
      </c>
      <c r="AC883" t="s">
        <v>17360</v>
      </c>
      <c r="AD883" t="s">
        <v>17361</v>
      </c>
      <c r="AE883" t="s">
        <v>17362</v>
      </c>
      <c r="AF883" t="s">
        <v>74</v>
      </c>
      <c r="AG883">
        <v>66</v>
      </c>
      <c r="AH883">
        <v>2</v>
      </c>
      <c r="AI883">
        <v>2</v>
      </c>
      <c r="AJ883">
        <v>1</v>
      </c>
      <c r="AK883">
        <v>12</v>
      </c>
      <c r="AL883" t="s">
        <v>482</v>
      </c>
      <c r="AM883" t="s">
        <v>554</v>
      </c>
      <c r="AN883" t="s">
        <v>555</v>
      </c>
      <c r="AO883" t="s">
        <v>4383</v>
      </c>
      <c r="AP883" t="s">
        <v>4384</v>
      </c>
      <c r="AQ883" t="s">
        <v>74</v>
      </c>
      <c r="AR883" t="s">
        <v>4385</v>
      </c>
      <c r="AS883" t="s">
        <v>4386</v>
      </c>
      <c r="AT883" t="s">
        <v>17363</v>
      </c>
      <c r="AU883">
        <v>2020</v>
      </c>
      <c r="AV883">
        <v>192</v>
      </c>
      <c r="AW883">
        <v>9</v>
      </c>
      <c r="AX883" t="s">
        <v>74</v>
      </c>
      <c r="AY883" t="s">
        <v>74</v>
      </c>
      <c r="AZ883" t="s">
        <v>74</v>
      </c>
      <c r="BA883" t="s">
        <v>74</v>
      </c>
      <c r="BB883" t="s">
        <v>74</v>
      </c>
      <c r="BC883" t="s">
        <v>74</v>
      </c>
      <c r="BD883">
        <v>559</v>
      </c>
      <c r="BE883" t="s">
        <v>17364</v>
      </c>
      <c r="BF883" t="str">
        <f>HYPERLINK("http://dx.doi.org/10.1007/s10661-020-08526-5","http://dx.doi.org/10.1007/s10661-020-08526-5")</f>
        <v>http://dx.doi.org/10.1007/s10661-020-08526-5</v>
      </c>
      <c r="BG883" t="s">
        <v>74</v>
      </c>
      <c r="BH883" t="s">
        <v>74</v>
      </c>
      <c r="BI883">
        <v>15</v>
      </c>
      <c r="BJ883" t="s">
        <v>283</v>
      </c>
      <c r="BK883" t="s">
        <v>100</v>
      </c>
      <c r="BL883" t="s">
        <v>284</v>
      </c>
      <c r="BM883" t="s">
        <v>17365</v>
      </c>
      <c r="BN883">
        <v>32747987</v>
      </c>
      <c r="BO883" t="s">
        <v>74</v>
      </c>
      <c r="BP883" t="s">
        <v>74</v>
      </c>
      <c r="BQ883" t="s">
        <v>74</v>
      </c>
      <c r="BR883" t="s">
        <v>104</v>
      </c>
      <c r="BS883" t="s">
        <v>17366</v>
      </c>
      <c r="BT883" t="str">
        <f>HYPERLINK("https%3A%2F%2Fwww.webofscience.com%2Fwos%2Fwoscc%2Ffull-record%2FWOS:000560389400001","View Full Record in Web of Science")</f>
        <v>View Full Record in Web of Science</v>
      </c>
    </row>
    <row r="884" spans="1:72" x14ac:dyDescent="0.15">
      <c r="A884" t="s">
        <v>72</v>
      </c>
      <c r="B884" t="s">
        <v>17367</v>
      </c>
      <c r="C884" t="s">
        <v>74</v>
      </c>
      <c r="D884" t="s">
        <v>74</v>
      </c>
      <c r="E884" t="s">
        <v>74</v>
      </c>
      <c r="F884" t="s">
        <v>17368</v>
      </c>
      <c r="G884" t="s">
        <v>74</v>
      </c>
      <c r="H884" t="s">
        <v>74</v>
      </c>
      <c r="I884" t="s">
        <v>17369</v>
      </c>
      <c r="J884" t="s">
        <v>901</v>
      </c>
      <c r="K884" t="s">
        <v>74</v>
      </c>
      <c r="L884" t="s">
        <v>74</v>
      </c>
      <c r="M884" t="s">
        <v>78</v>
      </c>
      <c r="N884" t="s">
        <v>79</v>
      </c>
      <c r="O884" t="s">
        <v>74</v>
      </c>
      <c r="P884" t="s">
        <v>74</v>
      </c>
      <c r="Q884" t="s">
        <v>74</v>
      </c>
      <c r="R884" t="s">
        <v>74</v>
      </c>
      <c r="S884" t="s">
        <v>74</v>
      </c>
      <c r="T884" t="s">
        <v>17370</v>
      </c>
      <c r="U884" t="s">
        <v>17371</v>
      </c>
      <c r="V884" t="s">
        <v>17372</v>
      </c>
      <c r="W884" t="s">
        <v>17373</v>
      </c>
      <c r="X884" t="s">
        <v>17374</v>
      </c>
      <c r="Y884" t="s">
        <v>17375</v>
      </c>
      <c r="Z884" t="s">
        <v>17376</v>
      </c>
      <c r="AA884" t="s">
        <v>17377</v>
      </c>
      <c r="AB884" t="s">
        <v>17378</v>
      </c>
      <c r="AC884" t="s">
        <v>17379</v>
      </c>
      <c r="AD884" t="s">
        <v>17380</v>
      </c>
      <c r="AE884" t="s">
        <v>17381</v>
      </c>
      <c r="AF884" t="s">
        <v>74</v>
      </c>
      <c r="AG884">
        <v>98</v>
      </c>
      <c r="AH884">
        <v>10</v>
      </c>
      <c r="AI884">
        <v>12</v>
      </c>
      <c r="AJ884">
        <v>2</v>
      </c>
      <c r="AK884">
        <v>17</v>
      </c>
      <c r="AL884" t="s">
        <v>866</v>
      </c>
      <c r="AM884" t="s">
        <v>867</v>
      </c>
      <c r="AN884" t="s">
        <v>868</v>
      </c>
      <c r="AO884" t="s">
        <v>74</v>
      </c>
      <c r="AP884" t="s">
        <v>914</v>
      </c>
      <c r="AQ884" t="s">
        <v>74</v>
      </c>
      <c r="AR884" t="s">
        <v>915</v>
      </c>
      <c r="AS884" t="s">
        <v>916</v>
      </c>
      <c r="AT884" t="s">
        <v>17363</v>
      </c>
      <c r="AU884">
        <v>2020</v>
      </c>
      <c r="AV884">
        <v>7</v>
      </c>
      <c r="AW884" t="s">
        <v>74</v>
      </c>
      <c r="AX884" t="s">
        <v>74</v>
      </c>
      <c r="AY884" t="s">
        <v>74</v>
      </c>
      <c r="AZ884" t="s">
        <v>74</v>
      </c>
      <c r="BA884" t="s">
        <v>74</v>
      </c>
      <c r="BB884" t="s">
        <v>74</v>
      </c>
      <c r="BC884" t="s">
        <v>74</v>
      </c>
      <c r="BD884">
        <v>626</v>
      </c>
      <c r="BE884" t="s">
        <v>17382</v>
      </c>
      <c r="BF884" t="str">
        <f>HYPERLINK("http://dx.doi.org/10.3389/fmars.2020.00626","http://dx.doi.org/10.3389/fmars.2020.00626")</f>
        <v>http://dx.doi.org/10.3389/fmars.2020.00626</v>
      </c>
      <c r="BG884" t="s">
        <v>74</v>
      </c>
      <c r="BH884" t="s">
        <v>74</v>
      </c>
      <c r="BI884">
        <v>16</v>
      </c>
      <c r="BJ884" t="s">
        <v>918</v>
      </c>
      <c r="BK884" t="s">
        <v>100</v>
      </c>
      <c r="BL884" t="s">
        <v>919</v>
      </c>
      <c r="BM884" t="s">
        <v>17383</v>
      </c>
      <c r="BN884" t="s">
        <v>74</v>
      </c>
      <c r="BO884" t="s">
        <v>202</v>
      </c>
      <c r="BP884" t="s">
        <v>74</v>
      </c>
      <c r="BQ884" t="s">
        <v>74</v>
      </c>
      <c r="BR884" t="s">
        <v>104</v>
      </c>
      <c r="BS884" t="s">
        <v>17384</v>
      </c>
      <c r="BT884" t="str">
        <f>HYPERLINK("https%3A%2F%2Fwww.webofscience.com%2Fwos%2Fwoscc%2Ffull-record%2FWOS:000556175100001","View Full Record in Web of Science")</f>
        <v>View Full Record in Web of Science</v>
      </c>
    </row>
    <row r="885" spans="1:72" x14ac:dyDescent="0.15">
      <c r="A885" t="s">
        <v>72</v>
      </c>
      <c r="B885" t="s">
        <v>17385</v>
      </c>
      <c r="C885" t="s">
        <v>74</v>
      </c>
      <c r="D885" t="s">
        <v>74</v>
      </c>
      <c r="E885" t="s">
        <v>74</v>
      </c>
      <c r="F885" t="s">
        <v>17386</v>
      </c>
      <c r="G885" t="s">
        <v>74</v>
      </c>
      <c r="H885" t="s">
        <v>74</v>
      </c>
      <c r="I885" t="s">
        <v>17387</v>
      </c>
      <c r="J885" t="s">
        <v>4249</v>
      </c>
      <c r="K885" t="s">
        <v>74</v>
      </c>
      <c r="L885" t="s">
        <v>74</v>
      </c>
      <c r="M885" t="s">
        <v>78</v>
      </c>
      <c r="N885" t="s">
        <v>79</v>
      </c>
      <c r="O885" t="s">
        <v>74</v>
      </c>
      <c r="P885" t="s">
        <v>74</v>
      </c>
      <c r="Q885" t="s">
        <v>74</v>
      </c>
      <c r="R885" t="s">
        <v>74</v>
      </c>
      <c r="S885" t="s">
        <v>74</v>
      </c>
      <c r="T885" t="s">
        <v>74</v>
      </c>
      <c r="U885" t="s">
        <v>17388</v>
      </c>
      <c r="V885" t="s">
        <v>17389</v>
      </c>
      <c r="W885" t="s">
        <v>17390</v>
      </c>
      <c r="X885" t="s">
        <v>17391</v>
      </c>
      <c r="Y885" t="s">
        <v>17392</v>
      </c>
      <c r="Z885" t="s">
        <v>17393</v>
      </c>
      <c r="AA885" t="s">
        <v>17394</v>
      </c>
      <c r="AB885" t="s">
        <v>17395</v>
      </c>
      <c r="AC885" t="s">
        <v>17396</v>
      </c>
      <c r="AD885" t="s">
        <v>17397</v>
      </c>
      <c r="AE885" t="s">
        <v>17398</v>
      </c>
      <c r="AF885" t="s">
        <v>74</v>
      </c>
      <c r="AG885">
        <v>51</v>
      </c>
      <c r="AH885">
        <v>35</v>
      </c>
      <c r="AI885">
        <v>38</v>
      </c>
      <c r="AJ885">
        <v>7</v>
      </c>
      <c r="AK885">
        <v>76</v>
      </c>
      <c r="AL885" t="s">
        <v>15760</v>
      </c>
      <c r="AM885" t="s">
        <v>123</v>
      </c>
      <c r="AN885" t="s">
        <v>15761</v>
      </c>
      <c r="AO885" t="s">
        <v>4260</v>
      </c>
      <c r="AP885" t="s">
        <v>4261</v>
      </c>
      <c r="AQ885" t="s">
        <v>74</v>
      </c>
      <c r="AR885" t="s">
        <v>4262</v>
      </c>
      <c r="AS885" t="s">
        <v>4263</v>
      </c>
      <c r="AT885" t="s">
        <v>11892</v>
      </c>
      <c r="AU885">
        <v>2020</v>
      </c>
      <c r="AV885">
        <v>10</v>
      </c>
      <c r="AW885">
        <v>9</v>
      </c>
      <c r="AX885" t="s">
        <v>74</v>
      </c>
      <c r="AY885" t="s">
        <v>74</v>
      </c>
      <c r="AZ885" t="s">
        <v>74</v>
      </c>
      <c r="BA885" t="s">
        <v>74</v>
      </c>
      <c r="BB885">
        <v>856</v>
      </c>
      <c r="BC885" t="s">
        <v>614</v>
      </c>
      <c r="BD885" t="s">
        <v>74</v>
      </c>
      <c r="BE885" t="s">
        <v>17399</v>
      </c>
      <c r="BF885" t="str">
        <f>HYPERLINK("http://dx.doi.org/10.1038/s41558-020-0849-2","http://dx.doi.org/10.1038/s41558-020-0849-2")</f>
        <v>http://dx.doi.org/10.1038/s41558-020-0849-2</v>
      </c>
      <c r="BG885" t="s">
        <v>74</v>
      </c>
      <c r="BH885" t="s">
        <v>15048</v>
      </c>
      <c r="BI885">
        <v>11</v>
      </c>
      <c r="BJ885" t="s">
        <v>4265</v>
      </c>
      <c r="BK885" t="s">
        <v>255</v>
      </c>
      <c r="BL885" t="s">
        <v>1028</v>
      </c>
      <c r="BM885" t="s">
        <v>17400</v>
      </c>
      <c r="BN885" t="s">
        <v>74</v>
      </c>
      <c r="BO885" t="s">
        <v>701</v>
      </c>
      <c r="BP885" t="s">
        <v>74</v>
      </c>
      <c r="BQ885" t="s">
        <v>74</v>
      </c>
      <c r="BR885" t="s">
        <v>104</v>
      </c>
      <c r="BS885" t="s">
        <v>17401</v>
      </c>
      <c r="BT885" t="str">
        <f>HYPERLINK("https%3A%2F%2Fwww.webofscience.com%2Fwos%2Fwoscc%2Ffull-record%2FWOS:000555369200002","View Full Record in Web of Science")</f>
        <v>View Full Record in Web of Science</v>
      </c>
    </row>
    <row r="886" spans="1:72" x14ac:dyDescent="0.15">
      <c r="A886" t="s">
        <v>72</v>
      </c>
      <c r="B886" t="s">
        <v>17402</v>
      </c>
      <c r="C886" t="s">
        <v>74</v>
      </c>
      <c r="D886" t="s">
        <v>74</v>
      </c>
      <c r="E886" t="s">
        <v>74</v>
      </c>
      <c r="F886" t="s">
        <v>17403</v>
      </c>
      <c r="G886" t="s">
        <v>74</v>
      </c>
      <c r="H886" t="s">
        <v>74</v>
      </c>
      <c r="I886" t="s">
        <v>17404</v>
      </c>
      <c r="J886" t="s">
        <v>9787</v>
      </c>
      <c r="K886" t="s">
        <v>74</v>
      </c>
      <c r="L886" t="s">
        <v>74</v>
      </c>
      <c r="M886" t="s">
        <v>78</v>
      </c>
      <c r="N886" t="s">
        <v>79</v>
      </c>
      <c r="O886" t="s">
        <v>74</v>
      </c>
      <c r="P886" t="s">
        <v>74</v>
      </c>
      <c r="Q886" t="s">
        <v>74</v>
      </c>
      <c r="R886" t="s">
        <v>74</v>
      </c>
      <c r="S886" t="s">
        <v>74</v>
      </c>
      <c r="T886" t="s">
        <v>17405</v>
      </c>
      <c r="U886" t="s">
        <v>17406</v>
      </c>
      <c r="V886" t="s">
        <v>17407</v>
      </c>
      <c r="W886" t="s">
        <v>17408</v>
      </c>
      <c r="X886" t="s">
        <v>17409</v>
      </c>
      <c r="Y886" t="s">
        <v>17410</v>
      </c>
      <c r="Z886" t="s">
        <v>17411</v>
      </c>
      <c r="AA886" t="s">
        <v>17412</v>
      </c>
      <c r="AB886" t="s">
        <v>17413</v>
      </c>
      <c r="AC886" t="s">
        <v>17414</v>
      </c>
      <c r="AD886" t="s">
        <v>17415</v>
      </c>
      <c r="AE886" t="s">
        <v>17416</v>
      </c>
      <c r="AF886" t="s">
        <v>74</v>
      </c>
      <c r="AG886">
        <v>87</v>
      </c>
      <c r="AH886">
        <v>12</v>
      </c>
      <c r="AI886">
        <v>13</v>
      </c>
      <c r="AJ886">
        <v>3</v>
      </c>
      <c r="AK886">
        <v>27</v>
      </c>
      <c r="AL886" t="s">
        <v>219</v>
      </c>
      <c r="AM886" t="s">
        <v>220</v>
      </c>
      <c r="AN886" t="s">
        <v>221</v>
      </c>
      <c r="AO886" t="s">
        <v>9800</v>
      </c>
      <c r="AP886" t="s">
        <v>9801</v>
      </c>
      <c r="AQ886" t="s">
        <v>74</v>
      </c>
      <c r="AR886" t="s">
        <v>9802</v>
      </c>
      <c r="AS886" t="s">
        <v>9803</v>
      </c>
      <c r="AT886" t="s">
        <v>11892</v>
      </c>
      <c r="AU886">
        <v>2020</v>
      </c>
      <c r="AV886">
        <v>34</v>
      </c>
      <c r="AW886">
        <v>9</v>
      </c>
      <c r="AX886" t="s">
        <v>74</v>
      </c>
      <c r="AY886" t="s">
        <v>74</v>
      </c>
      <c r="AZ886" t="s">
        <v>74</v>
      </c>
      <c r="BA886" t="s">
        <v>74</v>
      </c>
      <c r="BB886">
        <v>1839</v>
      </c>
      <c r="BC886">
        <v>1856</v>
      </c>
      <c r="BD886" t="s">
        <v>74</v>
      </c>
      <c r="BE886" t="s">
        <v>17417</v>
      </c>
      <c r="BF886" t="str">
        <f>HYPERLINK("http://dx.doi.org/10.1111/1365-2435.13632","http://dx.doi.org/10.1111/1365-2435.13632")</f>
        <v>http://dx.doi.org/10.1111/1365-2435.13632</v>
      </c>
      <c r="BG886" t="s">
        <v>74</v>
      </c>
      <c r="BH886" t="s">
        <v>15048</v>
      </c>
      <c r="BI886">
        <v>18</v>
      </c>
      <c r="BJ886" t="s">
        <v>823</v>
      </c>
      <c r="BK886" t="s">
        <v>100</v>
      </c>
      <c r="BL886" t="s">
        <v>284</v>
      </c>
      <c r="BM886" t="s">
        <v>17418</v>
      </c>
      <c r="BN886" t="s">
        <v>74</v>
      </c>
      <c r="BO886" t="s">
        <v>1259</v>
      </c>
      <c r="BP886" t="s">
        <v>74</v>
      </c>
      <c r="BQ886" t="s">
        <v>74</v>
      </c>
      <c r="BR886" t="s">
        <v>104</v>
      </c>
      <c r="BS886" t="s">
        <v>17419</v>
      </c>
      <c r="BT886" t="str">
        <f>HYPERLINK("https%3A%2F%2Fwww.webofscience.com%2Fwos%2Fwoscc%2Ffull-record%2FWOS:000554576500001","View Full Record in Web of Science")</f>
        <v>View Full Record in Web of Science</v>
      </c>
    </row>
    <row r="887" spans="1:72" x14ac:dyDescent="0.15">
      <c r="A887" t="s">
        <v>72</v>
      </c>
      <c r="B887" t="s">
        <v>17420</v>
      </c>
      <c r="C887" t="s">
        <v>74</v>
      </c>
      <c r="D887" t="s">
        <v>74</v>
      </c>
      <c r="E887" t="s">
        <v>74</v>
      </c>
      <c r="F887" t="s">
        <v>17421</v>
      </c>
      <c r="G887" t="s">
        <v>74</v>
      </c>
      <c r="H887" t="s">
        <v>74</v>
      </c>
      <c r="I887" t="s">
        <v>17422</v>
      </c>
      <c r="J887" t="s">
        <v>17423</v>
      </c>
      <c r="K887" t="s">
        <v>74</v>
      </c>
      <c r="L887" t="s">
        <v>74</v>
      </c>
      <c r="M887" t="s">
        <v>78</v>
      </c>
      <c r="N887" t="s">
        <v>79</v>
      </c>
      <c r="O887" t="s">
        <v>74</v>
      </c>
      <c r="P887" t="s">
        <v>74</v>
      </c>
      <c r="Q887" t="s">
        <v>74</v>
      </c>
      <c r="R887" t="s">
        <v>74</v>
      </c>
      <c r="S887" t="s">
        <v>74</v>
      </c>
      <c r="T887" t="s">
        <v>17424</v>
      </c>
      <c r="U887" t="s">
        <v>17425</v>
      </c>
      <c r="V887" t="s">
        <v>17426</v>
      </c>
      <c r="W887" t="s">
        <v>17427</v>
      </c>
      <c r="X887" t="s">
        <v>5631</v>
      </c>
      <c r="Y887" t="s">
        <v>17428</v>
      </c>
      <c r="Z887" t="s">
        <v>17429</v>
      </c>
      <c r="AA887" t="s">
        <v>17430</v>
      </c>
      <c r="AB887" t="s">
        <v>17431</v>
      </c>
      <c r="AC887" t="s">
        <v>74</v>
      </c>
      <c r="AD887" t="s">
        <v>74</v>
      </c>
      <c r="AE887" t="s">
        <v>74</v>
      </c>
      <c r="AF887" t="s">
        <v>74</v>
      </c>
      <c r="AG887">
        <v>27</v>
      </c>
      <c r="AH887">
        <v>6</v>
      </c>
      <c r="AI887">
        <v>6</v>
      </c>
      <c r="AJ887">
        <v>0</v>
      </c>
      <c r="AK887">
        <v>15</v>
      </c>
      <c r="AL887" t="s">
        <v>122</v>
      </c>
      <c r="AM887" t="s">
        <v>123</v>
      </c>
      <c r="AN887" t="s">
        <v>124</v>
      </c>
      <c r="AO887" t="s">
        <v>17432</v>
      </c>
      <c r="AP887" t="s">
        <v>17433</v>
      </c>
      <c r="AQ887" t="s">
        <v>74</v>
      </c>
      <c r="AR887" t="s">
        <v>17434</v>
      </c>
      <c r="AS887" t="s">
        <v>17435</v>
      </c>
      <c r="AT887" t="s">
        <v>17363</v>
      </c>
      <c r="AU887">
        <v>2020</v>
      </c>
      <c r="AV887">
        <v>375</v>
      </c>
      <c r="AW887">
        <v>1804</v>
      </c>
      <c r="AX887" t="s">
        <v>74</v>
      </c>
      <c r="AY887" t="s">
        <v>74</v>
      </c>
      <c r="AZ887" t="s">
        <v>489</v>
      </c>
      <c r="BA887" t="s">
        <v>74</v>
      </c>
      <c r="BB887" t="s">
        <v>74</v>
      </c>
      <c r="BC887" t="s">
        <v>74</v>
      </c>
      <c r="BD887">
        <v>20190647</v>
      </c>
      <c r="BE887" t="s">
        <v>17436</v>
      </c>
      <c r="BF887" t="str">
        <f>HYPERLINK("http://dx.doi.org/10.1098/rstb.2019.0647","http://dx.doi.org/10.1098/rstb.2019.0647")</f>
        <v>http://dx.doi.org/10.1098/rstb.2019.0647</v>
      </c>
      <c r="BG887" t="s">
        <v>74</v>
      </c>
      <c r="BH887" t="s">
        <v>74</v>
      </c>
      <c r="BI887">
        <v>7</v>
      </c>
      <c r="BJ887" t="s">
        <v>1454</v>
      </c>
      <c r="BK887" t="s">
        <v>100</v>
      </c>
      <c r="BL887" t="s">
        <v>1455</v>
      </c>
      <c r="BM887" t="s">
        <v>17437</v>
      </c>
      <c r="BN887">
        <v>32536301</v>
      </c>
      <c r="BO887" t="s">
        <v>1894</v>
      </c>
      <c r="BP887" t="s">
        <v>74</v>
      </c>
      <c r="BQ887" t="s">
        <v>74</v>
      </c>
      <c r="BR887" t="s">
        <v>104</v>
      </c>
      <c r="BS887" t="s">
        <v>17438</v>
      </c>
      <c r="BT887" t="str">
        <f>HYPERLINK("https%3A%2F%2Fwww.webofscience.com%2Fwos%2Fwoscc%2Ffull-record%2FWOS:000542596300007","View Full Record in Web of Science")</f>
        <v>View Full Record in Web of Science</v>
      </c>
    </row>
    <row r="888" spans="1:72" x14ac:dyDescent="0.15">
      <c r="A888" t="s">
        <v>72</v>
      </c>
      <c r="B888" t="s">
        <v>17439</v>
      </c>
      <c r="C888" t="s">
        <v>74</v>
      </c>
      <c r="D888" t="s">
        <v>74</v>
      </c>
      <c r="E888" t="s">
        <v>74</v>
      </c>
      <c r="F888" t="s">
        <v>17440</v>
      </c>
      <c r="G888" t="s">
        <v>74</v>
      </c>
      <c r="H888" t="s">
        <v>74</v>
      </c>
      <c r="I888" t="s">
        <v>17441</v>
      </c>
      <c r="J888" t="s">
        <v>14605</v>
      </c>
      <c r="K888" t="s">
        <v>74</v>
      </c>
      <c r="L888" t="s">
        <v>74</v>
      </c>
      <c r="M888" t="s">
        <v>78</v>
      </c>
      <c r="N888" t="s">
        <v>138</v>
      </c>
      <c r="O888" t="s">
        <v>74</v>
      </c>
      <c r="P888" t="s">
        <v>74</v>
      </c>
      <c r="Q888" t="s">
        <v>74</v>
      </c>
      <c r="R888" t="s">
        <v>74</v>
      </c>
      <c r="S888" t="s">
        <v>74</v>
      </c>
      <c r="T888" t="s">
        <v>74</v>
      </c>
      <c r="U888" t="s">
        <v>17442</v>
      </c>
      <c r="V888" t="s">
        <v>17443</v>
      </c>
      <c r="W888" t="s">
        <v>17444</v>
      </c>
      <c r="X888" t="s">
        <v>17445</v>
      </c>
      <c r="Y888" t="s">
        <v>17446</v>
      </c>
      <c r="Z888" t="s">
        <v>17447</v>
      </c>
      <c r="AA888" t="s">
        <v>17448</v>
      </c>
      <c r="AB888" t="s">
        <v>17449</v>
      </c>
      <c r="AC888" t="s">
        <v>17450</v>
      </c>
      <c r="AD888" t="s">
        <v>17451</v>
      </c>
      <c r="AE888" t="s">
        <v>17452</v>
      </c>
      <c r="AF888" t="s">
        <v>74</v>
      </c>
      <c r="AG888">
        <v>163</v>
      </c>
      <c r="AH888">
        <v>79</v>
      </c>
      <c r="AI888">
        <v>84</v>
      </c>
      <c r="AJ888">
        <v>33</v>
      </c>
      <c r="AK888">
        <v>188</v>
      </c>
      <c r="AL888" t="s">
        <v>766</v>
      </c>
      <c r="AM888" t="s">
        <v>123</v>
      </c>
      <c r="AN888" t="s">
        <v>767</v>
      </c>
      <c r="AO888" t="s">
        <v>74</v>
      </c>
      <c r="AP888" t="s">
        <v>14617</v>
      </c>
      <c r="AQ888" t="s">
        <v>74</v>
      </c>
      <c r="AR888" t="s">
        <v>14618</v>
      </c>
      <c r="AS888" t="s">
        <v>14619</v>
      </c>
      <c r="AT888" t="s">
        <v>894</v>
      </c>
      <c r="AU888">
        <v>2020</v>
      </c>
      <c r="AV888">
        <v>1</v>
      </c>
      <c r="AW888">
        <v>8</v>
      </c>
      <c r="AX888" t="s">
        <v>74</v>
      </c>
      <c r="AY888" t="s">
        <v>74</v>
      </c>
      <c r="AZ888" t="s">
        <v>74</v>
      </c>
      <c r="BA888" t="s">
        <v>74</v>
      </c>
      <c r="BB888">
        <v>420</v>
      </c>
      <c r="BC888">
        <v>434</v>
      </c>
      <c r="BD888" t="s">
        <v>74</v>
      </c>
      <c r="BE888" t="s">
        <v>17453</v>
      </c>
      <c r="BF888" t="str">
        <f>HYPERLINK("http://dx.doi.org/10.1038/s43017-020-0063-9","http://dx.doi.org/10.1038/s43017-020-0063-9")</f>
        <v>http://dx.doi.org/10.1038/s43017-020-0063-9</v>
      </c>
      <c r="BG888" t="s">
        <v>74</v>
      </c>
      <c r="BH888" t="s">
        <v>74</v>
      </c>
      <c r="BI888">
        <v>15</v>
      </c>
      <c r="BJ888" t="s">
        <v>13632</v>
      </c>
      <c r="BK888" t="s">
        <v>100</v>
      </c>
      <c r="BL888" t="s">
        <v>5620</v>
      </c>
      <c r="BM888" t="s">
        <v>17454</v>
      </c>
      <c r="BN888" t="s">
        <v>74</v>
      </c>
      <c r="BO888" t="s">
        <v>74</v>
      </c>
      <c r="BP888" t="s">
        <v>74</v>
      </c>
      <c r="BQ888" t="s">
        <v>74</v>
      </c>
      <c r="BR888" t="s">
        <v>104</v>
      </c>
      <c r="BS888" t="s">
        <v>17455</v>
      </c>
      <c r="BT888" t="str">
        <f>HYPERLINK("https%3A%2F%2Fwww.webofscience.com%2Fwos%2Fwoscc%2Ffull-record%2FWOS:000649448100008","View Full Record in Web of Science")</f>
        <v>View Full Record in Web of Science</v>
      </c>
    </row>
    <row r="889" spans="1:72" x14ac:dyDescent="0.15">
      <c r="A889" t="s">
        <v>72</v>
      </c>
      <c r="B889" t="s">
        <v>17456</v>
      </c>
      <c r="C889" t="s">
        <v>74</v>
      </c>
      <c r="D889" t="s">
        <v>74</v>
      </c>
      <c r="E889" t="s">
        <v>74</v>
      </c>
      <c r="F889" t="s">
        <v>17457</v>
      </c>
      <c r="G889" t="s">
        <v>74</v>
      </c>
      <c r="H889" t="s">
        <v>74</v>
      </c>
      <c r="I889" t="s">
        <v>17458</v>
      </c>
      <c r="J889" t="s">
        <v>17459</v>
      </c>
      <c r="K889" t="s">
        <v>74</v>
      </c>
      <c r="L889" t="s">
        <v>74</v>
      </c>
      <c r="M889" t="s">
        <v>78</v>
      </c>
      <c r="N889" t="s">
        <v>138</v>
      </c>
      <c r="O889" t="s">
        <v>74</v>
      </c>
      <c r="P889" t="s">
        <v>74</v>
      </c>
      <c r="Q889" t="s">
        <v>74</v>
      </c>
      <c r="R889" t="s">
        <v>74</v>
      </c>
      <c r="S889" t="s">
        <v>74</v>
      </c>
      <c r="T889" t="s">
        <v>17460</v>
      </c>
      <c r="U889" t="s">
        <v>17461</v>
      </c>
      <c r="V889" t="s">
        <v>17462</v>
      </c>
      <c r="W889" t="s">
        <v>17463</v>
      </c>
      <c r="X889" t="s">
        <v>17464</v>
      </c>
      <c r="Y889" t="s">
        <v>17465</v>
      </c>
      <c r="Z889" t="s">
        <v>17466</v>
      </c>
      <c r="AA889" t="s">
        <v>17467</v>
      </c>
      <c r="AB889" t="s">
        <v>17468</v>
      </c>
      <c r="AC889" t="s">
        <v>17469</v>
      </c>
      <c r="AD889" t="s">
        <v>17470</v>
      </c>
      <c r="AE889" t="s">
        <v>17471</v>
      </c>
      <c r="AF889" t="s">
        <v>74</v>
      </c>
      <c r="AG889">
        <v>59</v>
      </c>
      <c r="AH889">
        <v>5</v>
      </c>
      <c r="AI889">
        <v>5</v>
      </c>
      <c r="AJ889">
        <v>8</v>
      </c>
      <c r="AK889">
        <v>16</v>
      </c>
      <c r="AL889" t="s">
        <v>766</v>
      </c>
      <c r="AM889" t="s">
        <v>123</v>
      </c>
      <c r="AN889" t="s">
        <v>767</v>
      </c>
      <c r="AO889" t="s">
        <v>17472</v>
      </c>
      <c r="AP889" t="s">
        <v>17473</v>
      </c>
      <c r="AQ889" t="s">
        <v>74</v>
      </c>
      <c r="AR889" t="s">
        <v>17474</v>
      </c>
      <c r="AS889" t="s">
        <v>17475</v>
      </c>
      <c r="AT889" t="s">
        <v>894</v>
      </c>
      <c r="AU889">
        <v>2020</v>
      </c>
      <c r="AV889">
        <v>2</v>
      </c>
      <c r="AW889">
        <v>3</v>
      </c>
      <c r="AX889" t="s">
        <v>74</v>
      </c>
      <c r="AY889" t="s">
        <v>74</v>
      </c>
      <c r="AZ889" t="s">
        <v>74</v>
      </c>
      <c r="BA889" t="s">
        <v>74</v>
      </c>
      <c r="BB889">
        <v>203</v>
      </c>
      <c r="BC889">
        <v>208</v>
      </c>
      <c r="BD889" t="s">
        <v>74</v>
      </c>
      <c r="BE889" t="s">
        <v>17476</v>
      </c>
      <c r="BF889" t="str">
        <f>HYPERLINK("http://dx.doi.org/10.1007/s42995-020-00042-2","http://dx.doi.org/10.1007/s42995-020-00042-2")</f>
        <v>http://dx.doi.org/10.1007/s42995-020-00042-2</v>
      </c>
      <c r="BG889" t="s">
        <v>74</v>
      </c>
      <c r="BH889" t="s">
        <v>74</v>
      </c>
      <c r="BI889">
        <v>6</v>
      </c>
      <c r="BJ889" t="s">
        <v>9597</v>
      </c>
      <c r="BK889" t="s">
        <v>100</v>
      </c>
      <c r="BL889" t="s">
        <v>9597</v>
      </c>
      <c r="BM889" t="s">
        <v>17477</v>
      </c>
      <c r="BN889" t="s">
        <v>74</v>
      </c>
      <c r="BO889" t="s">
        <v>564</v>
      </c>
      <c r="BP889" t="s">
        <v>74</v>
      </c>
      <c r="BQ889" t="s">
        <v>74</v>
      </c>
      <c r="BR889" t="s">
        <v>104</v>
      </c>
      <c r="BS889" t="s">
        <v>17478</v>
      </c>
      <c r="BT889" t="str">
        <f>HYPERLINK("https%3A%2F%2Fwww.webofscience.com%2Fwos%2Fwoscc%2Ffull-record%2FWOS:000649453900001","View Full Record in Web of Science")</f>
        <v>View Full Record in Web of Science</v>
      </c>
    </row>
    <row r="890" spans="1:72" x14ac:dyDescent="0.15">
      <c r="A890" t="s">
        <v>72</v>
      </c>
      <c r="B890" t="s">
        <v>17479</v>
      </c>
      <c r="C890" t="s">
        <v>74</v>
      </c>
      <c r="D890" t="s">
        <v>74</v>
      </c>
      <c r="E890" t="s">
        <v>74</v>
      </c>
      <c r="F890" t="s">
        <v>17480</v>
      </c>
      <c r="G890" t="s">
        <v>74</v>
      </c>
      <c r="H890" t="s">
        <v>74</v>
      </c>
      <c r="I890" t="s">
        <v>17481</v>
      </c>
      <c r="J890" t="s">
        <v>2049</v>
      </c>
      <c r="K890" t="s">
        <v>74</v>
      </c>
      <c r="L890" t="s">
        <v>74</v>
      </c>
      <c r="M890" t="s">
        <v>78</v>
      </c>
      <c r="N890" t="s">
        <v>79</v>
      </c>
      <c r="O890" t="s">
        <v>74</v>
      </c>
      <c r="P890" t="s">
        <v>74</v>
      </c>
      <c r="Q890" t="s">
        <v>74</v>
      </c>
      <c r="R890" t="s">
        <v>74</v>
      </c>
      <c r="S890" t="s">
        <v>74</v>
      </c>
      <c r="T890" t="s">
        <v>74</v>
      </c>
      <c r="U890" t="s">
        <v>74</v>
      </c>
      <c r="V890" t="s">
        <v>17482</v>
      </c>
      <c r="W890" t="s">
        <v>17483</v>
      </c>
      <c r="X890" t="s">
        <v>17484</v>
      </c>
      <c r="Y890" t="s">
        <v>17485</v>
      </c>
      <c r="Z890" t="s">
        <v>17486</v>
      </c>
      <c r="AA890" t="s">
        <v>17487</v>
      </c>
      <c r="AB890" t="s">
        <v>17488</v>
      </c>
      <c r="AC890" t="s">
        <v>17489</v>
      </c>
      <c r="AD890" t="s">
        <v>17490</v>
      </c>
      <c r="AE890" t="s">
        <v>17491</v>
      </c>
      <c r="AF890" t="s">
        <v>74</v>
      </c>
      <c r="AG890">
        <v>82</v>
      </c>
      <c r="AH890">
        <v>61</v>
      </c>
      <c r="AI890">
        <v>65</v>
      </c>
      <c r="AJ890">
        <v>3</v>
      </c>
      <c r="AK890">
        <v>26</v>
      </c>
      <c r="AL890" t="s">
        <v>1495</v>
      </c>
      <c r="AM890" t="s">
        <v>1496</v>
      </c>
      <c r="AN890" t="s">
        <v>1497</v>
      </c>
      <c r="AO890" t="s">
        <v>2062</v>
      </c>
      <c r="AP890" t="s">
        <v>2063</v>
      </c>
      <c r="AQ890" t="s">
        <v>74</v>
      </c>
      <c r="AR890" t="s">
        <v>2064</v>
      </c>
      <c r="AS890" t="s">
        <v>2065</v>
      </c>
      <c r="AT890" t="s">
        <v>17492</v>
      </c>
      <c r="AU890">
        <v>2020</v>
      </c>
      <c r="AV890">
        <v>33</v>
      </c>
      <c r="AW890">
        <v>15</v>
      </c>
      <c r="AX890" t="s">
        <v>74</v>
      </c>
      <c r="AY890" t="s">
        <v>74</v>
      </c>
      <c r="AZ890" t="s">
        <v>74</v>
      </c>
      <c r="BA890" t="s">
        <v>74</v>
      </c>
      <c r="BB890">
        <v>6555</v>
      </c>
      <c r="BC890">
        <v>6581</v>
      </c>
      <c r="BD890" t="s">
        <v>74</v>
      </c>
      <c r="BE890" t="s">
        <v>17493</v>
      </c>
      <c r="BF890" t="str">
        <f>HYPERLINK("http://dx.doi.org/10.1175/JCLI-D-19-0970.1","http://dx.doi.org/10.1175/JCLI-D-19-0970.1")</f>
        <v>http://dx.doi.org/10.1175/JCLI-D-19-0970.1</v>
      </c>
      <c r="BG890" t="s">
        <v>74</v>
      </c>
      <c r="BH890" t="s">
        <v>74</v>
      </c>
      <c r="BI890">
        <v>27</v>
      </c>
      <c r="BJ890" t="s">
        <v>800</v>
      </c>
      <c r="BK890" t="s">
        <v>100</v>
      </c>
      <c r="BL890" t="s">
        <v>800</v>
      </c>
      <c r="BM890" t="s">
        <v>17494</v>
      </c>
      <c r="BN890" t="s">
        <v>74</v>
      </c>
      <c r="BO890" t="s">
        <v>1943</v>
      </c>
      <c r="BP890" t="s">
        <v>74</v>
      </c>
      <c r="BQ890" t="s">
        <v>74</v>
      </c>
      <c r="BR890" t="s">
        <v>104</v>
      </c>
      <c r="BS890" t="s">
        <v>17495</v>
      </c>
      <c r="BT890" t="str">
        <f>HYPERLINK("https%3A%2F%2Fwww.webofscience.com%2Fwos%2Fwoscc%2Ffull-record%2FWOS:000615097400014","View Full Record in Web of Science")</f>
        <v>View Full Record in Web of Science</v>
      </c>
    </row>
    <row r="891" spans="1:72" x14ac:dyDescent="0.15">
      <c r="A891" t="s">
        <v>72</v>
      </c>
      <c r="B891" t="s">
        <v>17496</v>
      </c>
      <c r="C891" t="s">
        <v>74</v>
      </c>
      <c r="D891" t="s">
        <v>74</v>
      </c>
      <c r="E891" t="s">
        <v>74</v>
      </c>
      <c r="F891" t="s">
        <v>17497</v>
      </c>
      <c r="G891" t="s">
        <v>74</v>
      </c>
      <c r="H891" t="s">
        <v>74</v>
      </c>
      <c r="I891" t="s">
        <v>17498</v>
      </c>
      <c r="J891" t="s">
        <v>2049</v>
      </c>
      <c r="K891" t="s">
        <v>74</v>
      </c>
      <c r="L891" t="s">
        <v>74</v>
      </c>
      <c r="M891" t="s">
        <v>78</v>
      </c>
      <c r="N891" t="s">
        <v>79</v>
      </c>
      <c r="O891" t="s">
        <v>74</v>
      </c>
      <c r="P891" t="s">
        <v>74</v>
      </c>
      <c r="Q891" t="s">
        <v>74</v>
      </c>
      <c r="R891" t="s">
        <v>74</v>
      </c>
      <c r="S891" t="s">
        <v>74</v>
      </c>
      <c r="T891" t="s">
        <v>74</v>
      </c>
      <c r="U891" t="s">
        <v>74</v>
      </c>
      <c r="V891" t="s">
        <v>17499</v>
      </c>
      <c r="W891" t="s">
        <v>17500</v>
      </c>
      <c r="X891" t="s">
        <v>17501</v>
      </c>
      <c r="Y891" t="s">
        <v>17502</v>
      </c>
      <c r="Z891" t="s">
        <v>17503</v>
      </c>
      <c r="AA891" t="s">
        <v>17504</v>
      </c>
      <c r="AB891" t="s">
        <v>17505</v>
      </c>
      <c r="AC891" t="s">
        <v>17506</v>
      </c>
      <c r="AD891" t="s">
        <v>17507</v>
      </c>
      <c r="AE891" t="s">
        <v>17508</v>
      </c>
      <c r="AF891" t="s">
        <v>74</v>
      </c>
      <c r="AG891">
        <v>80</v>
      </c>
      <c r="AH891">
        <v>52</v>
      </c>
      <c r="AI891">
        <v>54</v>
      </c>
      <c r="AJ891">
        <v>1</v>
      </c>
      <c r="AK891">
        <v>8</v>
      </c>
      <c r="AL891" t="s">
        <v>1495</v>
      </c>
      <c r="AM891" t="s">
        <v>1496</v>
      </c>
      <c r="AN891" t="s">
        <v>1497</v>
      </c>
      <c r="AO891" t="s">
        <v>2062</v>
      </c>
      <c r="AP891" t="s">
        <v>2063</v>
      </c>
      <c r="AQ891" t="s">
        <v>74</v>
      </c>
      <c r="AR891" t="s">
        <v>2064</v>
      </c>
      <c r="AS891" t="s">
        <v>2065</v>
      </c>
      <c r="AT891" t="s">
        <v>17492</v>
      </c>
      <c r="AU891">
        <v>2020</v>
      </c>
      <c r="AV891">
        <v>33</v>
      </c>
      <c r="AW891">
        <v>15</v>
      </c>
      <c r="AX891" t="s">
        <v>74</v>
      </c>
      <c r="AY891" t="s">
        <v>74</v>
      </c>
      <c r="AZ891" t="s">
        <v>74</v>
      </c>
      <c r="BA891" t="s">
        <v>74</v>
      </c>
      <c r="BB891">
        <v>6599</v>
      </c>
      <c r="BC891">
        <v>6620</v>
      </c>
      <c r="BD891" t="s">
        <v>74</v>
      </c>
      <c r="BE891" t="s">
        <v>17509</v>
      </c>
      <c r="BF891" t="str">
        <f>HYPERLINK("http://dx.doi.org/10.1175/JCLI-D-19-0846.1","http://dx.doi.org/10.1175/JCLI-D-19-0846.1")</f>
        <v>http://dx.doi.org/10.1175/JCLI-D-19-0846.1</v>
      </c>
      <c r="BG891" t="s">
        <v>74</v>
      </c>
      <c r="BH891" t="s">
        <v>74</v>
      </c>
      <c r="BI891">
        <v>22</v>
      </c>
      <c r="BJ891" t="s">
        <v>800</v>
      </c>
      <c r="BK891" t="s">
        <v>100</v>
      </c>
      <c r="BL891" t="s">
        <v>800</v>
      </c>
      <c r="BM891" t="s">
        <v>17494</v>
      </c>
      <c r="BN891" t="s">
        <v>74</v>
      </c>
      <c r="BO891" t="s">
        <v>1432</v>
      </c>
      <c r="BP891" t="s">
        <v>74</v>
      </c>
      <c r="BQ891" t="s">
        <v>74</v>
      </c>
      <c r="BR891" t="s">
        <v>104</v>
      </c>
      <c r="BS891" t="s">
        <v>17510</v>
      </c>
      <c r="BT891" t="str">
        <f>HYPERLINK("https%3A%2F%2Fwww.webofscience.com%2Fwos%2Fwoscc%2Ffull-record%2FWOS:000615097400016","View Full Record in Web of Science")</f>
        <v>View Full Record in Web of Science</v>
      </c>
    </row>
    <row r="892" spans="1:72" x14ac:dyDescent="0.15">
      <c r="A892" t="s">
        <v>72</v>
      </c>
      <c r="B892" t="s">
        <v>17511</v>
      </c>
      <c r="C892" t="s">
        <v>74</v>
      </c>
      <c r="D892" t="s">
        <v>74</v>
      </c>
      <c r="E892" t="s">
        <v>74</v>
      </c>
      <c r="F892" t="s">
        <v>17512</v>
      </c>
      <c r="G892" t="s">
        <v>74</v>
      </c>
      <c r="H892" t="s">
        <v>74</v>
      </c>
      <c r="I892" t="s">
        <v>17513</v>
      </c>
      <c r="J892" t="s">
        <v>2049</v>
      </c>
      <c r="K892" t="s">
        <v>74</v>
      </c>
      <c r="L892" t="s">
        <v>74</v>
      </c>
      <c r="M892" t="s">
        <v>78</v>
      </c>
      <c r="N892" t="s">
        <v>79</v>
      </c>
      <c r="O892" t="s">
        <v>74</v>
      </c>
      <c r="P892" t="s">
        <v>74</v>
      </c>
      <c r="Q892" t="s">
        <v>74</v>
      </c>
      <c r="R892" t="s">
        <v>74</v>
      </c>
      <c r="S892" t="s">
        <v>74</v>
      </c>
      <c r="T892" t="s">
        <v>74</v>
      </c>
      <c r="U892" t="s">
        <v>17514</v>
      </c>
      <c r="V892" t="s">
        <v>17515</v>
      </c>
      <c r="W892" t="s">
        <v>17516</v>
      </c>
      <c r="X892" t="s">
        <v>17517</v>
      </c>
      <c r="Y892" t="s">
        <v>17518</v>
      </c>
      <c r="Z892" t="s">
        <v>17519</v>
      </c>
      <c r="AA892" t="s">
        <v>17520</v>
      </c>
      <c r="AB892" t="s">
        <v>17521</v>
      </c>
      <c r="AC892" t="s">
        <v>17522</v>
      </c>
      <c r="AD892" t="s">
        <v>17523</v>
      </c>
      <c r="AE892" t="s">
        <v>17524</v>
      </c>
      <c r="AF892" t="s">
        <v>74</v>
      </c>
      <c r="AG892">
        <v>86</v>
      </c>
      <c r="AH892">
        <v>8</v>
      </c>
      <c r="AI892">
        <v>9</v>
      </c>
      <c r="AJ892">
        <v>0</v>
      </c>
      <c r="AK892">
        <v>11</v>
      </c>
      <c r="AL892" t="s">
        <v>1495</v>
      </c>
      <c r="AM892" t="s">
        <v>1496</v>
      </c>
      <c r="AN892" t="s">
        <v>5221</v>
      </c>
      <c r="AO892" t="s">
        <v>2062</v>
      </c>
      <c r="AP892" t="s">
        <v>2063</v>
      </c>
      <c r="AQ892" t="s">
        <v>74</v>
      </c>
      <c r="AR892" t="s">
        <v>2064</v>
      </c>
      <c r="AS892" t="s">
        <v>2065</v>
      </c>
      <c r="AT892" t="s">
        <v>17492</v>
      </c>
      <c r="AU892">
        <v>2020</v>
      </c>
      <c r="AV892">
        <v>33</v>
      </c>
      <c r="AW892">
        <v>15</v>
      </c>
      <c r="AX892" t="s">
        <v>74</v>
      </c>
      <c r="AY892" t="s">
        <v>74</v>
      </c>
      <c r="AZ892" t="s">
        <v>74</v>
      </c>
      <c r="BA892" t="s">
        <v>74</v>
      </c>
      <c r="BB892">
        <v>6707</v>
      </c>
      <c r="BC892">
        <v>6730</v>
      </c>
      <c r="BD892" t="s">
        <v>74</v>
      </c>
      <c r="BE892" t="s">
        <v>17525</v>
      </c>
      <c r="BF892" t="str">
        <f>HYPERLINK("http://dx.doi.org/10.1175/JCLI-D-19-0579.1","http://dx.doi.org/10.1175/JCLI-D-19-0579.1")</f>
        <v>http://dx.doi.org/10.1175/JCLI-D-19-0579.1</v>
      </c>
      <c r="BG892" t="s">
        <v>74</v>
      </c>
      <c r="BH892" t="s">
        <v>74</v>
      </c>
      <c r="BI892">
        <v>24</v>
      </c>
      <c r="BJ892" t="s">
        <v>800</v>
      </c>
      <c r="BK892" t="s">
        <v>100</v>
      </c>
      <c r="BL892" t="s">
        <v>800</v>
      </c>
      <c r="BM892" t="s">
        <v>17494</v>
      </c>
      <c r="BN892" t="s">
        <v>74</v>
      </c>
      <c r="BO892" t="s">
        <v>8365</v>
      </c>
      <c r="BP892" t="s">
        <v>74</v>
      </c>
      <c r="BQ892" t="s">
        <v>74</v>
      </c>
      <c r="BR892" t="s">
        <v>104</v>
      </c>
      <c r="BS892" t="s">
        <v>17526</v>
      </c>
      <c r="BT892" t="str">
        <f>HYPERLINK("https%3A%2F%2Fwww.webofscience.com%2Fwos%2Fwoscc%2Ffull-record%2FWOS:000615097400022","View Full Record in Web of Science")</f>
        <v>View Full Record in Web of Science</v>
      </c>
    </row>
    <row r="893" spans="1:72" x14ac:dyDescent="0.15">
      <c r="A893" t="s">
        <v>72</v>
      </c>
      <c r="B893" t="s">
        <v>17527</v>
      </c>
      <c r="C893" t="s">
        <v>74</v>
      </c>
      <c r="D893" t="s">
        <v>74</v>
      </c>
      <c r="E893" t="s">
        <v>74</v>
      </c>
      <c r="F893" t="s">
        <v>17528</v>
      </c>
      <c r="G893" t="s">
        <v>74</v>
      </c>
      <c r="H893" t="s">
        <v>74</v>
      </c>
      <c r="I893" t="s">
        <v>17529</v>
      </c>
      <c r="J893" t="s">
        <v>17530</v>
      </c>
      <c r="K893" t="s">
        <v>74</v>
      </c>
      <c r="L893" t="s">
        <v>74</v>
      </c>
      <c r="M893" t="s">
        <v>78</v>
      </c>
      <c r="N893" t="s">
        <v>79</v>
      </c>
      <c r="O893" t="s">
        <v>74</v>
      </c>
      <c r="P893" t="s">
        <v>74</v>
      </c>
      <c r="Q893" t="s">
        <v>74</v>
      </c>
      <c r="R893" t="s">
        <v>74</v>
      </c>
      <c r="S893" t="s">
        <v>74</v>
      </c>
      <c r="T893" t="s">
        <v>17531</v>
      </c>
      <c r="U893" t="s">
        <v>17532</v>
      </c>
      <c r="V893" t="s">
        <v>17533</v>
      </c>
      <c r="W893" t="s">
        <v>17534</v>
      </c>
      <c r="X893" t="s">
        <v>17535</v>
      </c>
      <c r="Y893" t="s">
        <v>17536</v>
      </c>
      <c r="Z893" t="s">
        <v>17537</v>
      </c>
      <c r="AA893" t="s">
        <v>74</v>
      </c>
      <c r="AB893" t="s">
        <v>74</v>
      </c>
      <c r="AC893" t="s">
        <v>74</v>
      </c>
      <c r="AD893" t="s">
        <v>74</v>
      </c>
      <c r="AE893" t="s">
        <v>74</v>
      </c>
      <c r="AF893" t="s">
        <v>74</v>
      </c>
      <c r="AG893">
        <v>34</v>
      </c>
      <c r="AH893">
        <v>2</v>
      </c>
      <c r="AI893">
        <v>2</v>
      </c>
      <c r="AJ893">
        <v>0</v>
      </c>
      <c r="AK893">
        <v>7</v>
      </c>
      <c r="AL893" t="s">
        <v>17538</v>
      </c>
      <c r="AM893" t="s">
        <v>17539</v>
      </c>
      <c r="AN893" t="s">
        <v>17540</v>
      </c>
      <c r="AO893" t="s">
        <v>17541</v>
      </c>
      <c r="AP893" t="s">
        <v>17542</v>
      </c>
      <c r="AQ893" t="s">
        <v>74</v>
      </c>
      <c r="AR893" t="s">
        <v>17543</v>
      </c>
      <c r="AS893" t="s">
        <v>17544</v>
      </c>
      <c r="AT893" t="s">
        <v>894</v>
      </c>
      <c r="AU893">
        <v>2020</v>
      </c>
      <c r="AV893">
        <v>27</v>
      </c>
      <c r="AW893">
        <v>6</v>
      </c>
      <c r="AX893" t="s">
        <v>74</v>
      </c>
      <c r="AY893" t="s">
        <v>74</v>
      </c>
      <c r="AZ893" t="s">
        <v>74</v>
      </c>
      <c r="BA893" t="s">
        <v>74</v>
      </c>
      <c r="BB893" t="s">
        <v>74</v>
      </c>
      <c r="BC893" t="s">
        <v>74</v>
      </c>
      <c r="BD893" t="s">
        <v>17545</v>
      </c>
      <c r="BE893" t="s">
        <v>17546</v>
      </c>
      <c r="BF893" t="str">
        <f>HYPERLINK("http://dx.doi.org/10.1093/jtm/taaa111","http://dx.doi.org/10.1093/jtm/taaa111")</f>
        <v>http://dx.doi.org/10.1093/jtm/taaa111</v>
      </c>
      <c r="BG893" t="s">
        <v>74</v>
      </c>
      <c r="BH893" t="s">
        <v>74</v>
      </c>
      <c r="BI893">
        <v>5</v>
      </c>
      <c r="BJ893" t="s">
        <v>17547</v>
      </c>
      <c r="BK893" t="s">
        <v>100</v>
      </c>
      <c r="BL893" t="s">
        <v>17548</v>
      </c>
      <c r="BM893" t="s">
        <v>17549</v>
      </c>
      <c r="BN893">
        <v>32657340</v>
      </c>
      <c r="BO893" t="s">
        <v>11698</v>
      </c>
      <c r="BP893" t="s">
        <v>74</v>
      </c>
      <c r="BQ893" t="s">
        <v>74</v>
      </c>
      <c r="BR893" t="s">
        <v>104</v>
      </c>
      <c r="BS893" t="s">
        <v>17550</v>
      </c>
      <c r="BT893" t="str">
        <f>HYPERLINK("https%3A%2F%2Fwww.webofscience.com%2Fwos%2Fwoscc%2Ffull-record%2FWOS:000604267100019","View Full Record in Web of Science")</f>
        <v>View Full Record in Web of Science</v>
      </c>
    </row>
    <row r="894" spans="1:72" x14ac:dyDescent="0.15">
      <c r="A894" t="s">
        <v>72</v>
      </c>
      <c r="B894" t="s">
        <v>17551</v>
      </c>
      <c r="C894" t="s">
        <v>74</v>
      </c>
      <c r="D894" t="s">
        <v>74</v>
      </c>
      <c r="E894" t="s">
        <v>74</v>
      </c>
      <c r="F894" t="s">
        <v>17552</v>
      </c>
      <c r="G894" t="s">
        <v>74</v>
      </c>
      <c r="H894" t="s">
        <v>74</v>
      </c>
      <c r="I894" t="s">
        <v>17553</v>
      </c>
      <c r="J894" t="s">
        <v>17554</v>
      </c>
      <c r="K894" t="s">
        <v>74</v>
      </c>
      <c r="L894" t="s">
        <v>74</v>
      </c>
      <c r="M894" t="s">
        <v>78</v>
      </c>
      <c r="N894" t="s">
        <v>79</v>
      </c>
      <c r="O894" t="s">
        <v>74</v>
      </c>
      <c r="P894" t="s">
        <v>74</v>
      </c>
      <c r="Q894" t="s">
        <v>74</v>
      </c>
      <c r="R894" t="s">
        <v>74</v>
      </c>
      <c r="S894" t="s">
        <v>74</v>
      </c>
      <c r="T894" t="s">
        <v>17555</v>
      </c>
      <c r="U894" t="s">
        <v>17556</v>
      </c>
      <c r="V894" t="s">
        <v>17557</v>
      </c>
      <c r="W894" t="s">
        <v>17558</v>
      </c>
      <c r="X894" t="s">
        <v>17559</v>
      </c>
      <c r="Y894" t="s">
        <v>17560</v>
      </c>
      <c r="Z894" t="s">
        <v>17561</v>
      </c>
      <c r="AA894" t="s">
        <v>17562</v>
      </c>
      <c r="AB894" t="s">
        <v>17563</v>
      </c>
      <c r="AC894" t="s">
        <v>17564</v>
      </c>
      <c r="AD894" t="s">
        <v>17564</v>
      </c>
      <c r="AE894" t="s">
        <v>17565</v>
      </c>
      <c r="AF894" t="s">
        <v>74</v>
      </c>
      <c r="AG894">
        <v>70</v>
      </c>
      <c r="AH894">
        <v>6</v>
      </c>
      <c r="AI894">
        <v>6</v>
      </c>
      <c r="AJ894">
        <v>0</v>
      </c>
      <c r="AK894">
        <v>3</v>
      </c>
      <c r="AL894" t="s">
        <v>1406</v>
      </c>
      <c r="AM894" t="s">
        <v>1407</v>
      </c>
      <c r="AN894" t="s">
        <v>1408</v>
      </c>
      <c r="AO894" t="s">
        <v>17566</v>
      </c>
      <c r="AP894" t="s">
        <v>17567</v>
      </c>
      <c r="AQ894" t="s">
        <v>74</v>
      </c>
      <c r="AR894" t="s">
        <v>17568</v>
      </c>
      <c r="AS894" t="s">
        <v>17569</v>
      </c>
      <c r="AT894" t="s">
        <v>894</v>
      </c>
      <c r="AU894">
        <v>2020</v>
      </c>
      <c r="AV894">
        <v>130</v>
      </c>
      <c r="AW894">
        <v>4</v>
      </c>
      <c r="AX894" t="s">
        <v>74</v>
      </c>
      <c r="AY894" t="s">
        <v>74</v>
      </c>
      <c r="AZ894" t="s">
        <v>74</v>
      </c>
      <c r="BA894" t="s">
        <v>74</v>
      </c>
      <c r="BB894">
        <v>756</v>
      </c>
      <c r="BC894">
        <v>770</v>
      </c>
      <c r="BD894" t="s">
        <v>74</v>
      </c>
      <c r="BE894" t="s">
        <v>74</v>
      </c>
      <c r="BF894" t="s">
        <v>74</v>
      </c>
      <c r="BG894" t="s">
        <v>74</v>
      </c>
      <c r="BH894" t="s">
        <v>74</v>
      </c>
      <c r="BI894">
        <v>15</v>
      </c>
      <c r="BJ894" t="s">
        <v>4596</v>
      </c>
      <c r="BK894" t="s">
        <v>100</v>
      </c>
      <c r="BL894" t="s">
        <v>4596</v>
      </c>
      <c r="BM894" t="s">
        <v>17570</v>
      </c>
      <c r="BN894" t="s">
        <v>74</v>
      </c>
      <c r="BO894" t="s">
        <v>74</v>
      </c>
      <c r="BP894" t="s">
        <v>74</v>
      </c>
      <c r="BQ894" t="s">
        <v>74</v>
      </c>
      <c r="BR894" t="s">
        <v>104</v>
      </c>
      <c r="BS894" t="s">
        <v>17571</v>
      </c>
      <c r="BT894" t="str">
        <f>HYPERLINK("https%3A%2F%2Fwww.webofscience.com%2Fwos%2Fwoscc%2Ffull-record%2FWOS:000600571100009","View Full Record in Web of Science")</f>
        <v>View Full Record in Web of Science</v>
      </c>
    </row>
    <row r="895" spans="1:72" x14ac:dyDescent="0.15">
      <c r="A895" t="s">
        <v>72</v>
      </c>
      <c r="B895" t="s">
        <v>17572</v>
      </c>
      <c r="C895" t="s">
        <v>74</v>
      </c>
      <c r="D895" t="s">
        <v>74</v>
      </c>
      <c r="E895" t="s">
        <v>74</v>
      </c>
      <c r="F895" t="s">
        <v>17573</v>
      </c>
      <c r="G895" t="s">
        <v>74</v>
      </c>
      <c r="H895" t="s">
        <v>74</v>
      </c>
      <c r="I895" t="s">
        <v>17574</v>
      </c>
      <c r="J895" t="s">
        <v>7210</v>
      </c>
      <c r="K895" t="s">
        <v>74</v>
      </c>
      <c r="L895" t="s">
        <v>74</v>
      </c>
      <c r="M895" t="s">
        <v>78</v>
      </c>
      <c r="N895" t="s">
        <v>3481</v>
      </c>
      <c r="O895" t="s">
        <v>74</v>
      </c>
      <c r="P895" t="s">
        <v>74</v>
      </c>
      <c r="Q895" t="s">
        <v>74</v>
      </c>
      <c r="R895" t="s">
        <v>74</v>
      </c>
      <c r="S895" t="s">
        <v>74</v>
      </c>
      <c r="T895" t="s">
        <v>74</v>
      </c>
      <c r="U895" t="s">
        <v>74</v>
      </c>
      <c r="V895" t="s">
        <v>17575</v>
      </c>
      <c r="W895" t="s">
        <v>17576</v>
      </c>
      <c r="X895" t="s">
        <v>17577</v>
      </c>
      <c r="Y895" t="s">
        <v>17578</v>
      </c>
      <c r="Z895" t="s">
        <v>17579</v>
      </c>
      <c r="AA895" t="s">
        <v>74</v>
      </c>
      <c r="AB895" t="s">
        <v>74</v>
      </c>
      <c r="AC895" t="s">
        <v>17580</v>
      </c>
      <c r="AD895" t="s">
        <v>17581</v>
      </c>
      <c r="AE895" t="s">
        <v>17582</v>
      </c>
      <c r="AF895" t="s">
        <v>74</v>
      </c>
      <c r="AG895">
        <v>14</v>
      </c>
      <c r="AH895">
        <v>0</v>
      </c>
      <c r="AI895">
        <v>0</v>
      </c>
      <c r="AJ895">
        <v>0</v>
      </c>
      <c r="AK895">
        <v>3</v>
      </c>
      <c r="AL895" t="s">
        <v>1522</v>
      </c>
      <c r="AM895" t="s">
        <v>1407</v>
      </c>
      <c r="AN895" t="s">
        <v>1523</v>
      </c>
      <c r="AO895" t="s">
        <v>7223</v>
      </c>
      <c r="AP895" t="s">
        <v>7224</v>
      </c>
      <c r="AQ895" t="s">
        <v>74</v>
      </c>
      <c r="AR895" t="s">
        <v>7225</v>
      </c>
      <c r="AS895" t="s">
        <v>7226</v>
      </c>
      <c r="AT895" t="s">
        <v>894</v>
      </c>
      <c r="AU895">
        <v>2020</v>
      </c>
      <c r="AV895">
        <v>178</v>
      </c>
      <c r="AW895" t="s">
        <v>74</v>
      </c>
      <c r="AX895" t="s">
        <v>74</v>
      </c>
      <c r="AY895" t="s">
        <v>74</v>
      </c>
      <c r="AZ895" t="s">
        <v>489</v>
      </c>
      <c r="BA895" t="s">
        <v>74</v>
      </c>
      <c r="BB895" t="s">
        <v>74</v>
      </c>
      <c r="BC895" t="s">
        <v>74</v>
      </c>
      <c r="BD895">
        <v>104860</v>
      </c>
      <c r="BE895" t="s">
        <v>17583</v>
      </c>
      <c r="BF895" t="str">
        <f>HYPERLINK("http://dx.doi.org/10.1016/j.dsr2.2020.104860","http://dx.doi.org/10.1016/j.dsr2.2020.104860")</f>
        <v>http://dx.doi.org/10.1016/j.dsr2.2020.104860</v>
      </c>
      <c r="BG895" t="s">
        <v>74</v>
      </c>
      <c r="BH895" t="s">
        <v>74</v>
      </c>
      <c r="BI895">
        <v>4</v>
      </c>
      <c r="BJ895" t="s">
        <v>1283</v>
      </c>
      <c r="BK895" t="s">
        <v>100</v>
      </c>
      <c r="BL895" t="s">
        <v>1283</v>
      </c>
      <c r="BM895" t="s">
        <v>17584</v>
      </c>
      <c r="BN895" t="s">
        <v>74</v>
      </c>
      <c r="BO895" t="s">
        <v>74</v>
      </c>
      <c r="BP895" t="s">
        <v>74</v>
      </c>
      <c r="BQ895" t="s">
        <v>74</v>
      </c>
      <c r="BR895" t="s">
        <v>104</v>
      </c>
      <c r="BS895" t="s">
        <v>17585</v>
      </c>
      <c r="BT895" t="str">
        <f>HYPERLINK("https%3A%2F%2Fwww.webofscience.com%2Fwos%2Fwoscc%2Ffull-record%2FWOS:000576667900002","View Full Record in Web of Science")</f>
        <v>View Full Record in Web of Science</v>
      </c>
    </row>
    <row r="896" spans="1:72" x14ac:dyDescent="0.15">
      <c r="A896" t="s">
        <v>72</v>
      </c>
      <c r="B896" t="s">
        <v>17586</v>
      </c>
      <c r="C896" t="s">
        <v>74</v>
      </c>
      <c r="D896" t="s">
        <v>74</v>
      </c>
      <c r="E896" t="s">
        <v>74</v>
      </c>
      <c r="F896" t="s">
        <v>17587</v>
      </c>
      <c r="G896" t="s">
        <v>74</v>
      </c>
      <c r="H896" t="s">
        <v>74</v>
      </c>
      <c r="I896" t="s">
        <v>17588</v>
      </c>
      <c r="J896" t="s">
        <v>17589</v>
      </c>
      <c r="K896" t="s">
        <v>74</v>
      </c>
      <c r="L896" t="s">
        <v>74</v>
      </c>
      <c r="M896" t="s">
        <v>78</v>
      </c>
      <c r="N896" t="s">
        <v>3481</v>
      </c>
      <c r="O896" t="s">
        <v>74</v>
      </c>
      <c r="P896" t="s">
        <v>74</v>
      </c>
      <c r="Q896" t="s">
        <v>74</v>
      </c>
      <c r="R896" t="s">
        <v>74</v>
      </c>
      <c r="S896" t="s">
        <v>74</v>
      </c>
      <c r="T896" t="s">
        <v>74</v>
      </c>
      <c r="U896" t="s">
        <v>74</v>
      </c>
      <c r="V896" t="s">
        <v>74</v>
      </c>
      <c r="W896" t="s">
        <v>17590</v>
      </c>
      <c r="X896" t="s">
        <v>17591</v>
      </c>
      <c r="Y896" t="s">
        <v>17592</v>
      </c>
      <c r="Z896" t="s">
        <v>74</v>
      </c>
      <c r="AA896" t="s">
        <v>17593</v>
      </c>
      <c r="AB896" t="s">
        <v>17594</v>
      </c>
      <c r="AC896" t="s">
        <v>74</v>
      </c>
      <c r="AD896" t="s">
        <v>74</v>
      </c>
      <c r="AE896" t="s">
        <v>74</v>
      </c>
      <c r="AF896" t="s">
        <v>74</v>
      </c>
      <c r="AG896">
        <v>24</v>
      </c>
      <c r="AH896">
        <v>1</v>
      </c>
      <c r="AI896">
        <v>1</v>
      </c>
      <c r="AJ896">
        <v>2</v>
      </c>
      <c r="AK896">
        <v>4</v>
      </c>
      <c r="AL896" t="s">
        <v>1406</v>
      </c>
      <c r="AM896" t="s">
        <v>1407</v>
      </c>
      <c r="AN896" t="s">
        <v>1408</v>
      </c>
      <c r="AO896" t="s">
        <v>17595</v>
      </c>
      <c r="AP896" t="s">
        <v>17596</v>
      </c>
      <c r="AQ896" t="s">
        <v>74</v>
      </c>
      <c r="AR896" t="s">
        <v>17597</v>
      </c>
      <c r="AS896" t="s">
        <v>17598</v>
      </c>
      <c r="AT896" t="s">
        <v>894</v>
      </c>
      <c r="AU896">
        <v>2020</v>
      </c>
      <c r="AV896">
        <v>96</v>
      </c>
      <c r="AW896">
        <v>8</v>
      </c>
      <c r="AX896" t="s">
        <v>74</v>
      </c>
      <c r="AY896" t="s">
        <v>74</v>
      </c>
      <c r="AZ896" t="s">
        <v>74</v>
      </c>
      <c r="BA896" t="s">
        <v>74</v>
      </c>
      <c r="BB896" t="s">
        <v>74</v>
      </c>
      <c r="BC896" t="s">
        <v>74</v>
      </c>
      <c r="BD896" t="s">
        <v>17599</v>
      </c>
      <c r="BE896" t="s">
        <v>17600</v>
      </c>
      <c r="BF896" t="str">
        <f>HYPERLINK("http://dx.doi.org/10.1093/femsec/fiaa136","http://dx.doi.org/10.1093/femsec/fiaa136")</f>
        <v>http://dx.doi.org/10.1093/femsec/fiaa136</v>
      </c>
      <c r="BG896" t="s">
        <v>74</v>
      </c>
      <c r="BH896" t="s">
        <v>74</v>
      </c>
      <c r="BI896">
        <v>2</v>
      </c>
      <c r="BJ896" t="s">
        <v>229</v>
      </c>
      <c r="BK896" t="s">
        <v>100</v>
      </c>
      <c r="BL896" t="s">
        <v>229</v>
      </c>
      <c r="BM896" t="s">
        <v>17601</v>
      </c>
      <c r="BN896">
        <v>32697840</v>
      </c>
      <c r="BO896" t="s">
        <v>1259</v>
      </c>
      <c r="BP896" t="s">
        <v>74</v>
      </c>
      <c r="BQ896" t="s">
        <v>74</v>
      </c>
      <c r="BR896" t="s">
        <v>104</v>
      </c>
      <c r="BS896" t="s">
        <v>17602</v>
      </c>
      <c r="BT896" t="str">
        <f>HYPERLINK("https%3A%2F%2Fwww.webofscience.com%2Fwos%2Fwoscc%2Ffull-record%2FWOS:000574373300017","View Full Record in Web of Science")</f>
        <v>View Full Record in Web of Science</v>
      </c>
    </row>
    <row r="897" spans="1:72" x14ac:dyDescent="0.15">
      <c r="A897" t="s">
        <v>72</v>
      </c>
      <c r="B897" t="s">
        <v>17603</v>
      </c>
      <c r="C897" t="s">
        <v>74</v>
      </c>
      <c r="D897" t="s">
        <v>74</v>
      </c>
      <c r="E897" t="s">
        <v>74</v>
      </c>
      <c r="F897" t="s">
        <v>17604</v>
      </c>
      <c r="G897" t="s">
        <v>74</v>
      </c>
      <c r="H897" t="s">
        <v>74</v>
      </c>
      <c r="I897" t="s">
        <v>17605</v>
      </c>
      <c r="J897" t="s">
        <v>7086</v>
      </c>
      <c r="K897" t="s">
        <v>74</v>
      </c>
      <c r="L897" t="s">
        <v>74</v>
      </c>
      <c r="M897" t="s">
        <v>78</v>
      </c>
      <c r="N897" t="s">
        <v>79</v>
      </c>
      <c r="O897" t="s">
        <v>74</v>
      </c>
      <c r="P897" t="s">
        <v>74</v>
      </c>
      <c r="Q897" t="s">
        <v>74</v>
      </c>
      <c r="R897" t="s">
        <v>74</v>
      </c>
      <c r="S897" t="s">
        <v>74</v>
      </c>
      <c r="T897" t="s">
        <v>74</v>
      </c>
      <c r="U897" t="s">
        <v>17606</v>
      </c>
      <c r="V897" t="s">
        <v>17607</v>
      </c>
      <c r="W897" t="s">
        <v>17608</v>
      </c>
      <c r="X897" t="s">
        <v>17609</v>
      </c>
      <c r="Y897" t="s">
        <v>17610</v>
      </c>
      <c r="Z897" t="s">
        <v>17611</v>
      </c>
      <c r="AA897" t="s">
        <v>17612</v>
      </c>
      <c r="AB897" t="s">
        <v>17613</v>
      </c>
      <c r="AC897" t="s">
        <v>17614</v>
      </c>
      <c r="AD897" t="s">
        <v>17615</v>
      </c>
      <c r="AE897" t="s">
        <v>17616</v>
      </c>
      <c r="AF897" t="s">
        <v>74</v>
      </c>
      <c r="AG897">
        <v>39</v>
      </c>
      <c r="AH897">
        <v>13</v>
      </c>
      <c r="AI897">
        <v>14</v>
      </c>
      <c r="AJ897">
        <v>0</v>
      </c>
      <c r="AK897">
        <v>7</v>
      </c>
      <c r="AL897" t="s">
        <v>1495</v>
      </c>
      <c r="AM897" t="s">
        <v>1496</v>
      </c>
      <c r="AN897" t="s">
        <v>1497</v>
      </c>
      <c r="AO897" t="s">
        <v>7099</v>
      </c>
      <c r="AP897" t="s">
        <v>7100</v>
      </c>
      <c r="AQ897" t="s">
        <v>74</v>
      </c>
      <c r="AR897" t="s">
        <v>7101</v>
      </c>
      <c r="AS897" t="s">
        <v>7102</v>
      </c>
      <c r="AT897" t="s">
        <v>894</v>
      </c>
      <c r="AU897">
        <v>2020</v>
      </c>
      <c r="AV897">
        <v>50</v>
      </c>
      <c r="AW897">
        <v>8</v>
      </c>
      <c r="AX897" t="s">
        <v>74</v>
      </c>
      <c r="AY897" t="s">
        <v>74</v>
      </c>
      <c r="AZ897" t="s">
        <v>74</v>
      </c>
      <c r="BA897" t="s">
        <v>74</v>
      </c>
      <c r="BB897">
        <v>2105</v>
      </c>
      <c r="BC897">
        <v>2122</v>
      </c>
      <c r="BD897" t="s">
        <v>74</v>
      </c>
      <c r="BE897" t="s">
        <v>17617</v>
      </c>
      <c r="BF897" t="str">
        <f>HYPERLINK("http://dx.doi.org/10.1175/JPO-D-20-0034.1","http://dx.doi.org/10.1175/JPO-D-20-0034.1")</f>
        <v>http://dx.doi.org/10.1175/JPO-D-20-0034.1</v>
      </c>
      <c r="BG897" t="s">
        <v>74</v>
      </c>
      <c r="BH897" t="s">
        <v>74</v>
      </c>
      <c r="BI897">
        <v>18</v>
      </c>
      <c r="BJ897" t="s">
        <v>1283</v>
      </c>
      <c r="BK897" t="s">
        <v>100</v>
      </c>
      <c r="BL897" t="s">
        <v>1283</v>
      </c>
      <c r="BM897" t="s">
        <v>17618</v>
      </c>
      <c r="BN897" t="s">
        <v>74</v>
      </c>
      <c r="BO897" t="s">
        <v>1432</v>
      </c>
      <c r="BP897" t="s">
        <v>74</v>
      </c>
      <c r="BQ897" t="s">
        <v>74</v>
      </c>
      <c r="BR897" t="s">
        <v>104</v>
      </c>
      <c r="BS897" t="s">
        <v>17619</v>
      </c>
      <c r="BT897" t="str">
        <f>HYPERLINK("https%3A%2F%2Fwww.webofscience.com%2Fwos%2Fwoscc%2Ffull-record%2FWOS:000590524600002","View Full Record in Web of Science")</f>
        <v>View Full Record in Web of Science</v>
      </c>
    </row>
    <row r="898" spans="1:72" x14ac:dyDescent="0.15">
      <c r="A898" t="s">
        <v>72</v>
      </c>
      <c r="B898" t="s">
        <v>17620</v>
      </c>
      <c r="C898" t="s">
        <v>74</v>
      </c>
      <c r="D898" t="s">
        <v>74</v>
      </c>
      <c r="E898" t="s">
        <v>74</v>
      </c>
      <c r="F898" t="s">
        <v>17621</v>
      </c>
      <c r="G898" t="s">
        <v>74</v>
      </c>
      <c r="H898" t="s">
        <v>74</v>
      </c>
      <c r="I898" t="s">
        <v>17622</v>
      </c>
      <c r="J898" t="s">
        <v>7086</v>
      </c>
      <c r="K898" t="s">
        <v>74</v>
      </c>
      <c r="L898" t="s">
        <v>74</v>
      </c>
      <c r="M898" t="s">
        <v>78</v>
      </c>
      <c r="N898" t="s">
        <v>79</v>
      </c>
      <c r="O898" t="s">
        <v>74</v>
      </c>
      <c r="P898" t="s">
        <v>74</v>
      </c>
      <c r="Q898" t="s">
        <v>74</v>
      </c>
      <c r="R898" t="s">
        <v>74</v>
      </c>
      <c r="S898" t="s">
        <v>74</v>
      </c>
      <c r="T898" t="s">
        <v>74</v>
      </c>
      <c r="U898" t="s">
        <v>17623</v>
      </c>
      <c r="V898" t="s">
        <v>17624</v>
      </c>
      <c r="W898" t="s">
        <v>17625</v>
      </c>
      <c r="X898" t="s">
        <v>17626</v>
      </c>
      <c r="Y898" t="s">
        <v>17627</v>
      </c>
      <c r="Z898" t="s">
        <v>17628</v>
      </c>
      <c r="AA898" t="s">
        <v>74</v>
      </c>
      <c r="AB898" t="s">
        <v>17629</v>
      </c>
      <c r="AC898" t="s">
        <v>17630</v>
      </c>
      <c r="AD898" t="s">
        <v>17631</v>
      </c>
      <c r="AE898" t="s">
        <v>17632</v>
      </c>
      <c r="AF898" t="s">
        <v>74</v>
      </c>
      <c r="AG898">
        <v>47</v>
      </c>
      <c r="AH898">
        <v>6</v>
      </c>
      <c r="AI898">
        <v>7</v>
      </c>
      <c r="AJ898">
        <v>0</v>
      </c>
      <c r="AK898">
        <v>3</v>
      </c>
      <c r="AL898" t="s">
        <v>1495</v>
      </c>
      <c r="AM898" t="s">
        <v>1496</v>
      </c>
      <c r="AN898" t="s">
        <v>1497</v>
      </c>
      <c r="AO898" t="s">
        <v>7099</v>
      </c>
      <c r="AP898" t="s">
        <v>7100</v>
      </c>
      <c r="AQ898" t="s">
        <v>74</v>
      </c>
      <c r="AR898" t="s">
        <v>7101</v>
      </c>
      <c r="AS898" t="s">
        <v>7102</v>
      </c>
      <c r="AT898" t="s">
        <v>894</v>
      </c>
      <c r="AU898">
        <v>2020</v>
      </c>
      <c r="AV898">
        <v>50</v>
      </c>
      <c r="AW898">
        <v>8</v>
      </c>
      <c r="AX898" t="s">
        <v>74</v>
      </c>
      <c r="AY898" t="s">
        <v>74</v>
      </c>
      <c r="AZ898" t="s">
        <v>74</v>
      </c>
      <c r="BA898" t="s">
        <v>74</v>
      </c>
      <c r="BB898">
        <v>2173</v>
      </c>
      <c r="BC898">
        <v>2188</v>
      </c>
      <c r="BD898" t="s">
        <v>74</v>
      </c>
      <c r="BE898" t="s">
        <v>17633</v>
      </c>
      <c r="BF898" t="str">
        <f>HYPERLINK("http://dx.doi.org/10.1175/JPO-D-19-0307.1","http://dx.doi.org/10.1175/JPO-D-19-0307.1")</f>
        <v>http://dx.doi.org/10.1175/JPO-D-19-0307.1</v>
      </c>
      <c r="BG898" t="s">
        <v>74</v>
      </c>
      <c r="BH898" t="s">
        <v>74</v>
      </c>
      <c r="BI898">
        <v>16</v>
      </c>
      <c r="BJ898" t="s">
        <v>1283</v>
      </c>
      <c r="BK898" t="s">
        <v>100</v>
      </c>
      <c r="BL898" t="s">
        <v>1283</v>
      </c>
      <c r="BM898" t="s">
        <v>17618</v>
      </c>
      <c r="BN898" t="s">
        <v>74</v>
      </c>
      <c r="BO898" t="s">
        <v>1943</v>
      </c>
      <c r="BP898" t="s">
        <v>74</v>
      </c>
      <c r="BQ898" t="s">
        <v>74</v>
      </c>
      <c r="BR898" t="s">
        <v>104</v>
      </c>
      <c r="BS898" t="s">
        <v>17634</v>
      </c>
      <c r="BT898" t="str">
        <f>HYPERLINK("https%3A%2F%2Fwww.webofscience.com%2Fwos%2Fwoscc%2Ffull-record%2FWOS:000590524600006","View Full Record in Web of Science")</f>
        <v>View Full Record in Web of Science</v>
      </c>
    </row>
    <row r="899" spans="1:72" x14ac:dyDescent="0.15">
      <c r="A899" t="s">
        <v>72</v>
      </c>
      <c r="B899" t="s">
        <v>17635</v>
      </c>
      <c r="C899" t="s">
        <v>74</v>
      </c>
      <c r="D899" t="s">
        <v>74</v>
      </c>
      <c r="E899" t="s">
        <v>74</v>
      </c>
      <c r="F899" t="s">
        <v>17636</v>
      </c>
      <c r="G899" t="s">
        <v>74</v>
      </c>
      <c r="H899" t="s">
        <v>74</v>
      </c>
      <c r="I899" t="s">
        <v>17637</v>
      </c>
      <c r="J899" t="s">
        <v>7086</v>
      </c>
      <c r="K899" t="s">
        <v>74</v>
      </c>
      <c r="L899" t="s">
        <v>74</v>
      </c>
      <c r="M899" t="s">
        <v>78</v>
      </c>
      <c r="N899" t="s">
        <v>79</v>
      </c>
      <c r="O899" t="s">
        <v>74</v>
      </c>
      <c r="P899" t="s">
        <v>74</v>
      </c>
      <c r="Q899" t="s">
        <v>74</v>
      </c>
      <c r="R899" t="s">
        <v>74</v>
      </c>
      <c r="S899" t="s">
        <v>74</v>
      </c>
      <c r="T899" t="s">
        <v>74</v>
      </c>
      <c r="U899" t="s">
        <v>17638</v>
      </c>
      <c r="V899" t="s">
        <v>17639</v>
      </c>
      <c r="W899" t="s">
        <v>17640</v>
      </c>
      <c r="X899" t="s">
        <v>17641</v>
      </c>
      <c r="Y899" t="s">
        <v>17642</v>
      </c>
      <c r="Z899" t="s">
        <v>17643</v>
      </c>
      <c r="AA899" t="s">
        <v>17644</v>
      </c>
      <c r="AB899" t="s">
        <v>17645</v>
      </c>
      <c r="AC899" t="s">
        <v>17646</v>
      </c>
      <c r="AD899" t="s">
        <v>17647</v>
      </c>
      <c r="AE899" t="s">
        <v>17648</v>
      </c>
      <c r="AF899" t="s">
        <v>74</v>
      </c>
      <c r="AG899">
        <v>67</v>
      </c>
      <c r="AH899">
        <v>4</v>
      </c>
      <c r="AI899">
        <v>4</v>
      </c>
      <c r="AJ899">
        <v>0</v>
      </c>
      <c r="AK899">
        <v>8</v>
      </c>
      <c r="AL899" t="s">
        <v>1495</v>
      </c>
      <c r="AM899" t="s">
        <v>1496</v>
      </c>
      <c r="AN899" t="s">
        <v>1497</v>
      </c>
      <c r="AO899" t="s">
        <v>7099</v>
      </c>
      <c r="AP899" t="s">
        <v>7100</v>
      </c>
      <c r="AQ899" t="s">
        <v>74</v>
      </c>
      <c r="AR899" t="s">
        <v>7101</v>
      </c>
      <c r="AS899" t="s">
        <v>7102</v>
      </c>
      <c r="AT899" t="s">
        <v>894</v>
      </c>
      <c r="AU899">
        <v>2020</v>
      </c>
      <c r="AV899">
        <v>50</v>
      </c>
      <c r="AW899">
        <v>8</v>
      </c>
      <c r="AX899" t="s">
        <v>74</v>
      </c>
      <c r="AY899" t="s">
        <v>74</v>
      </c>
      <c r="AZ899" t="s">
        <v>74</v>
      </c>
      <c r="BA899" t="s">
        <v>74</v>
      </c>
      <c r="BB899">
        <v>2227</v>
      </c>
      <c r="BC899">
        <v>2249</v>
      </c>
      <c r="BD899" t="s">
        <v>74</v>
      </c>
      <c r="BE899" t="s">
        <v>17649</v>
      </c>
      <c r="BF899" t="str">
        <f>HYPERLINK("http://dx.doi.org/10.1175/JPO-D-20-0037.1","http://dx.doi.org/10.1175/JPO-D-20-0037.1")</f>
        <v>http://dx.doi.org/10.1175/JPO-D-20-0037.1</v>
      </c>
      <c r="BG899" t="s">
        <v>74</v>
      </c>
      <c r="BH899" t="s">
        <v>74</v>
      </c>
      <c r="BI899">
        <v>23</v>
      </c>
      <c r="BJ899" t="s">
        <v>1283</v>
      </c>
      <c r="BK899" t="s">
        <v>100</v>
      </c>
      <c r="BL899" t="s">
        <v>1283</v>
      </c>
      <c r="BM899" t="s">
        <v>17618</v>
      </c>
      <c r="BN899" t="s">
        <v>74</v>
      </c>
      <c r="BO899" t="s">
        <v>1432</v>
      </c>
      <c r="BP899" t="s">
        <v>74</v>
      </c>
      <c r="BQ899" t="s">
        <v>74</v>
      </c>
      <c r="BR899" t="s">
        <v>104</v>
      </c>
      <c r="BS899" t="s">
        <v>17650</v>
      </c>
      <c r="BT899" t="str">
        <f>HYPERLINK("https%3A%2F%2Fwww.webofscience.com%2Fwos%2Fwoscc%2Ffull-record%2FWOS:000590524600009","View Full Record in Web of Science")</f>
        <v>View Full Record in Web of Science</v>
      </c>
    </row>
    <row r="900" spans="1:72" x14ac:dyDescent="0.15">
      <c r="A900" t="s">
        <v>72</v>
      </c>
      <c r="B900" t="s">
        <v>17651</v>
      </c>
      <c r="C900" t="s">
        <v>74</v>
      </c>
      <c r="D900" t="s">
        <v>74</v>
      </c>
      <c r="E900" t="s">
        <v>74</v>
      </c>
      <c r="F900" t="s">
        <v>17652</v>
      </c>
      <c r="G900" t="s">
        <v>74</v>
      </c>
      <c r="H900" t="s">
        <v>74</v>
      </c>
      <c r="I900" t="s">
        <v>17653</v>
      </c>
      <c r="J900" t="s">
        <v>7086</v>
      </c>
      <c r="K900" t="s">
        <v>74</v>
      </c>
      <c r="L900" t="s">
        <v>74</v>
      </c>
      <c r="M900" t="s">
        <v>78</v>
      </c>
      <c r="N900" t="s">
        <v>79</v>
      </c>
      <c r="O900" t="s">
        <v>74</v>
      </c>
      <c r="P900" t="s">
        <v>74</v>
      </c>
      <c r="Q900" t="s">
        <v>74</v>
      </c>
      <c r="R900" t="s">
        <v>74</v>
      </c>
      <c r="S900" t="s">
        <v>74</v>
      </c>
      <c r="T900" t="s">
        <v>74</v>
      </c>
      <c r="U900" t="s">
        <v>17654</v>
      </c>
      <c r="V900" t="s">
        <v>17655</v>
      </c>
      <c r="W900" t="s">
        <v>17656</v>
      </c>
      <c r="X900" t="s">
        <v>17657</v>
      </c>
      <c r="Y900" t="s">
        <v>17658</v>
      </c>
      <c r="Z900" t="s">
        <v>17659</v>
      </c>
      <c r="AA900" t="s">
        <v>17660</v>
      </c>
      <c r="AB900" t="s">
        <v>17661</v>
      </c>
      <c r="AC900" t="s">
        <v>17662</v>
      </c>
      <c r="AD900" t="s">
        <v>17663</v>
      </c>
      <c r="AE900" t="s">
        <v>17664</v>
      </c>
      <c r="AF900" t="s">
        <v>74</v>
      </c>
      <c r="AG900">
        <v>85</v>
      </c>
      <c r="AH900">
        <v>23</v>
      </c>
      <c r="AI900">
        <v>30</v>
      </c>
      <c r="AJ900">
        <v>0</v>
      </c>
      <c r="AK900">
        <v>12</v>
      </c>
      <c r="AL900" t="s">
        <v>1495</v>
      </c>
      <c r="AM900" t="s">
        <v>1496</v>
      </c>
      <c r="AN900" t="s">
        <v>1497</v>
      </c>
      <c r="AO900" t="s">
        <v>7099</v>
      </c>
      <c r="AP900" t="s">
        <v>7100</v>
      </c>
      <c r="AQ900" t="s">
        <v>74</v>
      </c>
      <c r="AR900" t="s">
        <v>7101</v>
      </c>
      <c r="AS900" t="s">
        <v>7102</v>
      </c>
      <c r="AT900" t="s">
        <v>894</v>
      </c>
      <c r="AU900">
        <v>2020</v>
      </c>
      <c r="AV900">
        <v>50</v>
      </c>
      <c r="AW900">
        <v>8</v>
      </c>
      <c r="AX900" t="s">
        <v>74</v>
      </c>
      <c r="AY900" t="s">
        <v>74</v>
      </c>
      <c r="AZ900" t="s">
        <v>74</v>
      </c>
      <c r="BA900" t="s">
        <v>74</v>
      </c>
      <c r="BB900">
        <v>2251</v>
      </c>
      <c r="BC900">
        <v>2270</v>
      </c>
      <c r="BD900" t="s">
        <v>74</v>
      </c>
      <c r="BE900" t="s">
        <v>17665</v>
      </c>
      <c r="BF900" t="str">
        <f>HYPERLINK("http://dx.doi.org/10.1175/JPO-D-19-0303.1","http://dx.doi.org/10.1175/JPO-D-19-0303.1")</f>
        <v>http://dx.doi.org/10.1175/JPO-D-19-0303.1</v>
      </c>
      <c r="BG900" t="s">
        <v>74</v>
      </c>
      <c r="BH900" t="s">
        <v>74</v>
      </c>
      <c r="BI900">
        <v>20</v>
      </c>
      <c r="BJ900" t="s">
        <v>1283</v>
      </c>
      <c r="BK900" t="s">
        <v>100</v>
      </c>
      <c r="BL900" t="s">
        <v>1283</v>
      </c>
      <c r="BM900" t="s">
        <v>17618</v>
      </c>
      <c r="BN900" t="s">
        <v>74</v>
      </c>
      <c r="BO900" t="s">
        <v>1943</v>
      </c>
      <c r="BP900" t="s">
        <v>74</v>
      </c>
      <c r="BQ900" t="s">
        <v>74</v>
      </c>
      <c r="BR900" t="s">
        <v>104</v>
      </c>
      <c r="BS900" t="s">
        <v>17666</v>
      </c>
      <c r="BT900" t="str">
        <f>HYPERLINK("https%3A%2F%2Fwww.webofscience.com%2Fwos%2Fwoscc%2Ffull-record%2FWOS:000590524600010","View Full Record in Web of Science")</f>
        <v>View Full Record in Web of Science</v>
      </c>
    </row>
    <row r="901" spans="1:72" x14ac:dyDescent="0.15">
      <c r="A901" t="s">
        <v>72</v>
      </c>
      <c r="B901" t="s">
        <v>17667</v>
      </c>
      <c r="C901" t="s">
        <v>74</v>
      </c>
      <c r="D901" t="s">
        <v>74</v>
      </c>
      <c r="E901" t="s">
        <v>74</v>
      </c>
      <c r="F901" t="s">
        <v>17668</v>
      </c>
      <c r="G901" t="s">
        <v>74</v>
      </c>
      <c r="H901" t="s">
        <v>74</v>
      </c>
      <c r="I901" t="s">
        <v>17669</v>
      </c>
      <c r="J901" t="s">
        <v>17670</v>
      </c>
      <c r="K901" t="s">
        <v>74</v>
      </c>
      <c r="L901" t="s">
        <v>74</v>
      </c>
      <c r="M901" t="s">
        <v>78</v>
      </c>
      <c r="N901" t="s">
        <v>79</v>
      </c>
      <c r="O901" t="s">
        <v>74</v>
      </c>
      <c r="P901" t="s">
        <v>74</v>
      </c>
      <c r="Q901" t="s">
        <v>74</v>
      </c>
      <c r="R901" t="s">
        <v>74</v>
      </c>
      <c r="S901" t="s">
        <v>74</v>
      </c>
      <c r="T901" t="s">
        <v>74</v>
      </c>
      <c r="U901" t="s">
        <v>17671</v>
      </c>
      <c r="V901" t="s">
        <v>17672</v>
      </c>
      <c r="W901" t="s">
        <v>17673</v>
      </c>
      <c r="X901" t="s">
        <v>17674</v>
      </c>
      <c r="Y901" t="s">
        <v>17675</v>
      </c>
      <c r="Z901" t="s">
        <v>17676</v>
      </c>
      <c r="AA901" t="s">
        <v>17677</v>
      </c>
      <c r="AB901" t="s">
        <v>17678</v>
      </c>
      <c r="AC901" t="s">
        <v>17679</v>
      </c>
      <c r="AD901" t="s">
        <v>17680</v>
      </c>
      <c r="AE901" t="s">
        <v>17681</v>
      </c>
      <c r="AF901" t="s">
        <v>74</v>
      </c>
      <c r="AG901">
        <v>56</v>
      </c>
      <c r="AH901">
        <v>5</v>
      </c>
      <c r="AI901">
        <v>5</v>
      </c>
      <c r="AJ901">
        <v>1</v>
      </c>
      <c r="AK901">
        <v>6</v>
      </c>
      <c r="AL901" t="s">
        <v>1495</v>
      </c>
      <c r="AM901" t="s">
        <v>1496</v>
      </c>
      <c r="AN901" t="s">
        <v>5221</v>
      </c>
      <c r="AO901" t="s">
        <v>17682</v>
      </c>
      <c r="AP901" t="s">
        <v>17683</v>
      </c>
      <c r="AQ901" t="s">
        <v>74</v>
      </c>
      <c r="AR901" t="s">
        <v>17684</v>
      </c>
      <c r="AS901" t="s">
        <v>17685</v>
      </c>
      <c r="AT901" t="s">
        <v>894</v>
      </c>
      <c r="AU901">
        <v>2020</v>
      </c>
      <c r="AV901">
        <v>37</v>
      </c>
      <c r="AW901">
        <v>8</v>
      </c>
      <c r="AX901" t="s">
        <v>74</v>
      </c>
      <c r="AY901" t="s">
        <v>74</v>
      </c>
      <c r="AZ901" t="s">
        <v>74</v>
      </c>
      <c r="BA901" t="s">
        <v>74</v>
      </c>
      <c r="BB901">
        <v>1365</v>
      </c>
      <c r="BC901">
        <v>1385</v>
      </c>
      <c r="BD901" t="s">
        <v>74</v>
      </c>
      <c r="BE901" t="s">
        <v>17686</v>
      </c>
      <c r="BF901" t="str">
        <f>HYPERLINK("http://dx.doi.org/10.1175/JTECH-D-19-0203.1","http://dx.doi.org/10.1175/JTECH-D-19-0203.1")</f>
        <v>http://dx.doi.org/10.1175/JTECH-D-19-0203.1</v>
      </c>
      <c r="BG901" t="s">
        <v>74</v>
      </c>
      <c r="BH901" t="s">
        <v>74</v>
      </c>
      <c r="BI901">
        <v>21</v>
      </c>
      <c r="BJ901" t="s">
        <v>17687</v>
      </c>
      <c r="BK901" t="s">
        <v>100</v>
      </c>
      <c r="BL901" t="s">
        <v>17688</v>
      </c>
      <c r="BM901" t="s">
        <v>17689</v>
      </c>
      <c r="BN901" t="s">
        <v>74</v>
      </c>
      <c r="BO901" t="s">
        <v>8365</v>
      </c>
      <c r="BP901" t="s">
        <v>74</v>
      </c>
      <c r="BQ901" t="s">
        <v>74</v>
      </c>
      <c r="BR901" t="s">
        <v>104</v>
      </c>
      <c r="BS901" t="s">
        <v>17690</v>
      </c>
      <c r="BT901" t="str">
        <f>HYPERLINK("https%3A%2F%2Fwww.webofscience.com%2Fwos%2Fwoscc%2Ffull-record%2FWOS:000589970300005","View Full Record in Web of Science")</f>
        <v>View Full Record in Web of Science</v>
      </c>
    </row>
    <row r="902" spans="1:72" x14ac:dyDescent="0.15">
      <c r="A902" t="s">
        <v>72</v>
      </c>
      <c r="B902" t="s">
        <v>17691</v>
      </c>
      <c r="C902" t="s">
        <v>74</v>
      </c>
      <c r="D902" t="s">
        <v>74</v>
      </c>
      <c r="E902" t="s">
        <v>74</v>
      </c>
      <c r="F902" t="s">
        <v>17692</v>
      </c>
      <c r="G902" t="s">
        <v>74</v>
      </c>
      <c r="H902" t="s">
        <v>74</v>
      </c>
      <c r="I902" t="s">
        <v>17693</v>
      </c>
      <c r="J902" t="s">
        <v>17694</v>
      </c>
      <c r="K902" t="s">
        <v>74</v>
      </c>
      <c r="L902" t="s">
        <v>74</v>
      </c>
      <c r="M902" t="s">
        <v>78</v>
      </c>
      <c r="N902" t="s">
        <v>138</v>
      </c>
      <c r="O902" t="s">
        <v>74</v>
      </c>
      <c r="P902" t="s">
        <v>74</v>
      </c>
      <c r="Q902" t="s">
        <v>74</v>
      </c>
      <c r="R902" t="s">
        <v>74</v>
      </c>
      <c r="S902" t="s">
        <v>74</v>
      </c>
      <c r="T902" t="s">
        <v>17695</v>
      </c>
      <c r="U902" t="s">
        <v>17696</v>
      </c>
      <c r="V902" t="s">
        <v>17697</v>
      </c>
      <c r="W902" t="s">
        <v>17698</v>
      </c>
      <c r="X902" t="s">
        <v>17699</v>
      </c>
      <c r="Y902" t="s">
        <v>17700</v>
      </c>
      <c r="Z902" t="s">
        <v>17701</v>
      </c>
      <c r="AA902" t="s">
        <v>17702</v>
      </c>
      <c r="AB902" t="s">
        <v>74</v>
      </c>
      <c r="AC902" t="s">
        <v>74</v>
      </c>
      <c r="AD902" t="s">
        <v>74</v>
      </c>
      <c r="AE902" t="s">
        <v>74</v>
      </c>
      <c r="AF902" t="s">
        <v>74</v>
      </c>
      <c r="AG902">
        <v>163</v>
      </c>
      <c r="AH902">
        <v>6</v>
      </c>
      <c r="AI902">
        <v>7</v>
      </c>
      <c r="AJ902">
        <v>1</v>
      </c>
      <c r="AK902">
        <v>7</v>
      </c>
      <c r="AL902" t="s">
        <v>275</v>
      </c>
      <c r="AM902" t="s">
        <v>276</v>
      </c>
      <c r="AN902" t="s">
        <v>277</v>
      </c>
      <c r="AO902" t="s">
        <v>17703</v>
      </c>
      <c r="AP902" t="s">
        <v>74</v>
      </c>
      <c r="AQ902" t="s">
        <v>74</v>
      </c>
      <c r="AR902" t="s">
        <v>17704</v>
      </c>
      <c r="AS902" t="s">
        <v>17705</v>
      </c>
      <c r="AT902" t="s">
        <v>894</v>
      </c>
      <c r="AU902">
        <v>2020</v>
      </c>
      <c r="AV902">
        <v>12</v>
      </c>
      <c r="AW902" t="s">
        <v>74</v>
      </c>
      <c r="AX902" t="s">
        <v>74</v>
      </c>
      <c r="AY902" t="s">
        <v>74</v>
      </c>
      <c r="AZ902" t="s">
        <v>74</v>
      </c>
      <c r="BA902" t="s">
        <v>74</v>
      </c>
      <c r="BB902">
        <v>275</v>
      </c>
      <c r="BC902">
        <v>290</v>
      </c>
      <c r="BD902" t="s">
        <v>74</v>
      </c>
      <c r="BE902" t="s">
        <v>17706</v>
      </c>
      <c r="BF902" t="str">
        <f>HYPERLINK("http://dx.doi.org/10.1016/j.ijppaw.2020.03.007","http://dx.doi.org/10.1016/j.ijppaw.2020.03.007")</f>
        <v>http://dx.doi.org/10.1016/j.ijppaw.2020.03.007</v>
      </c>
      <c r="BG902" t="s">
        <v>74</v>
      </c>
      <c r="BH902" t="s">
        <v>74</v>
      </c>
      <c r="BI902">
        <v>16</v>
      </c>
      <c r="BJ902" t="s">
        <v>17707</v>
      </c>
      <c r="BK902" t="s">
        <v>100</v>
      </c>
      <c r="BL902" t="s">
        <v>17708</v>
      </c>
      <c r="BM902" t="s">
        <v>17709</v>
      </c>
      <c r="BN902">
        <v>33101906</v>
      </c>
      <c r="BO902" t="s">
        <v>2113</v>
      </c>
      <c r="BP902" t="s">
        <v>74</v>
      </c>
      <c r="BQ902" t="s">
        <v>74</v>
      </c>
      <c r="BR902" t="s">
        <v>104</v>
      </c>
      <c r="BS902" t="s">
        <v>17710</v>
      </c>
      <c r="BT902" t="str">
        <f>HYPERLINK("https%3A%2F%2Fwww.webofscience.com%2Fwos%2Fwoscc%2Ffull-record%2FWOS:000580864300040","View Full Record in Web of Science")</f>
        <v>View Full Record in Web of Science</v>
      </c>
    </row>
    <row r="903" spans="1:72" x14ac:dyDescent="0.15">
      <c r="A903" t="s">
        <v>72</v>
      </c>
      <c r="B903" t="s">
        <v>17711</v>
      </c>
      <c r="C903" t="s">
        <v>74</v>
      </c>
      <c r="D903" t="s">
        <v>74</v>
      </c>
      <c r="E903" t="s">
        <v>74</v>
      </c>
      <c r="F903" t="s">
        <v>17712</v>
      </c>
      <c r="G903" t="s">
        <v>74</v>
      </c>
      <c r="H903" t="s">
        <v>74</v>
      </c>
      <c r="I903" t="s">
        <v>17713</v>
      </c>
      <c r="J903" t="s">
        <v>17714</v>
      </c>
      <c r="K903" t="s">
        <v>74</v>
      </c>
      <c r="L903" t="s">
        <v>74</v>
      </c>
      <c r="M903" t="s">
        <v>78</v>
      </c>
      <c r="N903" t="s">
        <v>79</v>
      </c>
      <c r="O903" t="s">
        <v>74</v>
      </c>
      <c r="P903" t="s">
        <v>74</v>
      </c>
      <c r="Q903" t="s">
        <v>74</v>
      </c>
      <c r="R903" t="s">
        <v>74</v>
      </c>
      <c r="S903" t="s">
        <v>74</v>
      </c>
      <c r="T903" t="s">
        <v>17715</v>
      </c>
      <c r="U903" t="s">
        <v>17716</v>
      </c>
      <c r="V903" t="s">
        <v>17717</v>
      </c>
      <c r="W903" t="s">
        <v>17718</v>
      </c>
      <c r="X903" t="s">
        <v>17719</v>
      </c>
      <c r="Y903" t="s">
        <v>17720</v>
      </c>
      <c r="Z903" t="s">
        <v>17721</v>
      </c>
      <c r="AA903" t="s">
        <v>17722</v>
      </c>
      <c r="AB903" t="s">
        <v>17723</v>
      </c>
      <c r="AC903" t="s">
        <v>17724</v>
      </c>
      <c r="AD903" t="s">
        <v>17725</v>
      </c>
      <c r="AE903" t="s">
        <v>17726</v>
      </c>
      <c r="AF903" t="s">
        <v>74</v>
      </c>
      <c r="AG903">
        <v>88</v>
      </c>
      <c r="AH903">
        <v>28</v>
      </c>
      <c r="AI903">
        <v>32</v>
      </c>
      <c r="AJ903">
        <v>5</v>
      </c>
      <c r="AK903">
        <v>67</v>
      </c>
      <c r="AL903" t="s">
        <v>1406</v>
      </c>
      <c r="AM903" t="s">
        <v>1407</v>
      </c>
      <c r="AN903" t="s">
        <v>1408</v>
      </c>
      <c r="AO903" t="s">
        <v>17727</v>
      </c>
      <c r="AP903" t="s">
        <v>17728</v>
      </c>
      <c r="AQ903" t="s">
        <v>74</v>
      </c>
      <c r="AR903" t="s">
        <v>17714</v>
      </c>
      <c r="AS903" t="s">
        <v>17729</v>
      </c>
      <c r="AT903" t="s">
        <v>894</v>
      </c>
      <c r="AU903">
        <v>2020</v>
      </c>
      <c r="AV903">
        <v>70</v>
      </c>
      <c r="AW903">
        <v>8</v>
      </c>
      <c r="AX903" t="s">
        <v>74</v>
      </c>
      <c r="AY903" t="s">
        <v>74</v>
      </c>
      <c r="AZ903" t="s">
        <v>74</v>
      </c>
      <c r="BA903" t="s">
        <v>74</v>
      </c>
      <c r="BB903">
        <v>688</v>
      </c>
      <c r="BC903">
        <v>698</v>
      </c>
      <c r="BD903" t="s">
        <v>74</v>
      </c>
      <c r="BE903" t="s">
        <v>17730</v>
      </c>
      <c r="BF903" t="str">
        <f>HYPERLINK("http://dx.doi.org/10.1093/biosci/biaa058","http://dx.doi.org/10.1093/biosci/biaa058")</f>
        <v>http://dx.doi.org/10.1093/biosci/biaa058</v>
      </c>
      <c r="BG903" t="s">
        <v>74</v>
      </c>
      <c r="BH903" t="s">
        <v>74</v>
      </c>
      <c r="BI903">
        <v>11</v>
      </c>
      <c r="BJ903" t="s">
        <v>1454</v>
      </c>
      <c r="BK903" t="s">
        <v>100</v>
      </c>
      <c r="BL903" t="s">
        <v>1455</v>
      </c>
      <c r="BM903" t="s">
        <v>17731</v>
      </c>
      <c r="BN903" t="s">
        <v>74</v>
      </c>
      <c r="BO903" t="s">
        <v>1432</v>
      </c>
      <c r="BP903" t="s">
        <v>74</v>
      </c>
      <c r="BQ903" t="s">
        <v>74</v>
      </c>
      <c r="BR903" t="s">
        <v>104</v>
      </c>
      <c r="BS903" t="s">
        <v>17732</v>
      </c>
      <c r="BT903" t="str">
        <f>HYPERLINK("https%3A%2F%2Fwww.webofscience.com%2Fwos%2Fwoscc%2Ffull-record%2FWOS:000580985600007","View Full Record in Web of Science")</f>
        <v>View Full Record in Web of Science</v>
      </c>
    </row>
    <row r="904" spans="1:72" x14ac:dyDescent="0.15">
      <c r="A904" t="s">
        <v>72</v>
      </c>
      <c r="B904" t="s">
        <v>17733</v>
      </c>
      <c r="C904" t="s">
        <v>74</v>
      </c>
      <c r="D904" t="s">
        <v>74</v>
      </c>
      <c r="E904" t="s">
        <v>74</v>
      </c>
      <c r="F904" t="s">
        <v>17734</v>
      </c>
      <c r="G904" t="s">
        <v>74</v>
      </c>
      <c r="H904" t="s">
        <v>74</v>
      </c>
      <c r="I904" t="s">
        <v>17735</v>
      </c>
      <c r="J904" t="s">
        <v>14048</v>
      </c>
      <c r="K904" t="s">
        <v>74</v>
      </c>
      <c r="L904" t="s">
        <v>74</v>
      </c>
      <c r="M904" t="s">
        <v>78</v>
      </c>
      <c r="N904" t="s">
        <v>79</v>
      </c>
      <c r="O904" t="s">
        <v>74</v>
      </c>
      <c r="P904" t="s">
        <v>74</v>
      </c>
      <c r="Q904" t="s">
        <v>74</v>
      </c>
      <c r="R904" t="s">
        <v>74</v>
      </c>
      <c r="S904" t="s">
        <v>74</v>
      </c>
      <c r="T904" t="s">
        <v>17736</v>
      </c>
      <c r="U904" t="s">
        <v>17737</v>
      </c>
      <c r="V904" t="s">
        <v>17738</v>
      </c>
      <c r="W904" t="s">
        <v>17739</v>
      </c>
      <c r="X904" t="s">
        <v>17740</v>
      </c>
      <c r="Y904" t="s">
        <v>17741</v>
      </c>
      <c r="Z904" t="s">
        <v>17742</v>
      </c>
      <c r="AA904" t="s">
        <v>17743</v>
      </c>
      <c r="AB904" t="s">
        <v>17744</v>
      </c>
      <c r="AC904" t="s">
        <v>17745</v>
      </c>
      <c r="AD904" t="s">
        <v>17746</v>
      </c>
      <c r="AE904" t="s">
        <v>17747</v>
      </c>
      <c r="AF904" t="s">
        <v>74</v>
      </c>
      <c r="AG904">
        <v>81</v>
      </c>
      <c r="AH904">
        <v>2</v>
      </c>
      <c r="AI904">
        <v>2</v>
      </c>
      <c r="AJ904">
        <v>4</v>
      </c>
      <c r="AK904">
        <v>20</v>
      </c>
      <c r="AL904" t="s">
        <v>2085</v>
      </c>
      <c r="AM904" t="s">
        <v>2086</v>
      </c>
      <c r="AN904" t="s">
        <v>2087</v>
      </c>
      <c r="AO904" t="s">
        <v>74</v>
      </c>
      <c r="AP904" t="s">
        <v>14061</v>
      </c>
      <c r="AQ904" t="s">
        <v>74</v>
      </c>
      <c r="AR904" t="s">
        <v>14062</v>
      </c>
      <c r="AS904" t="s">
        <v>14063</v>
      </c>
      <c r="AT904" t="s">
        <v>894</v>
      </c>
      <c r="AU904">
        <v>2020</v>
      </c>
      <c r="AV904">
        <v>12</v>
      </c>
      <c r="AW904">
        <v>16</v>
      </c>
      <c r="AX904" t="s">
        <v>74</v>
      </c>
      <c r="AY904" t="s">
        <v>74</v>
      </c>
      <c r="AZ904" t="s">
        <v>74</v>
      </c>
      <c r="BA904" t="s">
        <v>74</v>
      </c>
      <c r="BB904" t="s">
        <v>74</v>
      </c>
      <c r="BC904" t="s">
        <v>74</v>
      </c>
      <c r="BD904">
        <v>6477</v>
      </c>
      <c r="BE904" t="s">
        <v>17748</v>
      </c>
      <c r="BF904" t="str">
        <f>HYPERLINK("http://dx.doi.org/10.3390/su12166477","http://dx.doi.org/10.3390/su12166477")</f>
        <v>http://dx.doi.org/10.3390/su12166477</v>
      </c>
      <c r="BG904" t="s">
        <v>74</v>
      </c>
      <c r="BH904" t="s">
        <v>74</v>
      </c>
      <c r="BI904">
        <v>27</v>
      </c>
      <c r="BJ904" t="s">
        <v>4459</v>
      </c>
      <c r="BK904" t="s">
        <v>255</v>
      </c>
      <c r="BL904" t="s">
        <v>4460</v>
      </c>
      <c r="BM904" t="s">
        <v>17749</v>
      </c>
      <c r="BN904" t="s">
        <v>74</v>
      </c>
      <c r="BO904" t="s">
        <v>350</v>
      </c>
      <c r="BP904" t="s">
        <v>74</v>
      </c>
      <c r="BQ904" t="s">
        <v>74</v>
      </c>
      <c r="BR904" t="s">
        <v>104</v>
      </c>
      <c r="BS904" t="s">
        <v>17750</v>
      </c>
      <c r="BT904" t="str">
        <f>HYPERLINK("https%3A%2F%2Fwww.webofscience.com%2Fwos%2Fwoscc%2Ffull-record%2FWOS:000579565000001","View Full Record in Web of Science")</f>
        <v>View Full Record in Web of Science</v>
      </c>
    </row>
    <row r="905" spans="1:72" x14ac:dyDescent="0.15">
      <c r="A905" t="s">
        <v>72</v>
      </c>
      <c r="B905" t="s">
        <v>17751</v>
      </c>
      <c r="C905" t="s">
        <v>74</v>
      </c>
      <c r="D905" t="s">
        <v>74</v>
      </c>
      <c r="E905" t="s">
        <v>74</v>
      </c>
      <c r="F905" t="s">
        <v>17752</v>
      </c>
      <c r="G905" t="s">
        <v>74</v>
      </c>
      <c r="H905" t="s">
        <v>74</v>
      </c>
      <c r="I905" t="s">
        <v>17753</v>
      </c>
      <c r="J905" t="s">
        <v>13344</v>
      </c>
      <c r="K905" t="s">
        <v>74</v>
      </c>
      <c r="L905" t="s">
        <v>74</v>
      </c>
      <c r="M905" t="s">
        <v>78</v>
      </c>
      <c r="N905" t="s">
        <v>79</v>
      </c>
      <c r="O905" t="s">
        <v>74</v>
      </c>
      <c r="P905" t="s">
        <v>74</v>
      </c>
      <c r="Q905" t="s">
        <v>74</v>
      </c>
      <c r="R905" t="s">
        <v>74</v>
      </c>
      <c r="S905" t="s">
        <v>74</v>
      </c>
      <c r="T905" t="s">
        <v>17754</v>
      </c>
      <c r="U905" t="s">
        <v>17755</v>
      </c>
      <c r="V905" t="s">
        <v>17756</v>
      </c>
      <c r="W905" t="s">
        <v>17757</v>
      </c>
      <c r="X905" t="s">
        <v>17758</v>
      </c>
      <c r="Y905" t="s">
        <v>17759</v>
      </c>
      <c r="Z905" t="s">
        <v>17760</v>
      </c>
      <c r="AA905" t="s">
        <v>17761</v>
      </c>
      <c r="AB905" t="s">
        <v>17762</v>
      </c>
      <c r="AC905" t="s">
        <v>17763</v>
      </c>
      <c r="AD905" t="s">
        <v>17764</v>
      </c>
      <c r="AE905" t="s">
        <v>17765</v>
      </c>
      <c r="AF905" t="s">
        <v>74</v>
      </c>
      <c r="AG905">
        <v>99</v>
      </c>
      <c r="AH905">
        <v>8</v>
      </c>
      <c r="AI905">
        <v>10</v>
      </c>
      <c r="AJ905">
        <v>2</v>
      </c>
      <c r="AK905">
        <v>25</v>
      </c>
      <c r="AL905" t="s">
        <v>2085</v>
      </c>
      <c r="AM905" t="s">
        <v>2086</v>
      </c>
      <c r="AN905" t="s">
        <v>2087</v>
      </c>
      <c r="AO905" t="s">
        <v>74</v>
      </c>
      <c r="AP905" t="s">
        <v>13357</v>
      </c>
      <c r="AQ905" t="s">
        <v>74</v>
      </c>
      <c r="AR905" t="s">
        <v>13344</v>
      </c>
      <c r="AS905" t="s">
        <v>13358</v>
      </c>
      <c r="AT905" t="s">
        <v>894</v>
      </c>
      <c r="AU905">
        <v>2020</v>
      </c>
      <c r="AV905">
        <v>12</v>
      </c>
      <c r="AW905">
        <v>8</v>
      </c>
      <c r="AX905" t="s">
        <v>74</v>
      </c>
      <c r="AY905" t="s">
        <v>74</v>
      </c>
      <c r="AZ905" t="s">
        <v>74</v>
      </c>
      <c r="BA905" t="s">
        <v>74</v>
      </c>
      <c r="BB905" t="s">
        <v>74</v>
      </c>
      <c r="BC905" t="s">
        <v>74</v>
      </c>
      <c r="BD905">
        <v>800</v>
      </c>
      <c r="BE905" t="s">
        <v>17766</v>
      </c>
      <c r="BF905" t="str">
        <f>HYPERLINK("http://dx.doi.org/10.3390/v12080800","http://dx.doi.org/10.3390/v12080800")</f>
        <v>http://dx.doi.org/10.3390/v12080800</v>
      </c>
      <c r="BG905" t="s">
        <v>74</v>
      </c>
      <c r="BH905" t="s">
        <v>74</v>
      </c>
      <c r="BI905">
        <v>21</v>
      </c>
      <c r="BJ905" t="s">
        <v>2754</v>
      </c>
      <c r="BK905" t="s">
        <v>100</v>
      </c>
      <c r="BL905" t="s">
        <v>2754</v>
      </c>
      <c r="BM905" t="s">
        <v>17767</v>
      </c>
      <c r="BN905">
        <v>32722486</v>
      </c>
      <c r="BO905" t="s">
        <v>332</v>
      </c>
      <c r="BP905" t="s">
        <v>74</v>
      </c>
      <c r="BQ905" t="s">
        <v>74</v>
      </c>
      <c r="BR905" t="s">
        <v>104</v>
      </c>
      <c r="BS905" t="s">
        <v>17768</v>
      </c>
      <c r="BT905" t="str">
        <f>HYPERLINK("https%3A%2F%2Fwww.webofscience.com%2Fwos%2Fwoscc%2Ffull-record%2FWOS:000579428100001","View Full Record in Web of Science")</f>
        <v>View Full Record in Web of Science</v>
      </c>
    </row>
    <row r="906" spans="1:72" x14ac:dyDescent="0.15">
      <c r="A906" t="s">
        <v>72</v>
      </c>
      <c r="B906" t="s">
        <v>17769</v>
      </c>
      <c r="C906" t="s">
        <v>74</v>
      </c>
      <c r="D906" t="s">
        <v>74</v>
      </c>
      <c r="E906" t="s">
        <v>74</v>
      </c>
      <c r="F906" t="s">
        <v>17770</v>
      </c>
      <c r="G906" t="s">
        <v>74</v>
      </c>
      <c r="H906" t="s">
        <v>74</v>
      </c>
      <c r="I906" t="s">
        <v>17771</v>
      </c>
      <c r="J906" t="s">
        <v>13344</v>
      </c>
      <c r="K906" t="s">
        <v>74</v>
      </c>
      <c r="L906" t="s">
        <v>74</v>
      </c>
      <c r="M906" t="s">
        <v>78</v>
      </c>
      <c r="N906" t="s">
        <v>79</v>
      </c>
      <c r="O906" t="s">
        <v>74</v>
      </c>
      <c r="P906" t="s">
        <v>74</v>
      </c>
      <c r="Q906" t="s">
        <v>74</v>
      </c>
      <c r="R906" t="s">
        <v>74</v>
      </c>
      <c r="S906" t="s">
        <v>74</v>
      </c>
      <c r="T906" t="s">
        <v>17772</v>
      </c>
      <c r="U906" t="s">
        <v>17773</v>
      </c>
      <c r="V906" t="s">
        <v>17774</v>
      </c>
      <c r="W906" t="s">
        <v>17775</v>
      </c>
      <c r="X906" t="s">
        <v>17776</v>
      </c>
      <c r="Y906" t="s">
        <v>17777</v>
      </c>
      <c r="Z906" t="s">
        <v>17778</v>
      </c>
      <c r="AA906" t="s">
        <v>17779</v>
      </c>
      <c r="AB906" t="s">
        <v>17780</v>
      </c>
      <c r="AC906" t="s">
        <v>17781</v>
      </c>
      <c r="AD906" t="s">
        <v>17782</v>
      </c>
      <c r="AE906" t="s">
        <v>17783</v>
      </c>
      <c r="AF906" t="s">
        <v>74</v>
      </c>
      <c r="AG906">
        <v>45</v>
      </c>
      <c r="AH906">
        <v>11</v>
      </c>
      <c r="AI906">
        <v>11</v>
      </c>
      <c r="AJ906">
        <v>0</v>
      </c>
      <c r="AK906">
        <v>10</v>
      </c>
      <c r="AL906" t="s">
        <v>2085</v>
      </c>
      <c r="AM906" t="s">
        <v>2086</v>
      </c>
      <c r="AN906" t="s">
        <v>2087</v>
      </c>
      <c r="AO906" t="s">
        <v>74</v>
      </c>
      <c r="AP906" t="s">
        <v>13357</v>
      </c>
      <c r="AQ906" t="s">
        <v>74</v>
      </c>
      <c r="AR906" t="s">
        <v>13344</v>
      </c>
      <c r="AS906" t="s">
        <v>13358</v>
      </c>
      <c r="AT906" t="s">
        <v>894</v>
      </c>
      <c r="AU906">
        <v>2020</v>
      </c>
      <c r="AV906">
        <v>12</v>
      </c>
      <c r="AW906">
        <v>8</v>
      </c>
      <c r="AX906" t="s">
        <v>74</v>
      </c>
      <c r="AY906" t="s">
        <v>74</v>
      </c>
      <c r="AZ906" t="s">
        <v>74</v>
      </c>
      <c r="BA906" t="s">
        <v>74</v>
      </c>
      <c r="BB906" t="s">
        <v>74</v>
      </c>
      <c r="BC906" t="s">
        <v>74</v>
      </c>
      <c r="BD906">
        <v>858</v>
      </c>
      <c r="BE906" t="s">
        <v>17784</v>
      </c>
      <c r="BF906" t="str">
        <f>HYPERLINK("http://dx.doi.org/10.3390/v12080858","http://dx.doi.org/10.3390/v12080858")</f>
        <v>http://dx.doi.org/10.3390/v12080858</v>
      </c>
      <c r="BG906" t="s">
        <v>74</v>
      </c>
      <c r="BH906" t="s">
        <v>74</v>
      </c>
      <c r="BI906">
        <v>11</v>
      </c>
      <c r="BJ906" t="s">
        <v>2754</v>
      </c>
      <c r="BK906" t="s">
        <v>100</v>
      </c>
      <c r="BL906" t="s">
        <v>2754</v>
      </c>
      <c r="BM906" t="s">
        <v>17785</v>
      </c>
      <c r="BN906">
        <v>32781620</v>
      </c>
      <c r="BO906" t="s">
        <v>2113</v>
      </c>
      <c r="BP906" t="s">
        <v>74</v>
      </c>
      <c r="BQ906" t="s">
        <v>74</v>
      </c>
      <c r="BR906" t="s">
        <v>104</v>
      </c>
      <c r="BS906" t="s">
        <v>17786</v>
      </c>
      <c r="BT906" t="str">
        <f>HYPERLINK("https%3A%2F%2Fwww.webofscience.com%2Fwos%2Fwoscc%2Ffull-record%2FWOS:000578997900001","View Full Record in Web of Science")</f>
        <v>View Full Record in Web of Science</v>
      </c>
    </row>
    <row r="907" spans="1:72" x14ac:dyDescent="0.15">
      <c r="A907" t="s">
        <v>72</v>
      </c>
      <c r="B907" t="s">
        <v>17787</v>
      </c>
      <c r="C907" t="s">
        <v>74</v>
      </c>
      <c r="D907" t="s">
        <v>74</v>
      </c>
      <c r="E907" t="s">
        <v>74</v>
      </c>
      <c r="F907" t="s">
        <v>17788</v>
      </c>
      <c r="G907" t="s">
        <v>74</v>
      </c>
      <c r="H907" t="s">
        <v>74</v>
      </c>
      <c r="I907" t="s">
        <v>17789</v>
      </c>
      <c r="J907" t="s">
        <v>7877</v>
      </c>
      <c r="K907" t="s">
        <v>74</v>
      </c>
      <c r="L907" t="s">
        <v>74</v>
      </c>
      <c r="M907" t="s">
        <v>78</v>
      </c>
      <c r="N907" t="s">
        <v>79</v>
      </c>
      <c r="O907" t="s">
        <v>74</v>
      </c>
      <c r="P907" t="s">
        <v>74</v>
      </c>
      <c r="Q907" t="s">
        <v>74</v>
      </c>
      <c r="R907" t="s">
        <v>74</v>
      </c>
      <c r="S907" t="s">
        <v>74</v>
      </c>
      <c r="T907" t="s">
        <v>17790</v>
      </c>
      <c r="U907" t="s">
        <v>17791</v>
      </c>
      <c r="V907" t="s">
        <v>17792</v>
      </c>
      <c r="W907" t="s">
        <v>17793</v>
      </c>
      <c r="X907" t="s">
        <v>17794</v>
      </c>
      <c r="Y907" t="s">
        <v>17795</v>
      </c>
      <c r="Z907" t="s">
        <v>17796</v>
      </c>
      <c r="AA907" t="s">
        <v>74</v>
      </c>
      <c r="AB907" t="s">
        <v>17797</v>
      </c>
      <c r="AC907" t="s">
        <v>17798</v>
      </c>
      <c r="AD907" t="s">
        <v>10628</v>
      </c>
      <c r="AE907" t="s">
        <v>17799</v>
      </c>
      <c r="AF907" t="s">
        <v>74</v>
      </c>
      <c r="AG907">
        <v>44</v>
      </c>
      <c r="AH907">
        <v>3</v>
      </c>
      <c r="AI907">
        <v>3</v>
      </c>
      <c r="AJ907">
        <v>1</v>
      </c>
      <c r="AK907">
        <v>8</v>
      </c>
      <c r="AL907" t="s">
        <v>2085</v>
      </c>
      <c r="AM907" t="s">
        <v>2086</v>
      </c>
      <c r="AN907" t="s">
        <v>2087</v>
      </c>
      <c r="AO907" t="s">
        <v>74</v>
      </c>
      <c r="AP907" t="s">
        <v>7890</v>
      </c>
      <c r="AQ907" t="s">
        <v>74</v>
      </c>
      <c r="AR907" t="s">
        <v>7891</v>
      </c>
      <c r="AS907" t="s">
        <v>7892</v>
      </c>
      <c r="AT907" t="s">
        <v>894</v>
      </c>
      <c r="AU907">
        <v>2020</v>
      </c>
      <c r="AV907">
        <v>11</v>
      </c>
      <c r="AW907">
        <v>8</v>
      </c>
      <c r="AX907" t="s">
        <v>74</v>
      </c>
      <c r="AY907" t="s">
        <v>74</v>
      </c>
      <c r="AZ907" t="s">
        <v>74</v>
      </c>
      <c r="BA907" t="s">
        <v>74</v>
      </c>
      <c r="BB907" t="s">
        <v>74</v>
      </c>
      <c r="BC907" t="s">
        <v>74</v>
      </c>
      <c r="BD907">
        <v>867</v>
      </c>
      <c r="BE907" t="s">
        <v>17800</v>
      </c>
      <c r="BF907" t="str">
        <f>HYPERLINK("http://dx.doi.org/10.3390/genes11080867","http://dx.doi.org/10.3390/genes11080867")</f>
        <v>http://dx.doi.org/10.3390/genes11080867</v>
      </c>
      <c r="BG907" t="s">
        <v>74</v>
      </c>
      <c r="BH907" t="s">
        <v>74</v>
      </c>
      <c r="BI907">
        <v>12</v>
      </c>
      <c r="BJ907" t="s">
        <v>1387</v>
      </c>
      <c r="BK907" t="s">
        <v>100</v>
      </c>
      <c r="BL907" t="s">
        <v>1387</v>
      </c>
      <c r="BM907" t="s">
        <v>17801</v>
      </c>
      <c r="BN907">
        <v>32751814</v>
      </c>
      <c r="BO907" t="s">
        <v>2113</v>
      </c>
      <c r="BP907" t="s">
        <v>74</v>
      </c>
      <c r="BQ907" t="s">
        <v>74</v>
      </c>
      <c r="BR907" t="s">
        <v>104</v>
      </c>
      <c r="BS907" t="s">
        <v>17802</v>
      </c>
      <c r="BT907" t="str">
        <f>HYPERLINK("https%3A%2F%2Fwww.webofscience.com%2Fwos%2Fwoscc%2Ffull-record%2FWOS:000577826600001","View Full Record in Web of Science")</f>
        <v>View Full Record in Web of Science</v>
      </c>
    </row>
    <row r="908" spans="1:72" x14ac:dyDescent="0.15">
      <c r="A908" t="s">
        <v>72</v>
      </c>
      <c r="B908" t="s">
        <v>17803</v>
      </c>
      <c r="C908" t="s">
        <v>74</v>
      </c>
      <c r="D908" t="s">
        <v>74</v>
      </c>
      <c r="E908" t="s">
        <v>74</v>
      </c>
      <c r="F908" t="s">
        <v>17804</v>
      </c>
      <c r="G908" t="s">
        <v>74</v>
      </c>
      <c r="H908" t="s">
        <v>74</v>
      </c>
      <c r="I908" t="s">
        <v>17805</v>
      </c>
      <c r="J908" t="s">
        <v>1830</v>
      </c>
      <c r="K908" t="s">
        <v>74</v>
      </c>
      <c r="L908" t="s">
        <v>74</v>
      </c>
      <c r="M908" t="s">
        <v>78</v>
      </c>
      <c r="N908" t="s">
        <v>79</v>
      </c>
      <c r="O908" t="s">
        <v>74</v>
      </c>
      <c r="P908" t="s">
        <v>74</v>
      </c>
      <c r="Q908" t="s">
        <v>74</v>
      </c>
      <c r="R908" t="s">
        <v>74</v>
      </c>
      <c r="S908" t="s">
        <v>74</v>
      </c>
      <c r="T908" t="s">
        <v>17806</v>
      </c>
      <c r="U908" t="s">
        <v>17807</v>
      </c>
      <c r="V908" t="s">
        <v>17808</v>
      </c>
      <c r="W908" t="s">
        <v>17809</v>
      </c>
      <c r="X908" t="s">
        <v>17810</v>
      </c>
      <c r="Y908" t="s">
        <v>17811</v>
      </c>
      <c r="Z908" t="s">
        <v>17812</v>
      </c>
      <c r="AA908" t="s">
        <v>17813</v>
      </c>
      <c r="AB908" t="s">
        <v>17814</v>
      </c>
      <c r="AC908" t="s">
        <v>17815</v>
      </c>
      <c r="AD908" t="s">
        <v>17816</v>
      </c>
      <c r="AE908" t="s">
        <v>17817</v>
      </c>
      <c r="AF908" t="s">
        <v>74</v>
      </c>
      <c r="AG908">
        <v>52</v>
      </c>
      <c r="AH908">
        <v>15</v>
      </c>
      <c r="AI908">
        <v>15</v>
      </c>
      <c r="AJ908">
        <v>0</v>
      </c>
      <c r="AK908">
        <v>5</v>
      </c>
      <c r="AL908" t="s">
        <v>1710</v>
      </c>
      <c r="AM908" t="s">
        <v>609</v>
      </c>
      <c r="AN908" t="s">
        <v>1711</v>
      </c>
      <c r="AO908" t="s">
        <v>1843</v>
      </c>
      <c r="AP908" t="s">
        <v>1844</v>
      </c>
      <c r="AQ908" t="s">
        <v>74</v>
      </c>
      <c r="AR908" t="s">
        <v>1845</v>
      </c>
      <c r="AS908" t="s">
        <v>1846</v>
      </c>
      <c r="AT908" t="s">
        <v>894</v>
      </c>
      <c r="AU908">
        <v>2020</v>
      </c>
      <c r="AV908">
        <v>125</v>
      </c>
      <c r="AW908">
        <v>8</v>
      </c>
      <c r="AX908" t="s">
        <v>74</v>
      </c>
      <c r="AY908" t="s">
        <v>74</v>
      </c>
      <c r="AZ908" t="s">
        <v>74</v>
      </c>
      <c r="BA908" t="s">
        <v>74</v>
      </c>
      <c r="BB908" t="s">
        <v>74</v>
      </c>
      <c r="BC908" t="s">
        <v>74</v>
      </c>
      <c r="BD908" t="s">
        <v>17818</v>
      </c>
      <c r="BE908" t="s">
        <v>17819</v>
      </c>
      <c r="BF908" t="str">
        <f>HYPERLINK("http://dx.doi.org/10.1029/2020JA028128","http://dx.doi.org/10.1029/2020JA028128")</f>
        <v>http://dx.doi.org/10.1029/2020JA028128</v>
      </c>
      <c r="BG908" t="s">
        <v>74</v>
      </c>
      <c r="BH908" t="s">
        <v>74</v>
      </c>
      <c r="BI908">
        <v>24</v>
      </c>
      <c r="BJ908" t="s">
        <v>1849</v>
      </c>
      <c r="BK908" t="s">
        <v>100</v>
      </c>
      <c r="BL908" t="s">
        <v>1849</v>
      </c>
      <c r="BM908" t="s">
        <v>17820</v>
      </c>
      <c r="BN908" t="s">
        <v>74</v>
      </c>
      <c r="BO908" t="s">
        <v>17821</v>
      </c>
      <c r="BP908" t="s">
        <v>74</v>
      </c>
      <c r="BQ908" t="s">
        <v>74</v>
      </c>
      <c r="BR908" t="s">
        <v>104</v>
      </c>
      <c r="BS908" t="s">
        <v>17822</v>
      </c>
      <c r="BT908" t="str">
        <f>HYPERLINK("https%3A%2F%2Fwww.webofscience.com%2Fwos%2Fwoscc%2Ffull-record%2FWOS:000577125000035","View Full Record in Web of Science")</f>
        <v>View Full Record in Web of Science</v>
      </c>
    </row>
    <row r="909" spans="1:72" x14ac:dyDescent="0.15">
      <c r="A909" t="s">
        <v>72</v>
      </c>
      <c r="B909" t="s">
        <v>17823</v>
      </c>
      <c r="C909" t="s">
        <v>74</v>
      </c>
      <c r="D909" t="s">
        <v>74</v>
      </c>
      <c r="E909" t="s">
        <v>74</v>
      </c>
      <c r="F909" t="s">
        <v>17824</v>
      </c>
      <c r="G909" t="s">
        <v>74</v>
      </c>
      <c r="H909" t="s">
        <v>74</v>
      </c>
      <c r="I909" t="s">
        <v>17825</v>
      </c>
      <c r="J909" t="s">
        <v>1830</v>
      </c>
      <c r="K909" t="s">
        <v>74</v>
      </c>
      <c r="L909" t="s">
        <v>74</v>
      </c>
      <c r="M909" t="s">
        <v>78</v>
      </c>
      <c r="N909" t="s">
        <v>79</v>
      </c>
      <c r="O909" t="s">
        <v>74</v>
      </c>
      <c r="P909" t="s">
        <v>74</v>
      </c>
      <c r="Q909" t="s">
        <v>74</v>
      </c>
      <c r="R909" t="s">
        <v>74</v>
      </c>
      <c r="S909" t="s">
        <v>74</v>
      </c>
      <c r="T909" t="s">
        <v>74</v>
      </c>
      <c r="U909" t="s">
        <v>17826</v>
      </c>
      <c r="V909" t="s">
        <v>17827</v>
      </c>
      <c r="W909" t="s">
        <v>17828</v>
      </c>
      <c r="X909" t="s">
        <v>17829</v>
      </c>
      <c r="Y909" t="s">
        <v>17830</v>
      </c>
      <c r="Z909" t="s">
        <v>17831</v>
      </c>
      <c r="AA909" t="s">
        <v>17832</v>
      </c>
      <c r="AB909" t="s">
        <v>17833</v>
      </c>
      <c r="AC909" t="s">
        <v>17834</v>
      </c>
      <c r="AD909" t="s">
        <v>17835</v>
      </c>
      <c r="AE909" t="s">
        <v>17836</v>
      </c>
      <c r="AF909" t="s">
        <v>74</v>
      </c>
      <c r="AG909">
        <v>40</v>
      </c>
      <c r="AH909">
        <v>4</v>
      </c>
      <c r="AI909">
        <v>4</v>
      </c>
      <c r="AJ909">
        <v>1</v>
      </c>
      <c r="AK909">
        <v>10</v>
      </c>
      <c r="AL909" t="s">
        <v>1710</v>
      </c>
      <c r="AM909" t="s">
        <v>609</v>
      </c>
      <c r="AN909" t="s">
        <v>1711</v>
      </c>
      <c r="AO909" t="s">
        <v>1843</v>
      </c>
      <c r="AP909" t="s">
        <v>1844</v>
      </c>
      <c r="AQ909" t="s">
        <v>74</v>
      </c>
      <c r="AR909" t="s">
        <v>1845</v>
      </c>
      <c r="AS909" t="s">
        <v>1846</v>
      </c>
      <c r="AT909" t="s">
        <v>894</v>
      </c>
      <c r="AU909">
        <v>2020</v>
      </c>
      <c r="AV909">
        <v>125</v>
      </c>
      <c r="AW909">
        <v>8</v>
      </c>
      <c r="AX909" t="s">
        <v>74</v>
      </c>
      <c r="AY909" t="s">
        <v>74</v>
      </c>
      <c r="AZ909" t="s">
        <v>74</v>
      </c>
      <c r="BA909" t="s">
        <v>74</v>
      </c>
      <c r="BB909" t="s">
        <v>74</v>
      </c>
      <c r="BC909" t="s">
        <v>74</v>
      </c>
      <c r="BD909" t="s">
        <v>17837</v>
      </c>
      <c r="BE909" t="s">
        <v>17838</v>
      </c>
      <c r="BF909" t="str">
        <f>HYPERLINK("http://dx.doi.org/10.1029/2020JA027995","http://dx.doi.org/10.1029/2020JA027995")</f>
        <v>http://dx.doi.org/10.1029/2020JA027995</v>
      </c>
      <c r="BG909" t="s">
        <v>74</v>
      </c>
      <c r="BH909" t="s">
        <v>74</v>
      </c>
      <c r="BI909">
        <v>12</v>
      </c>
      <c r="BJ909" t="s">
        <v>1849</v>
      </c>
      <c r="BK909" t="s">
        <v>100</v>
      </c>
      <c r="BL909" t="s">
        <v>1849</v>
      </c>
      <c r="BM909" t="s">
        <v>17820</v>
      </c>
      <c r="BN909" t="s">
        <v>74</v>
      </c>
      <c r="BO909" t="s">
        <v>74</v>
      </c>
      <c r="BP909" t="s">
        <v>74</v>
      </c>
      <c r="BQ909" t="s">
        <v>74</v>
      </c>
      <c r="BR909" t="s">
        <v>104</v>
      </c>
      <c r="BS909" t="s">
        <v>17839</v>
      </c>
      <c r="BT909" t="str">
        <f>HYPERLINK("https%3A%2F%2Fwww.webofscience.com%2Fwos%2Fwoscc%2Ffull-record%2FWOS:000577125000058","View Full Record in Web of Science")</f>
        <v>View Full Record in Web of Science</v>
      </c>
    </row>
    <row r="910" spans="1:72" x14ac:dyDescent="0.15">
      <c r="A910" t="s">
        <v>72</v>
      </c>
      <c r="B910" t="s">
        <v>17840</v>
      </c>
      <c r="C910" t="s">
        <v>74</v>
      </c>
      <c r="D910" t="s">
        <v>74</v>
      </c>
      <c r="E910" t="s">
        <v>74</v>
      </c>
      <c r="F910" t="s">
        <v>17841</v>
      </c>
      <c r="G910" t="s">
        <v>74</v>
      </c>
      <c r="H910" t="s">
        <v>74</v>
      </c>
      <c r="I910" t="s">
        <v>17842</v>
      </c>
      <c r="J910" t="s">
        <v>1830</v>
      </c>
      <c r="K910" t="s">
        <v>74</v>
      </c>
      <c r="L910" t="s">
        <v>74</v>
      </c>
      <c r="M910" t="s">
        <v>78</v>
      </c>
      <c r="N910" t="s">
        <v>79</v>
      </c>
      <c r="O910" t="s">
        <v>74</v>
      </c>
      <c r="P910" t="s">
        <v>74</v>
      </c>
      <c r="Q910" t="s">
        <v>74</v>
      </c>
      <c r="R910" t="s">
        <v>74</v>
      </c>
      <c r="S910" t="s">
        <v>74</v>
      </c>
      <c r="T910" t="s">
        <v>74</v>
      </c>
      <c r="U910" t="s">
        <v>17843</v>
      </c>
      <c r="V910" t="s">
        <v>17844</v>
      </c>
      <c r="W910" t="s">
        <v>17845</v>
      </c>
      <c r="X910" t="s">
        <v>17846</v>
      </c>
      <c r="Y910" t="s">
        <v>17847</v>
      </c>
      <c r="Z910" t="s">
        <v>17848</v>
      </c>
      <c r="AA910" t="s">
        <v>17849</v>
      </c>
      <c r="AB910" t="s">
        <v>17850</v>
      </c>
      <c r="AC910" t="s">
        <v>17851</v>
      </c>
      <c r="AD910" t="s">
        <v>17852</v>
      </c>
      <c r="AE910" t="s">
        <v>17853</v>
      </c>
      <c r="AF910" t="s">
        <v>74</v>
      </c>
      <c r="AG910">
        <v>57</v>
      </c>
      <c r="AH910">
        <v>30</v>
      </c>
      <c r="AI910">
        <v>30</v>
      </c>
      <c r="AJ910">
        <v>0</v>
      </c>
      <c r="AK910">
        <v>18</v>
      </c>
      <c r="AL910" t="s">
        <v>1710</v>
      </c>
      <c r="AM910" t="s">
        <v>609</v>
      </c>
      <c r="AN910" t="s">
        <v>1711</v>
      </c>
      <c r="AO910" t="s">
        <v>1843</v>
      </c>
      <c r="AP910" t="s">
        <v>1844</v>
      </c>
      <c r="AQ910" t="s">
        <v>74</v>
      </c>
      <c r="AR910" t="s">
        <v>1845</v>
      </c>
      <c r="AS910" t="s">
        <v>1846</v>
      </c>
      <c r="AT910" t="s">
        <v>894</v>
      </c>
      <c r="AU910">
        <v>2020</v>
      </c>
      <c r="AV910">
        <v>125</v>
      </c>
      <c r="AW910">
        <v>8</v>
      </c>
      <c r="AX910" t="s">
        <v>74</v>
      </c>
      <c r="AY910" t="s">
        <v>74</v>
      </c>
      <c r="AZ910" t="s">
        <v>74</v>
      </c>
      <c r="BA910" t="s">
        <v>74</v>
      </c>
      <c r="BB910" t="s">
        <v>74</v>
      </c>
      <c r="BC910" t="s">
        <v>74</v>
      </c>
      <c r="BD910" t="s">
        <v>17854</v>
      </c>
      <c r="BE910" t="s">
        <v>17855</v>
      </c>
      <c r="BF910" t="str">
        <f>HYPERLINK("http://dx.doi.org/10.1029/2020JA028199","http://dx.doi.org/10.1029/2020JA028199")</f>
        <v>http://dx.doi.org/10.1029/2020JA028199</v>
      </c>
      <c r="BG910" t="s">
        <v>74</v>
      </c>
      <c r="BH910" t="s">
        <v>74</v>
      </c>
      <c r="BI910">
        <v>13</v>
      </c>
      <c r="BJ910" t="s">
        <v>1849</v>
      </c>
      <c r="BK910" t="s">
        <v>100</v>
      </c>
      <c r="BL910" t="s">
        <v>1849</v>
      </c>
      <c r="BM910" t="s">
        <v>17820</v>
      </c>
      <c r="BN910" t="s">
        <v>74</v>
      </c>
      <c r="BO910" t="s">
        <v>775</v>
      </c>
      <c r="BP910" t="s">
        <v>74</v>
      </c>
      <c r="BQ910" t="s">
        <v>74</v>
      </c>
      <c r="BR910" t="s">
        <v>104</v>
      </c>
      <c r="BS910" t="s">
        <v>17856</v>
      </c>
      <c r="BT910" t="str">
        <f>HYPERLINK("https%3A%2F%2Fwww.webofscience.com%2Fwos%2Fwoscc%2Ffull-record%2FWOS:000577125000050","View Full Record in Web of Science")</f>
        <v>View Full Record in Web of Science</v>
      </c>
    </row>
    <row r="911" spans="1:72" x14ac:dyDescent="0.15">
      <c r="A911" t="s">
        <v>72</v>
      </c>
      <c r="B911" t="s">
        <v>17857</v>
      </c>
      <c r="C911" t="s">
        <v>74</v>
      </c>
      <c r="D911" t="s">
        <v>74</v>
      </c>
      <c r="E911" t="s">
        <v>74</v>
      </c>
      <c r="F911" t="s">
        <v>17858</v>
      </c>
      <c r="G911" t="s">
        <v>74</v>
      </c>
      <c r="H911" t="s">
        <v>74</v>
      </c>
      <c r="I911" t="s">
        <v>17859</v>
      </c>
      <c r="J911" t="s">
        <v>1830</v>
      </c>
      <c r="K911" t="s">
        <v>74</v>
      </c>
      <c r="L911" t="s">
        <v>74</v>
      </c>
      <c r="M911" t="s">
        <v>78</v>
      </c>
      <c r="N911" t="s">
        <v>79</v>
      </c>
      <c r="O911" t="s">
        <v>74</v>
      </c>
      <c r="P911" t="s">
        <v>74</v>
      </c>
      <c r="Q911" t="s">
        <v>74</v>
      </c>
      <c r="R911" t="s">
        <v>74</v>
      </c>
      <c r="S911" t="s">
        <v>74</v>
      </c>
      <c r="T911" t="s">
        <v>74</v>
      </c>
      <c r="U911" t="s">
        <v>17860</v>
      </c>
      <c r="V911" t="s">
        <v>17861</v>
      </c>
      <c r="W911" t="s">
        <v>17862</v>
      </c>
      <c r="X911" t="s">
        <v>17863</v>
      </c>
      <c r="Y911" t="s">
        <v>17864</v>
      </c>
      <c r="Z911" t="s">
        <v>17865</v>
      </c>
      <c r="AA911" t="s">
        <v>17866</v>
      </c>
      <c r="AB911" t="s">
        <v>17867</v>
      </c>
      <c r="AC911" t="s">
        <v>17868</v>
      </c>
      <c r="AD911" t="s">
        <v>17869</v>
      </c>
      <c r="AE911" t="s">
        <v>17870</v>
      </c>
      <c r="AF911" t="s">
        <v>74</v>
      </c>
      <c r="AG911">
        <v>40</v>
      </c>
      <c r="AH911">
        <v>3</v>
      </c>
      <c r="AI911">
        <v>3</v>
      </c>
      <c r="AJ911">
        <v>0</v>
      </c>
      <c r="AK911">
        <v>4</v>
      </c>
      <c r="AL911" t="s">
        <v>1710</v>
      </c>
      <c r="AM911" t="s">
        <v>609</v>
      </c>
      <c r="AN911" t="s">
        <v>1711</v>
      </c>
      <c r="AO911" t="s">
        <v>1843</v>
      </c>
      <c r="AP911" t="s">
        <v>1844</v>
      </c>
      <c r="AQ911" t="s">
        <v>74</v>
      </c>
      <c r="AR911" t="s">
        <v>1845</v>
      </c>
      <c r="AS911" t="s">
        <v>1846</v>
      </c>
      <c r="AT911" t="s">
        <v>894</v>
      </c>
      <c r="AU911">
        <v>2020</v>
      </c>
      <c r="AV911">
        <v>125</v>
      </c>
      <c r="AW911">
        <v>8</v>
      </c>
      <c r="AX911" t="s">
        <v>74</v>
      </c>
      <c r="AY911" t="s">
        <v>74</v>
      </c>
      <c r="AZ911" t="s">
        <v>74</v>
      </c>
      <c r="BA911" t="s">
        <v>74</v>
      </c>
      <c r="BB911" t="s">
        <v>74</v>
      </c>
      <c r="BC911" t="s">
        <v>74</v>
      </c>
      <c r="BD911" t="s">
        <v>17871</v>
      </c>
      <c r="BE911" t="s">
        <v>17872</v>
      </c>
      <c r="BF911" t="str">
        <f>HYPERLINK("http://dx.doi.org/10.1029/2019JA027611","http://dx.doi.org/10.1029/2019JA027611")</f>
        <v>http://dx.doi.org/10.1029/2019JA027611</v>
      </c>
      <c r="BG911" t="s">
        <v>74</v>
      </c>
      <c r="BH911" t="s">
        <v>74</v>
      </c>
      <c r="BI911">
        <v>17</v>
      </c>
      <c r="BJ911" t="s">
        <v>1849</v>
      </c>
      <c r="BK911" t="s">
        <v>100</v>
      </c>
      <c r="BL911" t="s">
        <v>1849</v>
      </c>
      <c r="BM911" t="s">
        <v>17820</v>
      </c>
      <c r="BN911" t="s">
        <v>74</v>
      </c>
      <c r="BO911" t="s">
        <v>376</v>
      </c>
      <c r="BP911" t="s">
        <v>74</v>
      </c>
      <c r="BQ911" t="s">
        <v>74</v>
      </c>
      <c r="BR911" t="s">
        <v>104</v>
      </c>
      <c r="BS911" t="s">
        <v>17873</v>
      </c>
      <c r="BT911" t="str">
        <f>HYPERLINK("https%3A%2F%2Fwww.webofscience.com%2Fwos%2Fwoscc%2Ffull-record%2FWOS:000577125000052","View Full Record in Web of Science")</f>
        <v>View Full Record in Web of Science</v>
      </c>
    </row>
    <row r="912" spans="1:72" x14ac:dyDescent="0.15">
      <c r="A912" t="s">
        <v>72</v>
      </c>
      <c r="B912" t="s">
        <v>17874</v>
      </c>
      <c r="C912" t="s">
        <v>74</v>
      </c>
      <c r="D912" t="s">
        <v>74</v>
      </c>
      <c r="E912" t="s">
        <v>74</v>
      </c>
      <c r="F912" t="s">
        <v>17875</v>
      </c>
      <c r="G912" t="s">
        <v>74</v>
      </c>
      <c r="H912" t="s">
        <v>74</v>
      </c>
      <c r="I912" t="s">
        <v>17876</v>
      </c>
      <c r="J912" t="s">
        <v>1924</v>
      </c>
      <c r="K912" t="s">
        <v>74</v>
      </c>
      <c r="L912" t="s">
        <v>74</v>
      </c>
      <c r="M912" t="s">
        <v>78</v>
      </c>
      <c r="N912" t="s">
        <v>79</v>
      </c>
      <c r="O912" t="s">
        <v>74</v>
      </c>
      <c r="P912" t="s">
        <v>74</v>
      </c>
      <c r="Q912" t="s">
        <v>74</v>
      </c>
      <c r="R912" t="s">
        <v>74</v>
      </c>
      <c r="S912" t="s">
        <v>74</v>
      </c>
      <c r="T912" t="s">
        <v>17877</v>
      </c>
      <c r="U912" t="s">
        <v>17878</v>
      </c>
      <c r="V912" t="s">
        <v>17879</v>
      </c>
      <c r="W912" t="s">
        <v>17880</v>
      </c>
      <c r="X912" t="s">
        <v>17881</v>
      </c>
      <c r="Y912" t="s">
        <v>17882</v>
      </c>
      <c r="Z912" t="s">
        <v>17883</v>
      </c>
      <c r="AA912" t="s">
        <v>17884</v>
      </c>
      <c r="AB912" t="s">
        <v>17885</v>
      </c>
      <c r="AC912" t="s">
        <v>17886</v>
      </c>
      <c r="AD912" t="s">
        <v>17887</v>
      </c>
      <c r="AE912" t="s">
        <v>17888</v>
      </c>
      <c r="AF912" t="s">
        <v>74</v>
      </c>
      <c r="AG912">
        <v>131</v>
      </c>
      <c r="AH912">
        <v>33</v>
      </c>
      <c r="AI912">
        <v>33</v>
      </c>
      <c r="AJ912">
        <v>1</v>
      </c>
      <c r="AK912">
        <v>3</v>
      </c>
      <c r="AL912" t="s">
        <v>1710</v>
      </c>
      <c r="AM912" t="s">
        <v>609</v>
      </c>
      <c r="AN912" t="s">
        <v>1711</v>
      </c>
      <c r="AO912" t="s">
        <v>74</v>
      </c>
      <c r="AP912" t="s">
        <v>1937</v>
      </c>
      <c r="AQ912" t="s">
        <v>74</v>
      </c>
      <c r="AR912" t="s">
        <v>1938</v>
      </c>
      <c r="AS912" t="s">
        <v>1939</v>
      </c>
      <c r="AT912" t="s">
        <v>894</v>
      </c>
      <c r="AU912">
        <v>2020</v>
      </c>
      <c r="AV912">
        <v>21</v>
      </c>
      <c r="AW912">
        <v>8</v>
      </c>
      <c r="AX912" t="s">
        <v>74</v>
      </c>
      <c r="AY912" t="s">
        <v>74</v>
      </c>
      <c r="AZ912" t="s">
        <v>74</v>
      </c>
      <c r="BA912" t="s">
        <v>74</v>
      </c>
      <c r="BB912" t="s">
        <v>74</v>
      </c>
      <c r="BC912" t="s">
        <v>74</v>
      </c>
      <c r="BD912" t="s">
        <v>17889</v>
      </c>
      <c r="BE912" t="s">
        <v>17890</v>
      </c>
      <c r="BF912" t="str">
        <f>HYPERLINK("http://dx.doi.org/10.1029/2020GC009122","http://dx.doi.org/10.1029/2020GC009122")</f>
        <v>http://dx.doi.org/10.1029/2020GC009122</v>
      </c>
      <c r="BG912" t="s">
        <v>74</v>
      </c>
      <c r="BH912" t="s">
        <v>74</v>
      </c>
      <c r="BI912">
        <v>28</v>
      </c>
      <c r="BJ912" t="s">
        <v>1361</v>
      </c>
      <c r="BK912" t="s">
        <v>100</v>
      </c>
      <c r="BL912" t="s">
        <v>1361</v>
      </c>
      <c r="BM912" t="s">
        <v>17891</v>
      </c>
      <c r="BN912" t="s">
        <v>74</v>
      </c>
      <c r="BO912" t="s">
        <v>17892</v>
      </c>
      <c r="BP912" t="s">
        <v>74</v>
      </c>
      <c r="BQ912" t="s">
        <v>74</v>
      </c>
      <c r="BR912" t="s">
        <v>104</v>
      </c>
      <c r="BS912" t="s">
        <v>17893</v>
      </c>
      <c r="BT912" t="str">
        <f>HYPERLINK("https%3A%2F%2Fwww.webofscience.com%2Fwos%2Fwoscc%2Ffull-record%2FWOS:000577130200009","View Full Record in Web of Science")</f>
        <v>View Full Record in Web of Science</v>
      </c>
    </row>
    <row r="913" spans="1:72" x14ac:dyDescent="0.15">
      <c r="A913" t="s">
        <v>72</v>
      </c>
      <c r="B913" t="s">
        <v>17894</v>
      </c>
      <c r="C913" t="s">
        <v>74</v>
      </c>
      <c r="D913" t="s">
        <v>74</v>
      </c>
      <c r="E913" t="s">
        <v>74</v>
      </c>
      <c r="F913" t="s">
        <v>17895</v>
      </c>
      <c r="G913" t="s">
        <v>74</v>
      </c>
      <c r="H913" t="s">
        <v>74</v>
      </c>
      <c r="I913" t="s">
        <v>17896</v>
      </c>
      <c r="J913" t="s">
        <v>1747</v>
      </c>
      <c r="K913" t="s">
        <v>74</v>
      </c>
      <c r="L913" t="s">
        <v>74</v>
      </c>
      <c r="M913" t="s">
        <v>78</v>
      </c>
      <c r="N913" t="s">
        <v>79</v>
      </c>
      <c r="O913" t="s">
        <v>74</v>
      </c>
      <c r="P913" t="s">
        <v>74</v>
      </c>
      <c r="Q913" t="s">
        <v>74</v>
      </c>
      <c r="R913" t="s">
        <v>74</v>
      </c>
      <c r="S913" t="s">
        <v>74</v>
      </c>
      <c r="T913" t="s">
        <v>17897</v>
      </c>
      <c r="U913" t="s">
        <v>17898</v>
      </c>
      <c r="V913" t="s">
        <v>17899</v>
      </c>
      <c r="W913" t="s">
        <v>17900</v>
      </c>
      <c r="X913" t="s">
        <v>17901</v>
      </c>
      <c r="Y913" t="s">
        <v>11148</v>
      </c>
      <c r="Z913" t="s">
        <v>11149</v>
      </c>
      <c r="AA913" t="s">
        <v>17902</v>
      </c>
      <c r="AB913" t="s">
        <v>17903</v>
      </c>
      <c r="AC913" t="s">
        <v>17904</v>
      </c>
      <c r="AD913" t="s">
        <v>17905</v>
      </c>
      <c r="AE913" t="s">
        <v>17906</v>
      </c>
      <c r="AF913" t="s">
        <v>74</v>
      </c>
      <c r="AG913">
        <v>44</v>
      </c>
      <c r="AH913">
        <v>15</v>
      </c>
      <c r="AI913">
        <v>18</v>
      </c>
      <c r="AJ913">
        <v>0</v>
      </c>
      <c r="AK913">
        <v>18</v>
      </c>
      <c r="AL913" t="s">
        <v>1710</v>
      </c>
      <c r="AM913" t="s">
        <v>609</v>
      </c>
      <c r="AN913" t="s">
        <v>1711</v>
      </c>
      <c r="AO913" t="s">
        <v>1759</v>
      </c>
      <c r="AP913" t="s">
        <v>1760</v>
      </c>
      <c r="AQ913" t="s">
        <v>74</v>
      </c>
      <c r="AR913" t="s">
        <v>1761</v>
      </c>
      <c r="AS913" t="s">
        <v>1762</v>
      </c>
      <c r="AT913" t="s">
        <v>894</v>
      </c>
      <c r="AU913">
        <v>2020</v>
      </c>
      <c r="AV913">
        <v>125</v>
      </c>
      <c r="AW913">
        <v>8</v>
      </c>
      <c r="AX913" t="s">
        <v>74</v>
      </c>
      <c r="AY913" t="s">
        <v>74</v>
      </c>
      <c r="AZ913" t="s">
        <v>74</v>
      </c>
      <c r="BA913" t="s">
        <v>74</v>
      </c>
      <c r="BB913" t="s">
        <v>74</v>
      </c>
      <c r="BC913" t="s">
        <v>74</v>
      </c>
      <c r="BD913" t="s">
        <v>17907</v>
      </c>
      <c r="BE913" t="s">
        <v>17908</v>
      </c>
      <c r="BF913" t="str">
        <f>HYPERLINK("http://dx.doi.org/10.1029/2020JC016374","http://dx.doi.org/10.1029/2020JC016374")</f>
        <v>http://dx.doi.org/10.1029/2020JC016374</v>
      </c>
      <c r="BG913" t="s">
        <v>74</v>
      </c>
      <c r="BH913" t="s">
        <v>74</v>
      </c>
      <c r="BI913">
        <v>13</v>
      </c>
      <c r="BJ913" t="s">
        <v>1283</v>
      </c>
      <c r="BK913" t="s">
        <v>100</v>
      </c>
      <c r="BL913" t="s">
        <v>1283</v>
      </c>
      <c r="BM913" t="s">
        <v>17909</v>
      </c>
      <c r="BN913" t="s">
        <v>74</v>
      </c>
      <c r="BO913" t="s">
        <v>1259</v>
      </c>
      <c r="BP913" t="s">
        <v>74</v>
      </c>
      <c r="BQ913" t="s">
        <v>74</v>
      </c>
      <c r="BR913" t="s">
        <v>104</v>
      </c>
      <c r="BS913" t="s">
        <v>17910</v>
      </c>
      <c r="BT913" t="str">
        <f>HYPERLINK("https%3A%2F%2Fwww.webofscience.com%2Fwos%2Fwoscc%2Ffull-record%2FWOS:000577126400026","View Full Record in Web of Science")</f>
        <v>View Full Record in Web of Science</v>
      </c>
    </row>
    <row r="914" spans="1:72" x14ac:dyDescent="0.15">
      <c r="A914" t="s">
        <v>72</v>
      </c>
      <c r="B914" t="s">
        <v>17911</v>
      </c>
      <c r="C914" t="s">
        <v>74</v>
      </c>
      <c r="D914" t="s">
        <v>74</v>
      </c>
      <c r="E914" t="s">
        <v>74</v>
      </c>
      <c r="F914" t="s">
        <v>17912</v>
      </c>
      <c r="G914" t="s">
        <v>74</v>
      </c>
      <c r="H914" t="s">
        <v>74</v>
      </c>
      <c r="I914" t="s">
        <v>17913</v>
      </c>
      <c r="J914" t="s">
        <v>1747</v>
      </c>
      <c r="K914" t="s">
        <v>74</v>
      </c>
      <c r="L914" t="s">
        <v>74</v>
      </c>
      <c r="M914" t="s">
        <v>78</v>
      </c>
      <c r="N914" t="s">
        <v>79</v>
      </c>
      <c r="O914" t="s">
        <v>74</v>
      </c>
      <c r="P914" t="s">
        <v>74</v>
      </c>
      <c r="Q914" t="s">
        <v>74</v>
      </c>
      <c r="R914" t="s">
        <v>74</v>
      </c>
      <c r="S914" t="s">
        <v>74</v>
      </c>
      <c r="T914" t="s">
        <v>17914</v>
      </c>
      <c r="U914" t="s">
        <v>17915</v>
      </c>
      <c r="V914" t="s">
        <v>17916</v>
      </c>
      <c r="W914" t="s">
        <v>17917</v>
      </c>
      <c r="X914" t="s">
        <v>17918</v>
      </c>
      <c r="Y914" t="s">
        <v>17919</v>
      </c>
      <c r="Z914" t="s">
        <v>17920</v>
      </c>
      <c r="AA914" t="s">
        <v>17921</v>
      </c>
      <c r="AB914" t="s">
        <v>17922</v>
      </c>
      <c r="AC914" t="s">
        <v>17923</v>
      </c>
      <c r="AD914" t="s">
        <v>17924</v>
      </c>
      <c r="AE914" t="s">
        <v>17925</v>
      </c>
      <c r="AF914" t="s">
        <v>74</v>
      </c>
      <c r="AG914">
        <v>44</v>
      </c>
      <c r="AH914">
        <v>9</v>
      </c>
      <c r="AI914">
        <v>9</v>
      </c>
      <c r="AJ914">
        <v>0</v>
      </c>
      <c r="AK914">
        <v>6</v>
      </c>
      <c r="AL914" t="s">
        <v>1710</v>
      </c>
      <c r="AM914" t="s">
        <v>609</v>
      </c>
      <c r="AN914" t="s">
        <v>1711</v>
      </c>
      <c r="AO914" t="s">
        <v>1759</v>
      </c>
      <c r="AP914" t="s">
        <v>1760</v>
      </c>
      <c r="AQ914" t="s">
        <v>74</v>
      </c>
      <c r="AR914" t="s">
        <v>1761</v>
      </c>
      <c r="AS914" t="s">
        <v>1762</v>
      </c>
      <c r="AT914" t="s">
        <v>894</v>
      </c>
      <c r="AU914">
        <v>2020</v>
      </c>
      <c r="AV914">
        <v>125</v>
      </c>
      <c r="AW914">
        <v>8</v>
      </c>
      <c r="AX914" t="s">
        <v>74</v>
      </c>
      <c r="AY914" t="s">
        <v>74</v>
      </c>
      <c r="AZ914" t="s">
        <v>74</v>
      </c>
      <c r="BA914" t="s">
        <v>74</v>
      </c>
      <c r="BB914" t="s">
        <v>74</v>
      </c>
      <c r="BC914" t="s">
        <v>74</v>
      </c>
      <c r="BD914" t="s">
        <v>17926</v>
      </c>
      <c r="BE914" t="s">
        <v>17927</v>
      </c>
      <c r="BF914" t="str">
        <f>HYPERLINK("http://dx.doi.org/10.1029/2020JC016199","http://dx.doi.org/10.1029/2020JC016199")</f>
        <v>http://dx.doi.org/10.1029/2020JC016199</v>
      </c>
      <c r="BG914" t="s">
        <v>74</v>
      </c>
      <c r="BH914" t="s">
        <v>74</v>
      </c>
      <c r="BI914">
        <v>15</v>
      </c>
      <c r="BJ914" t="s">
        <v>1283</v>
      </c>
      <c r="BK914" t="s">
        <v>100</v>
      </c>
      <c r="BL914" t="s">
        <v>1283</v>
      </c>
      <c r="BM914" t="s">
        <v>17909</v>
      </c>
      <c r="BN914" t="s">
        <v>74</v>
      </c>
      <c r="BO914" t="s">
        <v>1259</v>
      </c>
      <c r="BP914" t="s">
        <v>74</v>
      </c>
      <c r="BQ914" t="s">
        <v>74</v>
      </c>
      <c r="BR914" t="s">
        <v>104</v>
      </c>
      <c r="BS914" t="s">
        <v>17928</v>
      </c>
      <c r="BT914" t="str">
        <f>HYPERLINK("https%3A%2F%2Fwww.webofscience.com%2Fwos%2Fwoscc%2Ffull-record%2FWOS:000577126400056","View Full Record in Web of Science")</f>
        <v>View Full Record in Web of Science</v>
      </c>
    </row>
    <row r="915" spans="1:72" x14ac:dyDescent="0.15">
      <c r="A915" t="s">
        <v>72</v>
      </c>
      <c r="B915" t="s">
        <v>17929</v>
      </c>
      <c r="C915" t="s">
        <v>74</v>
      </c>
      <c r="D915" t="s">
        <v>74</v>
      </c>
      <c r="E915" t="s">
        <v>74</v>
      </c>
      <c r="F915" t="s">
        <v>17930</v>
      </c>
      <c r="G915" t="s">
        <v>74</v>
      </c>
      <c r="H915" t="s">
        <v>74</v>
      </c>
      <c r="I915" t="s">
        <v>17931</v>
      </c>
      <c r="J915" t="s">
        <v>1747</v>
      </c>
      <c r="K915" t="s">
        <v>74</v>
      </c>
      <c r="L915" t="s">
        <v>74</v>
      </c>
      <c r="M915" t="s">
        <v>78</v>
      </c>
      <c r="N915" t="s">
        <v>79</v>
      </c>
      <c r="O915" t="s">
        <v>74</v>
      </c>
      <c r="P915" t="s">
        <v>74</v>
      </c>
      <c r="Q915" t="s">
        <v>74</v>
      </c>
      <c r="R915" t="s">
        <v>74</v>
      </c>
      <c r="S915" t="s">
        <v>74</v>
      </c>
      <c r="T915" t="s">
        <v>17932</v>
      </c>
      <c r="U915" t="s">
        <v>17933</v>
      </c>
      <c r="V915" t="s">
        <v>17934</v>
      </c>
      <c r="W915" t="s">
        <v>17935</v>
      </c>
      <c r="X915" t="s">
        <v>17936</v>
      </c>
      <c r="Y915" t="s">
        <v>17937</v>
      </c>
      <c r="Z915" t="s">
        <v>17938</v>
      </c>
      <c r="AA915" t="s">
        <v>17939</v>
      </c>
      <c r="AB915" t="s">
        <v>17940</v>
      </c>
      <c r="AC915" t="s">
        <v>17941</v>
      </c>
      <c r="AD915" t="s">
        <v>17942</v>
      </c>
      <c r="AE915" t="s">
        <v>17943</v>
      </c>
      <c r="AF915" t="s">
        <v>74</v>
      </c>
      <c r="AG915">
        <v>69</v>
      </c>
      <c r="AH915">
        <v>22</v>
      </c>
      <c r="AI915">
        <v>26</v>
      </c>
      <c r="AJ915">
        <v>0</v>
      </c>
      <c r="AK915">
        <v>11</v>
      </c>
      <c r="AL915" t="s">
        <v>1710</v>
      </c>
      <c r="AM915" t="s">
        <v>609</v>
      </c>
      <c r="AN915" t="s">
        <v>1711</v>
      </c>
      <c r="AO915" t="s">
        <v>1759</v>
      </c>
      <c r="AP915" t="s">
        <v>1760</v>
      </c>
      <c r="AQ915" t="s">
        <v>74</v>
      </c>
      <c r="AR915" t="s">
        <v>1761</v>
      </c>
      <c r="AS915" t="s">
        <v>1762</v>
      </c>
      <c r="AT915" t="s">
        <v>894</v>
      </c>
      <c r="AU915">
        <v>2020</v>
      </c>
      <c r="AV915">
        <v>125</v>
      </c>
      <c r="AW915">
        <v>8</v>
      </c>
      <c r="AX915" t="s">
        <v>74</v>
      </c>
      <c r="AY915" t="s">
        <v>74</v>
      </c>
      <c r="AZ915" t="s">
        <v>74</v>
      </c>
      <c r="BA915" t="s">
        <v>74</v>
      </c>
      <c r="BB915" t="s">
        <v>74</v>
      </c>
      <c r="BC915" t="s">
        <v>74</v>
      </c>
      <c r="BD915" t="s">
        <v>17944</v>
      </c>
      <c r="BE915" t="s">
        <v>17945</v>
      </c>
      <c r="BF915" t="str">
        <f>HYPERLINK("http://dx.doi.org/10.1029/2020JC016113","http://dx.doi.org/10.1029/2020JC016113")</f>
        <v>http://dx.doi.org/10.1029/2020JC016113</v>
      </c>
      <c r="BG915" t="s">
        <v>74</v>
      </c>
      <c r="BH915" t="s">
        <v>74</v>
      </c>
      <c r="BI915">
        <v>19</v>
      </c>
      <c r="BJ915" t="s">
        <v>1283</v>
      </c>
      <c r="BK915" t="s">
        <v>100</v>
      </c>
      <c r="BL915" t="s">
        <v>1283</v>
      </c>
      <c r="BM915" t="s">
        <v>17909</v>
      </c>
      <c r="BN915" t="s">
        <v>74</v>
      </c>
      <c r="BO915" t="s">
        <v>1876</v>
      </c>
      <c r="BP915" t="s">
        <v>74</v>
      </c>
      <c r="BQ915" t="s">
        <v>74</v>
      </c>
      <c r="BR915" t="s">
        <v>104</v>
      </c>
      <c r="BS915" t="s">
        <v>17946</v>
      </c>
      <c r="BT915" t="str">
        <f>HYPERLINK("https%3A%2F%2Fwww.webofscience.com%2Fwos%2Fwoscc%2Ffull-record%2FWOS:000577126400053","View Full Record in Web of Science")</f>
        <v>View Full Record in Web of Science</v>
      </c>
    </row>
    <row r="916" spans="1:72" x14ac:dyDescent="0.15">
      <c r="A916" t="s">
        <v>72</v>
      </c>
      <c r="B916" t="s">
        <v>17947</v>
      </c>
      <c r="C916" t="s">
        <v>74</v>
      </c>
      <c r="D916" t="s">
        <v>74</v>
      </c>
      <c r="E916" t="s">
        <v>74</v>
      </c>
      <c r="F916" t="s">
        <v>17948</v>
      </c>
      <c r="G916" t="s">
        <v>74</v>
      </c>
      <c r="H916" t="s">
        <v>74</v>
      </c>
      <c r="I916" t="s">
        <v>17949</v>
      </c>
      <c r="J916" t="s">
        <v>1747</v>
      </c>
      <c r="K916" t="s">
        <v>74</v>
      </c>
      <c r="L916" t="s">
        <v>74</v>
      </c>
      <c r="M916" t="s">
        <v>78</v>
      </c>
      <c r="N916" t="s">
        <v>79</v>
      </c>
      <c r="O916" t="s">
        <v>74</v>
      </c>
      <c r="P916" t="s">
        <v>74</v>
      </c>
      <c r="Q916" t="s">
        <v>74</v>
      </c>
      <c r="R916" t="s">
        <v>74</v>
      </c>
      <c r="S916" t="s">
        <v>74</v>
      </c>
      <c r="T916" t="s">
        <v>17950</v>
      </c>
      <c r="U916" t="s">
        <v>17951</v>
      </c>
      <c r="V916" t="s">
        <v>17952</v>
      </c>
      <c r="W916" t="s">
        <v>17953</v>
      </c>
      <c r="X916" t="s">
        <v>17954</v>
      </c>
      <c r="Y916" t="s">
        <v>17955</v>
      </c>
      <c r="Z916" t="s">
        <v>17956</v>
      </c>
      <c r="AA916" t="s">
        <v>17957</v>
      </c>
      <c r="AB916" t="s">
        <v>17958</v>
      </c>
      <c r="AC916" t="s">
        <v>17959</v>
      </c>
      <c r="AD916" t="s">
        <v>17960</v>
      </c>
      <c r="AE916" t="s">
        <v>17961</v>
      </c>
      <c r="AF916" t="s">
        <v>74</v>
      </c>
      <c r="AG916">
        <v>72</v>
      </c>
      <c r="AH916">
        <v>32</v>
      </c>
      <c r="AI916">
        <v>36</v>
      </c>
      <c r="AJ916">
        <v>2</v>
      </c>
      <c r="AK916">
        <v>19</v>
      </c>
      <c r="AL916" t="s">
        <v>1710</v>
      </c>
      <c r="AM916" t="s">
        <v>609</v>
      </c>
      <c r="AN916" t="s">
        <v>1711</v>
      </c>
      <c r="AO916" t="s">
        <v>1759</v>
      </c>
      <c r="AP916" t="s">
        <v>1760</v>
      </c>
      <c r="AQ916" t="s">
        <v>74</v>
      </c>
      <c r="AR916" t="s">
        <v>1761</v>
      </c>
      <c r="AS916" t="s">
        <v>1762</v>
      </c>
      <c r="AT916" t="s">
        <v>894</v>
      </c>
      <c r="AU916">
        <v>2020</v>
      </c>
      <c r="AV916">
        <v>125</v>
      </c>
      <c r="AW916">
        <v>8</v>
      </c>
      <c r="AX916" t="s">
        <v>74</v>
      </c>
      <c r="AY916" t="s">
        <v>74</v>
      </c>
      <c r="AZ916" t="s">
        <v>74</v>
      </c>
      <c r="BA916" t="s">
        <v>74</v>
      </c>
      <c r="BB916" t="s">
        <v>74</v>
      </c>
      <c r="BC916" t="s">
        <v>74</v>
      </c>
      <c r="BD916" t="s">
        <v>17962</v>
      </c>
      <c r="BE916" t="s">
        <v>17963</v>
      </c>
      <c r="BF916" t="str">
        <f>HYPERLINK("http://dx.doi.org/10.1029/2019JC015934","http://dx.doi.org/10.1029/2019JC015934")</f>
        <v>http://dx.doi.org/10.1029/2019JC015934</v>
      </c>
      <c r="BG916" t="s">
        <v>74</v>
      </c>
      <c r="BH916" t="s">
        <v>74</v>
      </c>
      <c r="BI916">
        <v>24</v>
      </c>
      <c r="BJ916" t="s">
        <v>1283</v>
      </c>
      <c r="BK916" t="s">
        <v>100</v>
      </c>
      <c r="BL916" t="s">
        <v>1283</v>
      </c>
      <c r="BM916" t="s">
        <v>17909</v>
      </c>
      <c r="BN916" t="s">
        <v>74</v>
      </c>
      <c r="BO916" t="s">
        <v>1188</v>
      </c>
      <c r="BP916" t="s">
        <v>74</v>
      </c>
      <c r="BQ916" t="s">
        <v>74</v>
      </c>
      <c r="BR916" t="s">
        <v>104</v>
      </c>
      <c r="BS916" t="s">
        <v>17964</v>
      </c>
      <c r="BT916" t="str">
        <f>HYPERLINK("https%3A%2F%2Fwww.webofscience.com%2Fwos%2Fwoscc%2Ffull-record%2FWOS:000577126400050","View Full Record in Web of Science")</f>
        <v>View Full Record in Web of Science</v>
      </c>
    </row>
    <row r="917" spans="1:72" x14ac:dyDescent="0.15">
      <c r="A917" t="s">
        <v>72</v>
      </c>
      <c r="B917" t="s">
        <v>17965</v>
      </c>
      <c r="C917" t="s">
        <v>74</v>
      </c>
      <c r="D917" t="s">
        <v>74</v>
      </c>
      <c r="E917" t="s">
        <v>74</v>
      </c>
      <c r="F917" t="s">
        <v>17966</v>
      </c>
      <c r="G917" t="s">
        <v>74</v>
      </c>
      <c r="H917" t="s">
        <v>74</v>
      </c>
      <c r="I917" t="s">
        <v>17967</v>
      </c>
      <c r="J917" t="s">
        <v>1747</v>
      </c>
      <c r="K917" t="s">
        <v>74</v>
      </c>
      <c r="L917" t="s">
        <v>74</v>
      </c>
      <c r="M917" t="s">
        <v>78</v>
      </c>
      <c r="N917" t="s">
        <v>79</v>
      </c>
      <c r="O917" t="s">
        <v>74</v>
      </c>
      <c r="P917" t="s">
        <v>74</v>
      </c>
      <c r="Q917" t="s">
        <v>74</v>
      </c>
      <c r="R917" t="s">
        <v>74</v>
      </c>
      <c r="S917" t="s">
        <v>74</v>
      </c>
      <c r="T917" t="s">
        <v>17968</v>
      </c>
      <c r="U917" t="s">
        <v>17969</v>
      </c>
      <c r="V917" t="s">
        <v>17970</v>
      </c>
      <c r="W917" t="s">
        <v>17971</v>
      </c>
      <c r="X917" t="s">
        <v>17972</v>
      </c>
      <c r="Y917" t="s">
        <v>17973</v>
      </c>
      <c r="Z917" t="s">
        <v>17974</v>
      </c>
      <c r="AA917" t="s">
        <v>17975</v>
      </c>
      <c r="AB917" t="s">
        <v>17976</v>
      </c>
      <c r="AC917" t="s">
        <v>17977</v>
      </c>
      <c r="AD917" t="s">
        <v>17978</v>
      </c>
      <c r="AE917" t="s">
        <v>17979</v>
      </c>
      <c r="AF917" t="s">
        <v>74</v>
      </c>
      <c r="AG917">
        <v>53</v>
      </c>
      <c r="AH917">
        <v>7</v>
      </c>
      <c r="AI917">
        <v>7</v>
      </c>
      <c r="AJ917">
        <v>2</v>
      </c>
      <c r="AK917">
        <v>11</v>
      </c>
      <c r="AL917" t="s">
        <v>1710</v>
      </c>
      <c r="AM917" t="s">
        <v>609</v>
      </c>
      <c r="AN917" t="s">
        <v>1711</v>
      </c>
      <c r="AO917" t="s">
        <v>1759</v>
      </c>
      <c r="AP917" t="s">
        <v>1760</v>
      </c>
      <c r="AQ917" t="s">
        <v>74</v>
      </c>
      <c r="AR917" t="s">
        <v>1761</v>
      </c>
      <c r="AS917" t="s">
        <v>1762</v>
      </c>
      <c r="AT917" t="s">
        <v>894</v>
      </c>
      <c r="AU917">
        <v>2020</v>
      </c>
      <c r="AV917">
        <v>125</v>
      </c>
      <c r="AW917">
        <v>8</v>
      </c>
      <c r="AX917" t="s">
        <v>74</v>
      </c>
      <c r="AY917" t="s">
        <v>74</v>
      </c>
      <c r="AZ917" t="s">
        <v>74</v>
      </c>
      <c r="BA917" t="s">
        <v>74</v>
      </c>
      <c r="BB917" t="s">
        <v>74</v>
      </c>
      <c r="BC917" t="s">
        <v>74</v>
      </c>
      <c r="BD917" t="s">
        <v>17980</v>
      </c>
      <c r="BE917" t="s">
        <v>17981</v>
      </c>
      <c r="BF917" t="str">
        <f>HYPERLINK("http://dx.doi.org/10.1029/2020JC016354","http://dx.doi.org/10.1029/2020JC016354")</f>
        <v>http://dx.doi.org/10.1029/2020JC016354</v>
      </c>
      <c r="BG917" t="s">
        <v>74</v>
      </c>
      <c r="BH917" t="s">
        <v>74</v>
      </c>
      <c r="BI917">
        <v>16</v>
      </c>
      <c r="BJ917" t="s">
        <v>1283</v>
      </c>
      <c r="BK917" t="s">
        <v>100</v>
      </c>
      <c r="BL917" t="s">
        <v>1283</v>
      </c>
      <c r="BM917" t="s">
        <v>17909</v>
      </c>
      <c r="BN917" t="s">
        <v>74</v>
      </c>
      <c r="BO917" t="s">
        <v>376</v>
      </c>
      <c r="BP917" t="s">
        <v>74</v>
      </c>
      <c r="BQ917" t="s">
        <v>74</v>
      </c>
      <c r="BR917" t="s">
        <v>104</v>
      </c>
      <c r="BS917" t="s">
        <v>17982</v>
      </c>
      <c r="BT917" t="str">
        <f>HYPERLINK("https%3A%2F%2Fwww.webofscience.com%2Fwos%2Fwoscc%2Ffull-record%2FWOS:000577126400055","View Full Record in Web of Science")</f>
        <v>View Full Record in Web of Science</v>
      </c>
    </row>
    <row r="918" spans="1:72" x14ac:dyDescent="0.15">
      <c r="A918" t="s">
        <v>72</v>
      </c>
      <c r="B918" t="s">
        <v>17983</v>
      </c>
      <c r="C918" t="s">
        <v>74</v>
      </c>
      <c r="D918" t="s">
        <v>74</v>
      </c>
      <c r="E918" t="s">
        <v>74</v>
      </c>
      <c r="F918" t="s">
        <v>17984</v>
      </c>
      <c r="G918" t="s">
        <v>74</v>
      </c>
      <c r="H918" t="s">
        <v>74</v>
      </c>
      <c r="I918" t="s">
        <v>17985</v>
      </c>
      <c r="J918" t="s">
        <v>1747</v>
      </c>
      <c r="K918" t="s">
        <v>74</v>
      </c>
      <c r="L918" t="s">
        <v>74</v>
      </c>
      <c r="M918" t="s">
        <v>78</v>
      </c>
      <c r="N918" t="s">
        <v>79</v>
      </c>
      <c r="O918" t="s">
        <v>74</v>
      </c>
      <c r="P918" t="s">
        <v>74</v>
      </c>
      <c r="Q918" t="s">
        <v>74</v>
      </c>
      <c r="R918" t="s">
        <v>74</v>
      </c>
      <c r="S918" t="s">
        <v>74</v>
      </c>
      <c r="T918" t="s">
        <v>74</v>
      </c>
      <c r="U918" t="s">
        <v>17986</v>
      </c>
      <c r="V918" t="s">
        <v>17987</v>
      </c>
      <c r="W918" t="s">
        <v>17988</v>
      </c>
      <c r="X918" t="s">
        <v>17989</v>
      </c>
      <c r="Y918" t="s">
        <v>17990</v>
      </c>
      <c r="Z918" t="s">
        <v>17991</v>
      </c>
      <c r="AA918" t="s">
        <v>17992</v>
      </c>
      <c r="AB918" t="s">
        <v>17993</v>
      </c>
      <c r="AC918" t="s">
        <v>17994</v>
      </c>
      <c r="AD918" t="s">
        <v>17995</v>
      </c>
      <c r="AE918" t="s">
        <v>17996</v>
      </c>
      <c r="AF918" t="s">
        <v>74</v>
      </c>
      <c r="AG918">
        <v>77</v>
      </c>
      <c r="AH918">
        <v>57</v>
      </c>
      <c r="AI918">
        <v>60</v>
      </c>
      <c r="AJ918">
        <v>13</v>
      </c>
      <c r="AK918">
        <v>90</v>
      </c>
      <c r="AL918" t="s">
        <v>1710</v>
      </c>
      <c r="AM918" t="s">
        <v>609</v>
      </c>
      <c r="AN918" t="s">
        <v>1711</v>
      </c>
      <c r="AO918" t="s">
        <v>1759</v>
      </c>
      <c r="AP918" t="s">
        <v>1760</v>
      </c>
      <c r="AQ918" t="s">
        <v>74</v>
      </c>
      <c r="AR918" t="s">
        <v>1761</v>
      </c>
      <c r="AS918" t="s">
        <v>1762</v>
      </c>
      <c r="AT918" t="s">
        <v>894</v>
      </c>
      <c r="AU918">
        <v>2020</v>
      </c>
      <c r="AV918">
        <v>125</v>
      </c>
      <c r="AW918">
        <v>8</v>
      </c>
      <c r="AX918" t="s">
        <v>74</v>
      </c>
      <c r="AY918" t="s">
        <v>74</v>
      </c>
      <c r="AZ918" t="s">
        <v>74</v>
      </c>
      <c r="BA918" t="s">
        <v>74</v>
      </c>
      <c r="BB918" t="s">
        <v>74</v>
      </c>
      <c r="BC918" t="s">
        <v>74</v>
      </c>
      <c r="BD918" t="s">
        <v>17997</v>
      </c>
      <c r="BE918" t="s">
        <v>17998</v>
      </c>
      <c r="BF918" t="str">
        <f>HYPERLINK("http://dx.doi.org/10.1029/2020JC016518","http://dx.doi.org/10.1029/2020JC016518")</f>
        <v>http://dx.doi.org/10.1029/2020JC016518</v>
      </c>
      <c r="BG918" t="s">
        <v>74</v>
      </c>
      <c r="BH918" t="s">
        <v>74</v>
      </c>
      <c r="BI918">
        <v>19</v>
      </c>
      <c r="BJ918" t="s">
        <v>1283</v>
      </c>
      <c r="BK918" t="s">
        <v>100</v>
      </c>
      <c r="BL918" t="s">
        <v>1283</v>
      </c>
      <c r="BM918" t="s">
        <v>17909</v>
      </c>
      <c r="BN918" t="s">
        <v>74</v>
      </c>
      <c r="BO918" t="s">
        <v>376</v>
      </c>
      <c r="BP918" t="s">
        <v>74</v>
      </c>
      <c r="BQ918" t="s">
        <v>74</v>
      </c>
      <c r="BR918" t="s">
        <v>104</v>
      </c>
      <c r="BS918" t="s">
        <v>17999</v>
      </c>
      <c r="BT918" t="str">
        <f>HYPERLINK("https%3A%2F%2Fwww.webofscience.com%2Fwos%2Fwoscc%2Ffull-record%2FWOS:000577126400027","View Full Record in Web of Science")</f>
        <v>View Full Record in Web of Science</v>
      </c>
    </row>
    <row r="919" spans="1:72" x14ac:dyDescent="0.15">
      <c r="A919" t="s">
        <v>72</v>
      </c>
      <c r="B919" t="s">
        <v>18000</v>
      </c>
      <c r="C919" t="s">
        <v>74</v>
      </c>
      <c r="D919" t="s">
        <v>74</v>
      </c>
      <c r="E919" t="s">
        <v>74</v>
      </c>
      <c r="F919" t="s">
        <v>18001</v>
      </c>
      <c r="G919" t="s">
        <v>74</v>
      </c>
      <c r="H919" t="s">
        <v>74</v>
      </c>
      <c r="I919" t="s">
        <v>18002</v>
      </c>
      <c r="J919" t="s">
        <v>1747</v>
      </c>
      <c r="K919" t="s">
        <v>74</v>
      </c>
      <c r="L919" t="s">
        <v>74</v>
      </c>
      <c r="M919" t="s">
        <v>78</v>
      </c>
      <c r="N919" t="s">
        <v>79</v>
      </c>
      <c r="O919" t="s">
        <v>74</v>
      </c>
      <c r="P919" t="s">
        <v>74</v>
      </c>
      <c r="Q919" t="s">
        <v>74</v>
      </c>
      <c r="R919" t="s">
        <v>74</v>
      </c>
      <c r="S919" t="s">
        <v>74</v>
      </c>
      <c r="T919" t="s">
        <v>18003</v>
      </c>
      <c r="U919" t="s">
        <v>18004</v>
      </c>
      <c r="V919" t="s">
        <v>18005</v>
      </c>
      <c r="W919" t="s">
        <v>18006</v>
      </c>
      <c r="X919" t="s">
        <v>18007</v>
      </c>
      <c r="Y919" t="s">
        <v>18008</v>
      </c>
      <c r="Z919" t="s">
        <v>18009</v>
      </c>
      <c r="AA919" t="s">
        <v>18010</v>
      </c>
      <c r="AB919" t="s">
        <v>18011</v>
      </c>
      <c r="AC919" t="s">
        <v>18012</v>
      </c>
      <c r="AD919" t="s">
        <v>18013</v>
      </c>
      <c r="AE919" t="s">
        <v>18014</v>
      </c>
      <c r="AF919" t="s">
        <v>74</v>
      </c>
      <c r="AG919">
        <v>66</v>
      </c>
      <c r="AH919">
        <v>20</v>
      </c>
      <c r="AI919">
        <v>22</v>
      </c>
      <c r="AJ919">
        <v>3</v>
      </c>
      <c r="AK919">
        <v>25</v>
      </c>
      <c r="AL919" t="s">
        <v>1710</v>
      </c>
      <c r="AM919" t="s">
        <v>609</v>
      </c>
      <c r="AN919" t="s">
        <v>1711</v>
      </c>
      <c r="AO919" t="s">
        <v>1759</v>
      </c>
      <c r="AP919" t="s">
        <v>1760</v>
      </c>
      <c r="AQ919" t="s">
        <v>74</v>
      </c>
      <c r="AR919" t="s">
        <v>1761</v>
      </c>
      <c r="AS919" t="s">
        <v>1762</v>
      </c>
      <c r="AT919" t="s">
        <v>894</v>
      </c>
      <c r="AU919">
        <v>2020</v>
      </c>
      <c r="AV919">
        <v>125</v>
      </c>
      <c r="AW919">
        <v>8</v>
      </c>
      <c r="AX919" t="s">
        <v>74</v>
      </c>
      <c r="AY919" t="s">
        <v>74</v>
      </c>
      <c r="AZ919" t="s">
        <v>74</v>
      </c>
      <c r="BA919" t="s">
        <v>74</v>
      </c>
      <c r="BB919" t="s">
        <v>74</v>
      </c>
      <c r="BC919" t="s">
        <v>74</v>
      </c>
      <c r="BD919" t="s">
        <v>18015</v>
      </c>
      <c r="BE919" t="s">
        <v>18016</v>
      </c>
      <c r="BF919" t="str">
        <f>HYPERLINK("http://dx.doi.org/10.1029/2020JC016115","http://dx.doi.org/10.1029/2020JC016115")</f>
        <v>http://dx.doi.org/10.1029/2020JC016115</v>
      </c>
      <c r="BG919" t="s">
        <v>74</v>
      </c>
      <c r="BH919" t="s">
        <v>74</v>
      </c>
      <c r="BI919">
        <v>24</v>
      </c>
      <c r="BJ919" t="s">
        <v>1283</v>
      </c>
      <c r="BK919" t="s">
        <v>100</v>
      </c>
      <c r="BL919" t="s">
        <v>1283</v>
      </c>
      <c r="BM919" t="s">
        <v>17909</v>
      </c>
      <c r="BN919" t="s">
        <v>74</v>
      </c>
      <c r="BO919" t="s">
        <v>1259</v>
      </c>
      <c r="BP919" t="s">
        <v>74</v>
      </c>
      <c r="BQ919" t="s">
        <v>74</v>
      </c>
      <c r="BR919" t="s">
        <v>104</v>
      </c>
      <c r="BS919" t="s">
        <v>18017</v>
      </c>
      <c r="BT919" t="str">
        <f>HYPERLINK("https%3A%2F%2Fwww.webofscience.com%2Fwos%2Fwoscc%2Ffull-record%2FWOS:000577126400016","View Full Record in Web of Science")</f>
        <v>View Full Record in Web of Science</v>
      </c>
    </row>
    <row r="920" spans="1:72" x14ac:dyDescent="0.15">
      <c r="A920" t="s">
        <v>72</v>
      </c>
      <c r="B920" t="s">
        <v>18018</v>
      </c>
      <c r="C920" t="s">
        <v>74</v>
      </c>
      <c r="D920" t="s">
        <v>74</v>
      </c>
      <c r="E920" t="s">
        <v>74</v>
      </c>
      <c r="F920" t="s">
        <v>18019</v>
      </c>
      <c r="G920" t="s">
        <v>74</v>
      </c>
      <c r="H920" t="s">
        <v>74</v>
      </c>
      <c r="I920" t="s">
        <v>18020</v>
      </c>
      <c r="J920" t="s">
        <v>1747</v>
      </c>
      <c r="K920" t="s">
        <v>74</v>
      </c>
      <c r="L920" t="s">
        <v>74</v>
      </c>
      <c r="M920" t="s">
        <v>78</v>
      </c>
      <c r="N920" t="s">
        <v>79</v>
      </c>
      <c r="O920" t="s">
        <v>74</v>
      </c>
      <c r="P920" t="s">
        <v>74</v>
      </c>
      <c r="Q920" t="s">
        <v>74</v>
      </c>
      <c r="R920" t="s">
        <v>74</v>
      </c>
      <c r="S920" t="s">
        <v>74</v>
      </c>
      <c r="T920" t="s">
        <v>18021</v>
      </c>
      <c r="U920" t="s">
        <v>18022</v>
      </c>
      <c r="V920" t="s">
        <v>18023</v>
      </c>
      <c r="W920" t="s">
        <v>18024</v>
      </c>
      <c r="X920" t="s">
        <v>18025</v>
      </c>
      <c r="Y920" t="s">
        <v>18026</v>
      </c>
      <c r="Z920" t="s">
        <v>18027</v>
      </c>
      <c r="AA920" t="s">
        <v>18028</v>
      </c>
      <c r="AB920" t="s">
        <v>18029</v>
      </c>
      <c r="AC920" t="s">
        <v>18030</v>
      </c>
      <c r="AD920" t="s">
        <v>18031</v>
      </c>
      <c r="AE920" t="s">
        <v>18032</v>
      </c>
      <c r="AF920" t="s">
        <v>74</v>
      </c>
      <c r="AG920">
        <v>73</v>
      </c>
      <c r="AH920">
        <v>9</v>
      </c>
      <c r="AI920">
        <v>9</v>
      </c>
      <c r="AJ920">
        <v>2</v>
      </c>
      <c r="AK920">
        <v>9</v>
      </c>
      <c r="AL920" t="s">
        <v>1710</v>
      </c>
      <c r="AM920" t="s">
        <v>609</v>
      </c>
      <c r="AN920" t="s">
        <v>1711</v>
      </c>
      <c r="AO920" t="s">
        <v>1759</v>
      </c>
      <c r="AP920" t="s">
        <v>1760</v>
      </c>
      <c r="AQ920" t="s">
        <v>74</v>
      </c>
      <c r="AR920" t="s">
        <v>1761</v>
      </c>
      <c r="AS920" t="s">
        <v>1762</v>
      </c>
      <c r="AT920" t="s">
        <v>894</v>
      </c>
      <c r="AU920">
        <v>2020</v>
      </c>
      <c r="AV920">
        <v>125</v>
      </c>
      <c r="AW920">
        <v>8</v>
      </c>
      <c r="AX920" t="s">
        <v>74</v>
      </c>
      <c r="AY920" t="s">
        <v>74</v>
      </c>
      <c r="AZ920" t="s">
        <v>74</v>
      </c>
      <c r="BA920" t="s">
        <v>74</v>
      </c>
      <c r="BB920" t="s">
        <v>74</v>
      </c>
      <c r="BC920" t="s">
        <v>74</v>
      </c>
      <c r="BD920" t="s">
        <v>18033</v>
      </c>
      <c r="BE920" t="s">
        <v>18034</v>
      </c>
      <c r="BF920" t="str">
        <f>HYPERLINK("http://dx.doi.org/10.1029/2020JC016109","http://dx.doi.org/10.1029/2020JC016109")</f>
        <v>http://dx.doi.org/10.1029/2020JC016109</v>
      </c>
      <c r="BG920" t="s">
        <v>74</v>
      </c>
      <c r="BH920" t="s">
        <v>74</v>
      </c>
      <c r="BI920">
        <v>21</v>
      </c>
      <c r="BJ920" t="s">
        <v>1283</v>
      </c>
      <c r="BK920" t="s">
        <v>100</v>
      </c>
      <c r="BL920" t="s">
        <v>1283</v>
      </c>
      <c r="BM920" t="s">
        <v>17909</v>
      </c>
      <c r="BN920" t="s">
        <v>74</v>
      </c>
      <c r="BO920" t="s">
        <v>1876</v>
      </c>
      <c r="BP920" t="s">
        <v>74</v>
      </c>
      <c r="BQ920" t="s">
        <v>74</v>
      </c>
      <c r="BR920" t="s">
        <v>104</v>
      </c>
      <c r="BS920" t="s">
        <v>18035</v>
      </c>
      <c r="BT920" t="str">
        <f>HYPERLINK("https%3A%2F%2Fwww.webofscience.com%2Fwos%2Fwoscc%2Ffull-record%2FWOS:000577126400052","View Full Record in Web of Science")</f>
        <v>View Full Record in Web of Science</v>
      </c>
    </row>
    <row r="921" spans="1:72" x14ac:dyDescent="0.15">
      <c r="A921" t="s">
        <v>72</v>
      </c>
      <c r="B921" t="s">
        <v>18036</v>
      </c>
      <c r="C921" t="s">
        <v>74</v>
      </c>
      <c r="D921" t="s">
        <v>74</v>
      </c>
      <c r="E921" t="s">
        <v>74</v>
      </c>
      <c r="F921" t="s">
        <v>18037</v>
      </c>
      <c r="G921" t="s">
        <v>74</v>
      </c>
      <c r="H921" t="s">
        <v>74</v>
      </c>
      <c r="I921" t="s">
        <v>18038</v>
      </c>
      <c r="J921" t="s">
        <v>1747</v>
      </c>
      <c r="K921" t="s">
        <v>74</v>
      </c>
      <c r="L921" t="s">
        <v>74</v>
      </c>
      <c r="M921" t="s">
        <v>78</v>
      </c>
      <c r="N921" t="s">
        <v>79</v>
      </c>
      <c r="O921" t="s">
        <v>74</v>
      </c>
      <c r="P921" t="s">
        <v>74</v>
      </c>
      <c r="Q921" t="s">
        <v>74</v>
      </c>
      <c r="R921" t="s">
        <v>74</v>
      </c>
      <c r="S921" t="s">
        <v>74</v>
      </c>
      <c r="T921" t="s">
        <v>18039</v>
      </c>
      <c r="U921" t="s">
        <v>18040</v>
      </c>
      <c r="V921" t="s">
        <v>18041</v>
      </c>
      <c r="W921" t="s">
        <v>18042</v>
      </c>
      <c r="X921" t="s">
        <v>16543</v>
      </c>
      <c r="Y921" t="s">
        <v>18043</v>
      </c>
      <c r="Z921" t="s">
        <v>18044</v>
      </c>
      <c r="AA921" t="s">
        <v>74</v>
      </c>
      <c r="AB921" t="s">
        <v>18045</v>
      </c>
      <c r="AC921" t="s">
        <v>18046</v>
      </c>
      <c r="AD921" t="s">
        <v>18047</v>
      </c>
      <c r="AE921" t="s">
        <v>18048</v>
      </c>
      <c r="AF921" t="s">
        <v>74</v>
      </c>
      <c r="AG921">
        <v>39</v>
      </c>
      <c r="AH921">
        <v>9</v>
      </c>
      <c r="AI921">
        <v>9</v>
      </c>
      <c r="AJ921">
        <v>0</v>
      </c>
      <c r="AK921">
        <v>6</v>
      </c>
      <c r="AL921" t="s">
        <v>1710</v>
      </c>
      <c r="AM921" t="s">
        <v>609</v>
      </c>
      <c r="AN921" t="s">
        <v>1711</v>
      </c>
      <c r="AO921" t="s">
        <v>1759</v>
      </c>
      <c r="AP921" t="s">
        <v>1760</v>
      </c>
      <c r="AQ921" t="s">
        <v>74</v>
      </c>
      <c r="AR921" t="s">
        <v>1761</v>
      </c>
      <c r="AS921" t="s">
        <v>1762</v>
      </c>
      <c r="AT921" t="s">
        <v>894</v>
      </c>
      <c r="AU921">
        <v>2020</v>
      </c>
      <c r="AV921">
        <v>125</v>
      </c>
      <c r="AW921">
        <v>8</v>
      </c>
      <c r="AX921" t="s">
        <v>74</v>
      </c>
      <c r="AY921" t="s">
        <v>74</v>
      </c>
      <c r="AZ921" t="s">
        <v>74</v>
      </c>
      <c r="BA921" t="s">
        <v>74</v>
      </c>
      <c r="BB921" t="s">
        <v>74</v>
      </c>
      <c r="BC921" t="s">
        <v>74</v>
      </c>
      <c r="BD921" t="s">
        <v>18049</v>
      </c>
      <c r="BE921" t="s">
        <v>18050</v>
      </c>
      <c r="BF921" t="str">
        <f>HYPERLINK("http://dx.doi.org/10.1029/2019JC015420","http://dx.doi.org/10.1029/2019JC015420")</f>
        <v>http://dx.doi.org/10.1029/2019JC015420</v>
      </c>
      <c r="BG921" t="s">
        <v>74</v>
      </c>
      <c r="BH921" t="s">
        <v>74</v>
      </c>
      <c r="BI921">
        <v>18</v>
      </c>
      <c r="BJ921" t="s">
        <v>1283</v>
      </c>
      <c r="BK921" t="s">
        <v>100</v>
      </c>
      <c r="BL921" t="s">
        <v>1283</v>
      </c>
      <c r="BM921" t="s">
        <v>17909</v>
      </c>
      <c r="BN921" t="s">
        <v>74</v>
      </c>
      <c r="BO921" t="s">
        <v>376</v>
      </c>
      <c r="BP921" t="s">
        <v>74</v>
      </c>
      <c r="BQ921" t="s">
        <v>74</v>
      </c>
      <c r="BR921" t="s">
        <v>104</v>
      </c>
      <c r="BS921" t="s">
        <v>18051</v>
      </c>
      <c r="BT921" t="str">
        <f>HYPERLINK("https%3A%2F%2Fwww.webofscience.com%2Fwos%2Fwoscc%2Ffull-record%2FWOS:000577126400004","View Full Record in Web of Science")</f>
        <v>View Full Record in Web of Science</v>
      </c>
    </row>
    <row r="922" spans="1:72" x14ac:dyDescent="0.15">
      <c r="A922" t="s">
        <v>72</v>
      </c>
      <c r="B922" t="s">
        <v>18052</v>
      </c>
      <c r="C922" t="s">
        <v>74</v>
      </c>
      <c r="D922" t="s">
        <v>74</v>
      </c>
      <c r="E922" t="s">
        <v>74</v>
      </c>
      <c r="F922" t="s">
        <v>18053</v>
      </c>
      <c r="G922" t="s">
        <v>74</v>
      </c>
      <c r="H922" t="s">
        <v>74</v>
      </c>
      <c r="I922" t="s">
        <v>18054</v>
      </c>
      <c r="J922" t="s">
        <v>7877</v>
      </c>
      <c r="K922" t="s">
        <v>74</v>
      </c>
      <c r="L922" t="s">
        <v>74</v>
      </c>
      <c r="M922" t="s">
        <v>78</v>
      </c>
      <c r="N922" t="s">
        <v>79</v>
      </c>
      <c r="O922" t="s">
        <v>74</v>
      </c>
      <c r="P922" t="s">
        <v>74</v>
      </c>
      <c r="Q922" t="s">
        <v>74</v>
      </c>
      <c r="R922" t="s">
        <v>74</v>
      </c>
      <c r="S922" t="s">
        <v>74</v>
      </c>
      <c r="T922" t="s">
        <v>18055</v>
      </c>
      <c r="U922" t="s">
        <v>18056</v>
      </c>
      <c r="V922" t="s">
        <v>18057</v>
      </c>
      <c r="W922" t="s">
        <v>18058</v>
      </c>
      <c r="X922" t="s">
        <v>18059</v>
      </c>
      <c r="Y922" t="s">
        <v>18060</v>
      </c>
      <c r="Z922" t="s">
        <v>18061</v>
      </c>
      <c r="AA922" t="s">
        <v>18062</v>
      </c>
      <c r="AB922" t="s">
        <v>18063</v>
      </c>
      <c r="AC922" t="s">
        <v>18064</v>
      </c>
      <c r="AD922" t="s">
        <v>18065</v>
      </c>
      <c r="AE922" t="s">
        <v>18066</v>
      </c>
      <c r="AF922" t="s">
        <v>74</v>
      </c>
      <c r="AG922">
        <v>51</v>
      </c>
      <c r="AH922">
        <v>10</v>
      </c>
      <c r="AI922">
        <v>10</v>
      </c>
      <c r="AJ922">
        <v>2</v>
      </c>
      <c r="AK922">
        <v>17</v>
      </c>
      <c r="AL922" t="s">
        <v>2085</v>
      </c>
      <c r="AM922" t="s">
        <v>2086</v>
      </c>
      <c r="AN922" t="s">
        <v>2087</v>
      </c>
      <c r="AO922" t="s">
        <v>74</v>
      </c>
      <c r="AP922" t="s">
        <v>7890</v>
      </c>
      <c r="AQ922" t="s">
        <v>74</v>
      </c>
      <c r="AR922" t="s">
        <v>7891</v>
      </c>
      <c r="AS922" t="s">
        <v>7892</v>
      </c>
      <c r="AT922" t="s">
        <v>894</v>
      </c>
      <c r="AU922">
        <v>2020</v>
      </c>
      <c r="AV922">
        <v>11</v>
      </c>
      <c r="AW922">
        <v>8</v>
      </c>
      <c r="AX922" t="s">
        <v>74</v>
      </c>
      <c r="AY922" t="s">
        <v>74</v>
      </c>
      <c r="AZ922" t="s">
        <v>74</v>
      </c>
      <c r="BA922" t="s">
        <v>74</v>
      </c>
      <c r="BB922" t="s">
        <v>74</v>
      </c>
      <c r="BC922" t="s">
        <v>74</v>
      </c>
      <c r="BD922">
        <v>873</v>
      </c>
      <c r="BE922" t="s">
        <v>18067</v>
      </c>
      <c r="BF922" t="str">
        <f>HYPERLINK("http://dx.doi.org/10.3390/genes11080873","http://dx.doi.org/10.3390/genes11080873")</f>
        <v>http://dx.doi.org/10.3390/genes11080873</v>
      </c>
      <c r="BG922" t="s">
        <v>74</v>
      </c>
      <c r="BH922" t="s">
        <v>74</v>
      </c>
      <c r="BI922">
        <v>17</v>
      </c>
      <c r="BJ922" t="s">
        <v>1387</v>
      </c>
      <c r="BK922" t="s">
        <v>100</v>
      </c>
      <c r="BL922" t="s">
        <v>1387</v>
      </c>
      <c r="BM922" t="s">
        <v>18068</v>
      </c>
      <c r="BN922">
        <v>32752049</v>
      </c>
      <c r="BO922" t="s">
        <v>989</v>
      </c>
      <c r="BP922" t="s">
        <v>74</v>
      </c>
      <c r="BQ922" t="s">
        <v>74</v>
      </c>
      <c r="BR922" t="s">
        <v>104</v>
      </c>
      <c r="BS922" t="s">
        <v>18069</v>
      </c>
      <c r="BT922" t="str">
        <f>HYPERLINK("https%3A%2F%2Fwww.webofscience.com%2Fwos%2Fwoscc%2Ffull-record%2FWOS:000577809500001","View Full Record in Web of Science")</f>
        <v>View Full Record in Web of Science</v>
      </c>
    </row>
    <row r="923" spans="1:72" x14ac:dyDescent="0.15">
      <c r="A923" t="s">
        <v>72</v>
      </c>
      <c r="B923" t="s">
        <v>18070</v>
      </c>
      <c r="C923" t="s">
        <v>74</v>
      </c>
      <c r="D923" t="s">
        <v>74</v>
      </c>
      <c r="E923" t="s">
        <v>74</v>
      </c>
      <c r="F923" t="s">
        <v>18071</v>
      </c>
      <c r="G923" t="s">
        <v>74</v>
      </c>
      <c r="H923" t="s">
        <v>74</v>
      </c>
      <c r="I923" t="s">
        <v>18072</v>
      </c>
      <c r="J923" t="s">
        <v>7210</v>
      </c>
      <c r="K923" t="s">
        <v>74</v>
      </c>
      <c r="L923" t="s">
        <v>74</v>
      </c>
      <c r="M923" t="s">
        <v>78</v>
      </c>
      <c r="N923" t="s">
        <v>79</v>
      </c>
      <c r="O923" t="s">
        <v>74</v>
      </c>
      <c r="P923" t="s">
        <v>74</v>
      </c>
      <c r="Q923" t="s">
        <v>74</v>
      </c>
      <c r="R923" t="s">
        <v>74</v>
      </c>
      <c r="S923" t="s">
        <v>74</v>
      </c>
      <c r="T923" t="s">
        <v>18073</v>
      </c>
      <c r="U923" t="s">
        <v>18074</v>
      </c>
      <c r="V923" t="s">
        <v>18075</v>
      </c>
      <c r="W923" t="s">
        <v>18076</v>
      </c>
      <c r="X923" t="s">
        <v>18077</v>
      </c>
      <c r="Y923" t="s">
        <v>18078</v>
      </c>
      <c r="Z923" t="s">
        <v>18079</v>
      </c>
      <c r="AA923" t="s">
        <v>18080</v>
      </c>
      <c r="AB923" t="s">
        <v>18081</v>
      </c>
      <c r="AC923" t="s">
        <v>18082</v>
      </c>
      <c r="AD923" t="s">
        <v>18083</v>
      </c>
      <c r="AE923" t="s">
        <v>18084</v>
      </c>
      <c r="AF923" t="s">
        <v>74</v>
      </c>
      <c r="AG923">
        <v>63</v>
      </c>
      <c r="AH923">
        <v>5</v>
      </c>
      <c r="AI923">
        <v>6</v>
      </c>
      <c r="AJ923">
        <v>5</v>
      </c>
      <c r="AK923">
        <v>28</v>
      </c>
      <c r="AL923" t="s">
        <v>1522</v>
      </c>
      <c r="AM923" t="s">
        <v>1407</v>
      </c>
      <c r="AN923" t="s">
        <v>1523</v>
      </c>
      <c r="AO923" t="s">
        <v>7223</v>
      </c>
      <c r="AP923" t="s">
        <v>7224</v>
      </c>
      <c r="AQ923" t="s">
        <v>74</v>
      </c>
      <c r="AR923" t="s">
        <v>7225</v>
      </c>
      <c r="AS923" t="s">
        <v>7226</v>
      </c>
      <c r="AT923" t="s">
        <v>894</v>
      </c>
      <c r="AU923">
        <v>2020</v>
      </c>
      <c r="AV923">
        <v>178</v>
      </c>
      <c r="AW923" t="s">
        <v>74</v>
      </c>
      <c r="AX923" t="s">
        <v>74</v>
      </c>
      <c r="AY923" t="s">
        <v>74</v>
      </c>
      <c r="AZ923" t="s">
        <v>489</v>
      </c>
      <c r="BA923" t="s">
        <v>74</v>
      </c>
      <c r="BB923" t="s">
        <v>74</v>
      </c>
      <c r="BC923" t="s">
        <v>74</v>
      </c>
      <c r="BD923">
        <v>104853</v>
      </c>
      <c r="BE923" t="s">
        <v>18085</v>
      </c>
      <c r="BF923" t="str">
        <f>HYPERLINK("http://dx.doi.org/10.1016/j.dsr2.2020.104853","http://dx.doi.org/10.1016/j.dsr2.2020.104853")</f>
        <v>http://dx.doi.org/10.1016/j.dsr2.2020.104853</v>
      </c>
      <c r="BG923" t="s">
        <v>74</v>
      </c>
      <c r="BH923" t="s">
        <v>74</v>
      </c>
      <c r="BI923">
        <v>13</v>
      </c>
      <c r="BJ923" t="s">
        <v>1283</v>
      </c>
      <c r="BK923" t="s">
        <v>100</v>
      </c>
      <c r="BL923" t="s">
        <v>1283</v>
      </c>
      <c r="BM923" t="s">
        <v>17584</v>
      </c>
      <c r="BN923" t="s">
        <v>74</v>
      </c>
      <c r="BO923" t="s">
        <v>1188</v>
      </c>
      <c r="BP923" t="s">
        <v>74</v>
      </c>
      <c r="BQ923" t="s">
        <v>74</v>
      </c>
      <c r="BR923" t="s">
        <v>104</v>
      </c>
      <c r="BS923" t="s">
        <v>18086</v>
      </c>
      <c r="BT923" t="str">
        <f>HYPERLINK("https%3A%2F%2Fwww.webofscience.com%2Fwos%2Fwoscc%2Ffull-record%2FWOS:000576667900001","View Full Record in Web of Science")</f>
        <v>View Full Record in Web of Science</v>
      </c>
    </row>
    <row r="924" spans="1:72" x14ac:dyDescent="0.15">
      <c r="A924" t="s">
        <v>72</v>
      </c>
      <c r="B924" t="s">
        <v>18087</v>
      </c>
      <c r="C924" t="s">
        <v>74</v>
      </c>
      <c r="D924" t="s">
        <v>74</v>
      </c>
      <c r="E924" t="s">
        <v>74</v>
      </c>
      <c r="F924" t="s">
        <v>18088</v>
      </c>
      <c r="G924" t="s">
        <v>74</v>
      </c>
      <c r="H924" t="s">
        <v>74</v>
      </c>
      <c r="I924" t="s">
        <v>18089</v>
      </c>
      <c r="J924" t="s">
        <v>7210</v>
      </c>
      <c r="K924" t="s">
        <v>74</v>
      </c>
      <c r="L924" t="s">
        <v>74</v>
      </c>
      <c r="M924" t="s">
        <v>78</v>
      </c>
      <c r="N924" t="s">
        <v>79</v>
      </c>
      <c r="O924" t="s">
        <v>74</v>
      </c>
      <c r="P924" t="s">
        <v>74</v>
      </c>
      <c r="Q924" t="s">
        <v>74</v>
      </c>
      <c r="R924" t="s">
        <v>74</v>
      </c>
      <c r="S924" t="s">
        <v>74</v>
      </c>
      <c r="T924" t="s">
        <v>18090</v>
      </c>
      <c r="U924" t="s">
        <v>18091</v>
      </c>
      <c r="V924" t="s">
        <v>18092</v>
      </c>
      <c r="W924" t="s">
        <v>18093</v>
      </c>
      <c r="X924" t="s">
        <v>18094</v>
      </c>
      <c r="Y924" t="s">
        <v>18095</v>
      </c>
      <c r="Z924" t="s">
        <v>18096</v>
      </c>
      <c r="AA924" t="s">
        <v>18097</v>
      </c>
      <c r="AB924" t="s">
        <v>18098</v>
      </c>
      <c r="AC924" t="s">
        <v>18099</v>
      </c>
      <c r="AD924" t="s">
        <v>18099</v>
      </c>
      <c r="AE924" t="s">
        <v>18100</v>
      </c>
      <c r="AF924" t="s">
        <v>74</v>
      </c>
      <c r="AG924">
        <v>69</v>
      </c>
      <c r="AH924">
        <v>0</v>
      </c>
      <c r="AI924">
        <v>0</v>
      </c>
      <c r="AJ924">
        <v>1</v>
      </c>
      <c r="AK924">
        <v>5</v>
      </c>
      <c r="AL924" t="s">
        <v>1522</v>
      </c>
      <c r="AM924" t="s">
        <v>1407</v>
      </c>
      <c r="AN924" t="s">
        <v>1523</v>
      </c>
      <c r="AO924" t="s">
        <v>7223</v>
      </c>
      <c r="AP924" t="s">
        <v>7224</v>
      </c>
      <c r="AQ924" t="s">
        <v>74</v>
      </c>
      <c r="AR924" t="s">
        <v>7225</v>
      </c>
      <c r="AS924" t="s">
        <v>7226</v>
      </c>
      <c r="AT924" t="s">
        <v>894</v>
      </c>
      <c r="AU924">
        <v>2020</v>
      </c>
      <c r="AV924">
        <v>178</v>
      </c>
      <c r="AW924" t="s">
        <v>74</v>
      </c>
      <c r="AX924" t="s">
        <v>74</v>
      </c>
      <c r="AY924" t="s">
        <v>74</v>
      </c>
      <c r="AZ924" t="s">
        <v>489</v>
      </c>
      <c r="BA924" t="s">
        <v>74</v>
      </c>
      <c r="BB924" t="s">
        <v>74</v>
      </c>
      <c r="BC924" t="s">
        <v>74</v>
      </c>
      <c r="BD924">
        <v>104746</v>
      </c>
      <c r="BE924" t="s">
        <v>18101</v>
      </c>
      <c r="BF924" t="str">
        <f>HYPERLINK("http://dx.doi.org/10.1016/j.dsr2.2020.104746","http://dx.doi.org/10.1016/j.dsr2.2020.104746")</f>
        <v>http://dx.doi.org/10.1016/j.dsr2.2020.104746</v>
      </c>
      <c r="BG924" t="s">
        <v>74</v>
      </c>
      <c r="BH924" t="s">
        <v>74</v>
      </c>
      <c r="BI924">
        <v>10</v>
      </c>
      <c r="BJ924" t="s">
        <v>1283</v>
      </c>
      <c r="BK924" t="s">
        <v>100</v>
      </c>
      <c r="BL924" t="s">
        <v>1283</v>
      </c>
      <c r="BM924" t="s">
        <v>17584</v>
      </c>
      <c r="BN924" t="s">
        <v>74</v>
      </c>
      <c r="BO924" t="s">
        <v>74</v>
      </c>
      <c r="BP924" t="s">
        <v>74</v>
      </c>
      <c r="BQ924" t="s">
        <v>74</v>
      </c>
      <c r="BR924" t="s">
        <v>104</v>
      </c>
      <c r="BS924" t="s">
        <v>18102</v>
      </c>
      <c r="BT924" t="str">
        <f>HYPERLINK("https%3A%2F%2Fwww.webofscience.com%2Fwos%2Fwoscc%2Ffull-record%2FWOS:000576667900004","View Full Record in Web of Science")</f>
        <v>View Full Record in Web of Science</v>
      </c>
    </row>
    <row r="925" spans="1:72" x14ac:dyDescent="0.15">
      <c r="A925" t="s">
        <v>72</v>
      </c>
      <c r="B925" t="s">
        <v>18103</v>
      </c>
      <c r="C925" t="s">
        <v>74</v>
      </c>
      <c r="D925" t="s">
        <v>74</v>
      </c>
      <c r="E925" t="s">
        <v>74</v>
      </c>
      <c r="F925" t="s">
        <v>18104</v>
      </c>
      <c r="G925" t="s">
        <v>74</v>
      </c>
      <c r="H925" t="s">
        <v>74</v>
      </c>
      <c r="I925" t="s">
        <v>18105</v>
      </c>
      <c r="J925" t="s">
        <v>7210</v>
      </c>
      <c r="K925" t="s">
        <v>74</v>
      </c>
      <c r="L925" t="s">
        <v>74</v>
      </c>
      <c r="M925" t="s">
        <v>78</v>
      </c>
      <c r="N925" t="s">
        <v>79</v>
      </c>
      <c r="O925" t="s">
        <v>74</v>
      </c>
      <c r="P925" t="s">
        <v>74</v>
      </c>
      <c r="Q925" t="s">
        <v>74</v>
      </c>
      <c r="R925" t="s">
        <v>74</v>
      </c>
      <c r="S925" t="s">
        <v>74</v>
      </c>
      <c r="T925" t="s">
        <v>18106</v>
      </c>
      <c r="U925" t="s">
        <v>18107</v>
      </c>
      <c r="V925" t="s">
        <v>18108</v>
      </c>
      <c r="W925" t="s">
        <v>18109</v>
      </c>
      <c r="X925" t="s">
        <v>18110</v>
      </c>
      <c r="Y925" t="s">
        <v>18111</v>
      </c>
      <c r="Z925" t="s">
        <v>18112</v>
      </c>
      <c r="AA925" t="s">
        <v>74</v>
      </c>
      <c r="AB925" t="s">
        <v>18113</v>
      </c>
      <c r="AC925" t="s">
        <v>17580</v>
      </c>
      <c r="AD925" t="s">
        <v>17581</v>
      </c>
      <c r="AE925" t="s">
        <v>18114</v>
      </c>
      <c r="AF925" t="s">
        <v>74</v>
      </c>
      <c r="AG925">
        <v>34</v>
      </c>
      <c r="AH925">
        <v>6</v>
      </c>
      <c r="AI925">
        <v>7</v>
      </c>
      <c r="AJ925">
        <v>0</v>
      </c>
      <c r="AK925">
        <v>8</v>
      </c>
      <c r="AL925" t="s">
        <v>1522</v>
      </c>
      <c r="AM925" t="s">
        <v>1407</v>
      </c>
      <c r="AN925" t="s">
        <v>1523</v>
      </c>
      <c r="AO925" t="s">
        <v>7223</v>
      </c>
      <c r="AP925" t="s">
        <v>7224</v>
      </c>
      <c r="AQ925" t="s">
        <v>74</v>
      </c>
      <c r="AR925" t="s">
        <v>7225</v>
      </c>
      <c r="AS925" t="s">
        <v>7226</v>
      </c>
      <c r="AT925" t="s">
        <v>894</v>
      </c>
      <c r="AU925">
        <v>2020</v>
      </c>
      <c r="AV925">
        <v>178</v>
      </c>
      <c r="AW925" t="s">
        <v>74</v>
      </c>
      <c r="AX925" t="s">
        <v>74</v>
      </c>
      <c r="AY925" t="s">
        <v>74</v>
      </c>
      <c r="AZ925" t="s">
        <v>489</v>
      </c>
      <c r="BA925" t="s">
        <v>74</v>
      </c>
      <c r="BB925" t="s">
        <v>74</v>
      </c>
      <c r="BC925" t="s">
        <v>74</v>
      </c>
      <c r="BD925">
        <v>104852</v>
      </c>
      <c r="BE925" t="s">
        <v>18115</v>
      </c>
      <c r="BF925" t="str">
        <f>HYPERLINK("http://dx.doi.org/10.1016/j.dsr2.2020.104852","http://dx.doi.org/10.1016/j.dsr2.2020.104852")</f>
        <v>http://dx.doi.org/10.1016/j.dsr2.2020.104852</v>
      </c>
      <c r="BG925" t="s">
        <v>74</v>
      </c>
      <c r="BH925" t="s">
        <v>74</v>
      </c>
      <c r="BI925">
        <v>10</v>
      </c>
      <c r="BJ925" t="s">
        <v>1283</v>
      </c>
      <c r="BK925" t="s">
        <v>100</v>
      </c>
      <c r="BL925" t="s">
        <v>1283</v>
      </c>
      <c r="BM925" t="s">
        <v>17584</v>
      </c>
      <c r="BN925" t="s">
        <v>74</v>
      </c>
      <c r="BO925" t="s">
        <v>74</v>
      </c>
      <c r="BP925" t="s">
        <v>74</v>
      </c>
      <c r="BQ925" t="s">
        <v>74</v>
      </c>
      <c r="BR925" t="s">
        <v>104</v>
      </c>
      <c r="BS925" t="s">
        <v>18116</v>
      </c>
      <c r="BT925" t="str">
        <f>HYPERLINK("https%3A%2F%2Fwww.webofscience.com%2Fwos%2Fwoscc%2Ffull-record%2FWOS:000576667900003","View Full Record in Web of Science")</f>
        <v>View Full Record in Web of Science</v>
      </c>
    </row>
    <row r="926" spans="1:72" x14ac:dyDescent="0.15">
      <c r="A926" t="s">
        <v>72</v>
      </c>
      <c r="B926" t="s">
        <v>18117</v>
      </c>
      <c r="C926" t="s">
        <v>74</v>
      </c>
      <c r="D926" t="s">
        <v>74</v>
      </c>
      <c r="E926" t="s">
        <v>74</v>
      </c>
      <c r="F926" t="s">
        <v>18118</v>
      </c>
      <c r="G926" t="s">
        <v>74</v>
      </c>
      <c r="H926" t="s">
        <v>74</v>
      </c>
      <c r="I926" t="s">
        <v>18119</v>
      </c>
      <c r="J926" t="s">
        <v>7125</v>
      </c>
      <c r="K926" t="s">
        <v>74</v>
      </c>
      <c r="L926" t="s">
        <v>74</v>
      </c>
      <c r="M926" t="s">
        <v>78</v>
      </c>
      <c r="N926" t="s">
        <v>79</v>
      </c>
      <c r="O926" t="s">
        <v>74</v>
      </c>
      <c r="P926" t="s">
        <v>74</v>
      </c>
      <c r="Q926" t="s">
        <v>74</v>
      </c>
      <c r="R926" t="s">
        <v>74</v>
      </c>
      <c r="S926" t="s">
        <v>74</v>
      </c>
      <c r="T926" t="s">
        <v>18120</v>
      </c>
      <c r="U926" t="s">
        <v>18121</v>
      </c>
      <c r="V926" t="s">
        <v>18122</v>
      </c>
      <c r="W926" t="s">
        <v>18123</v>
      </c>
      <c r="X926" t="s">
        <v>1268</v>
      </c>
      <c r="Y926" t="s">
        <v>18124</v>
      </c>
      <c r="Z926" t="s">
        <v>3604</v>
      </c>
      <c r="AA926" t="s">
        <v>18125</v>
      </c>
      <c r="AB926" t="s">
        <v>18126</v>
      </c>
      <c r="AC926" t="s">
        <v>18127</v>
      </c>
      <c r="AD926" t="s">
        <v>1274</v>
      </c>
      <c r="AE926" t="s">
        <v>18128</v>
      </c>
      <c r="AF926" t="s">
        <v>74</v>
      </c>
      <c r="AG926">
        <v>14</v>
      </c>
      <c r="AH926">
        <v>4</v>
      </c>
      <c r="AI926">
        <v>4</v>
      </c>
      <c r="AJ926">
        <v>0</v>
      </c>
      <c r="AK926">
        <v>1</v>
      </c>
      <c r="AL926" t="s">
        <v>7137</v>
      </c>
      <c r="AM926" t="s">
        <v>7138</v>
      </c>
      <c r="AN926" t="s">
        <v>7139</v>
      </c>
      <c r="AO926" t="s">
        <v>7140</v>
      </c>
      <c r="AP926" t="s">
        <v>74</v>
      </c>
      <c r="AQ926" t="s">
        <v>74</v>
      </c>
      <c r="AR926" t="s">
        <v>7141</v>
      </c>
      <c r="AS926" t="s">
        <v>7142</v>
      </c>
      <c r="AT926" t="s">
        <v>18129</v>
      </c>
      <c r="AU926">
        <v>2020</v>
      </c>
      <c r="AV926">
        <v>20</v>
      </c>
      <c r="AW926">
        <v>5</v>
      </c>
      <c r="AX926" t="s">
        <v>74</v>
      </c>
      <c r="AY926" t="s">
        <v>74</v>
      </c>
      <c r="AZ926" t="s">
        <v>74</v>
      </c>
      <c r="BA926" t="s">
        <v>74</v>
      </c>
      <c r="BB926" t="s">
        <v>74</v>
      </c>
      <c r="BC926" t="s">
        <v>74</v>
      </c>
      <c r="BD926" t="s">
        <v>18130</v>
      </c>
      <c r="BE926" t="s">
        <v>18131</v>
      </c>
      <c r="BF926" t="str">
        <f>HYPERLINK("http://dx.doi.org/10.2205/2020ES000717","http://dx.doi.org/10.2205/2020ES000717")</f>
        <v>http://dx.doi.org/10.2205/2020ES000717</v>
      </c>
      <c r="BG926" t="s">
        <v>74</v>
      </c>
      <c r="BH926" t="s">
        <v>74</v>
      </c>
      <c r="BI926">
        <v>6</v>
      </c>
      <c r="BJ926" t="s">
        <v>534</v>
      </c>
      <c r="BK926" t="s">
        <v>1214</v>
      </c>
      <c r="BL926" t="s">
        <v>535</v>
      </c>
      <c r="BM926" t="s">
        <v>18132</v>
      </c>
      <c r="BN926" t="s">
        <v>74</v>
      </c>
      <c r="BO926" t="s">
        <v>1432</v>
      </c>
      <c r="BP926" t="s">
        <v>74</v>
      </c>
      <c r="BQ926" t="s">
        <v>74</v>
      </c>
      <c r="BR926" t="s">
        <v>104</v>
      </c>
      <c r="BS926" t="s">
        <v>18133</v>
      </c>
      <c r="BT926" t="str">
        <f>HYPERLINK("https%3A%2F%2Fwww.webofscience.com%2Fwos%2Fwoscc%2Ffull-record%2FWOS:000576680100004","View Full Record in Web of Science")</f>
        <v>View Full Record in Web of Science</v>
      </c>
    </row>
    <row r="927" spans="1:72" x14ac:dyDescent="0.15">
      <c r="A927" t="s">
        <v>72</v>
      </c>
      <c r="B927" t="s">
        <v>18134</v>
      </c>
      <c r="C927" t="s">
        <v>74</v>
      </c>
      <c r="D927" t="s">
        <v>74</v>
      </c>
      <c r="E927" t="s">
        <v>74</v>
      </c>
      <c r="F927" t="s">
        <v>18135</v>
      </c>
      <c r="G927" t="s">
        <v>74</v>
      </c>
      <c r="H927" t="s">
        <v>74</v>
      </c>
      <c r="I927" t="s">
        <v>18136</v>
      </c>
      <c r="J927" t="s">
        <v>2996</v>
      </c>
      <c r="K927" t="s">
        <v>74</v>
      </c>
      <c r="L927" t="s">
        <v>74</v>
      </c>
      <c r="M927" t="s">
        <v>78</v>
      </c>
      <c r="N927" t="s">
        <v>79</v>
      </c>
      <c r="O927" t="s">
        <v>74</v>
      </c>
      <c r="P927" t="s">
        <v>74</v>
      </c>
      <c r="Q927" t="s">
        <v>74</v>
      </c>
      <c r="R927" t="s">
        <v>74</v>
      </c>
      <c r="S927" t="s">
        <v>74</v>
      </c>
      <c r="T927" t="s">
        <v>18137</v>
      </c>
      <c r="U927" t="s">
        <v>18138</v>
      </c>
      <c r="V927" t="s">
        <v>18139</v>
      </c>
      <c r="W927" t="s">
        <v>18140</v>
      </c>
      <c r="X927" t="s">
        <v>18141</v>
      </c>
      <c r="Y927" t="s">
        <v>18142</v>
      </c>
      <c r="Z927" t="s">
        <v>18143</v>
      </c>
      <c r="AA927" t="s">
        <v>18144</v>
      </c>
      <c r="AB927" t="s">
        <v>18145</v>
      </c>
      <c r="AC927" t="s">
        <v>18146</v>
      </c>
      <c r="AD927" t="s">
        <v>18147</v>
      </c>
      <c r="AE927" t="s">
        <v>18148</v>
      </c>
      <c r="AF927" t="s">
        <v>74</v>
      </c>
      <c r="AG927">
        <v>49</v>
      </c>
      <c r="AH927">
        <v>4</v>
      </c>
      <c r="AI927">
        <v>6</v>
      </c>
      <c r="AJ927">
        <v>1</v>
      </c>
      <c r="AK927">
        <v>12</v>
      </c>
      <c r="AL927" t="s">
        <v>1406</v>
      </c>
      <c r="AM927" t="s">
        <v>1407</v>
      </c>
      <c r="AN927" t="s">
        <v>1408</v>
      </c>
      <c r="AO927" t="s">
        <v>3009</v>
      </c>
      <c r="AP927" t="s">
        <v>3010</v>
      </c>
      <c r="AQ927" t="s">
        <v>74</v>
      </c>
      <c r="AR927" t="s">
        <v>3011</v>
      </c>
      <c r="AS927" t="s">
        <v>3012</v>
      </c>
      <c r="AT927" t="s">
        <v>894</v>
      </c>
      <c r="AU927">
        <v>2020</v>
      </c>
      <c r="AV927">
        <v>496</v>
      </c>
      <c r="AW927">
        <v>3</v>
      </c>
      <c r="AX927" t="s">
        <v>74</v>
      </c>
      <c r="AY927" t="s">
        <v>74</v>
      </c>
      <c r="AZ927" t="s">
        <v>74</v>
      </c>
      <c r="BA927" t="s">
        <v>74</v>
      </c>
      <c r="BB927">
        <v>2768</v>
      </c>
      <c r="BC927">
        <v>2775</v>
      </c>
      <c r="BD927" t="s">
        <v>74</v>
      </c>
      <c r="BE927" t="s">
        <v>18149</v>
      </c>
      <c r="BF927" t="str">
        <f>HYPERLINK("http://dx.doi.org/10.1093/mnras/staa1730","http://dx.doi.org/10.1093/mnras/staa1730")</f>
        <v>http://dx.doi.org/10.1093/mnras/staa1730</v>
      </c>
      <c r="BG927" t="s">
        <v>74</v>
      </c>
      <c r="BH927" t="s">
        <v>74</v>
      </c>
      <c r="BI927">
        <v>8</v>
      </c>
      <c r="BJ927" t="s">
        <v>1849</v>
      </c>
      <c r="BK927" t="s">
        <v>100</v>
      </c>
      <c r="BL927" t="s">
        <v>1849</v>
      </c>
      <c r="BM927" t="s">
        <v>18150</v>
      </c>
      <c r="BN927" t="s">
        <v>74</v>
      </c>
      <c r="BO927" t="s">
        <v>701</v>
      </c>
      <c r="BP927" t="s">
        <v>74</v>
      </c>
      <c r="BQ927" t="s">
        <v>74</v>
      </c>
      <c r="BR927" t="s">
        <v>104</v>
      </c>
      <c r="BS927" t="s">
        <v>18151</v>
      </c>
      <c r="BT927" t="str">
        <f>HYPERLINK("https%3A%2F%2Fwww.webofscience.com%2Fwos%2Fwoscc%2Ffull-record%2FWOS:000574919300003","View Full Record in Web of Science")</f>
        <v>View Full Record in Web of Science</v>
      </c>
    </row>
    <row r="928" spans="1:72" x14ac:dyDescent="0.15">
      <c r="A928" t="s">
        <v>72</v>
      </c>
      <c r="B928" t="s">
        <v>18152</v>
      </c>
      <c r="C928" t="s">
        <v>74</v>
      </c>
      <c r="D928" t="s">
        <v>74</v>
      </c>
      <c r="E928" t="s">
        <v>74</v>
      </c>
      <c r="F928" t="s">
        <v>18153</v>
      </c>
      <c r="G928" t="s">
        <v>74</v>
      </c>
      <c r="H928" t="s">
        <v>74</v>
      </c>
      <c r="I928" t="s">
        <v>18154</v>
      </c>
      <c r="J928" t="s">
        <v>7210</v>
      </c>
      <c r="K928" t="s">
        <v>74</v>
      </c>
      <c r="L928" t="s">
        <v>74</v>
      </c>
      <c r="M928" t="s">
        <v>78</v>
      </c>
      <c r="N928" t="s">
        <v>79</v>
      </c>
      <c r="O928" t="s">
        <v>74</v>
      </c>
      <c r="P928" t="s">
        <v>74</v>
      </c>
      <c r="Q928" t="s">
        <v>74</v>
      </c>
      <c r="R928" t="s">
        <v>74</v>
      </c>
      <c r="S928" t="s">
        <v>74</v>
      </c>
      <c r="T928" t="s">
        <v>18155</v>
      </c>
      <c r="U928" t="s">
        <v>18156</v>
      </c>
      <c r="V928" t="s">
        <v>18157</v>
      </c>
      <c r="W928" t="s">
        <v>18158</v>
      </c>
      <c r="X928" t="s">
        <v>17577</v>
      </c>
      <c r="Y928" t="s">
        <v>18159</v>
      </c>
      <c r="Z928" t="s">
        <v>18160</v>
      </c>
      <c r="AA928" t="s">
        <v>18161</v>
      </c>
      <c r="AB928" t="s">
        <v>18162</v>
      </c>
      <c r="AC928" t="s">
        <v>18163</v>
      </c>
      <c r="AD928" t="s">
        <v>18163</v>
      </c>
      <c r="AE928" t="s">
        <v>18164</v>
      </c>
      <c r="AF928" t="s">
        <v>74</v>
      </c>
      <c r="AG928">
        <v>69</v>
      </c>
      <c r="AH928">
        <v>2</v>
      </c>
      <c r="AI928">
        <v>2</v>
      </c>
      <c r="AJ928">
        <v>0</v>
      </c>
      <c r="AK928">
        <v>7</v>
      </c>
      <c r="AL928" t="s">
        <v>1522</v>
      </c>
      <c r="AM928" t="s">
        <v>1407</v>
      </c>
      <c r="AN928" t="s">
        <v>1523</v>
      </c>
      <c r="AO928" t="s">
        <v>7223</v>
      </c>
      <c r="AP928" t="s">
        <v>7224</v>
      </c>
      <c r="AQ928" t="s">
        <v>74</v>
      </c>
      <c r="AR928" t="s">
        <v>7225</v>
      </c>
      <c r="AS928" t="s">
        <v>7226</v>
      </c>
      <c r="AT928" t="s">
        <v>894</v>
      </c>
      <c r="AU928">
        <v>2020</v>
      </c>
      <c r="AV928">
        <v>178</v>
      </c>
      <c r="AW928" t="s">
        <v>74</v>
      </c>
      <c r="AX928" t="s">
        <v>74</v>
      </c>
      <c r="AY928" t="s">
        <v>74</v>
      </c>
      <c r="AZ928" t="s">
        <v>489</v>
      </c>
      <c r="BA928" t="s">
        <v>74</v>
      </c>
      <c r="BB928" t="s">
        <v>74</v>
      </c>
      <c r="BC928" t="s">
        <v>74</v>
      </c>
      <c r="BD928">
        <v>104846</v>
      </c>
      <c r="BE928" t="s">
        <v>18165</v>
      </c>
      <c r="BF928" t="str">
        <f>HYPERLINK("http://dx.doi.org/10.1016/j.dsr2.2020.104846","http://dx.doi.org/10.1016/j.dsr2.2020.104846")</f>
        <v>http://dx.doi.org/10.1016/j.dsr2.2020.104846</v>
      </c>
      <c r="BG928" t="s">
        <v>74</v>
      </c>
      <c r="BH928" t="s">
        <v>74</v>
      </c>
      <c r="BI928">
        <v>14</v>
      </c>
      <c r="BJ928" t="s">
        <v>1283</v>
      </c>
      <c r="BK928" t="s">
        <v>100</v>
      </c>
      <c r="BL928" t="s">
        <v>1283</v>
      </c>
      <c r="BM928" t="s">
        <v>18166</v>
      </c>
      <c r="BN928" t="s">
        <v>74</v>
      </c>
      <c r="BO928" t="s">
        <v>74</v>
      </c>
      <c r="BP928" t="s">
        <v>74</v>
      </c>
      <c r="BQ928" t="s">
        <v>74</v>
      </c>
      <c r="BR928" t="s">
        <v>104</v>
      </c>
      <c r="BS928" t="s">
        <v>18167</v>
      </c>
      <c r="BT928" t="str">
        <f>HYPERLINK("https%3A%2F%2Fwww.webofscience.com%2Fwos%2Fwoscc%2Ffull-record%2FWOS:000573788300005","View Full Record in Web of Science")</f>
        <v>View Full Record in Web of Science</v>
      </c>
    </row>
    <row r="929" spans="1:72" x14ac:dyDescent="0.15">
      <c r="A929" t="s">
        <v>72</v>
      </c>
      <c r="B929" t="s">
        <v>18168</v>
      </c>
      <c r="C929" t="s">
        <v>74</v>
      </c>
      <c r="D929" t="s">
        <v>74</v>
      </c>
      <c r="E929" t="s">
        <v>74</v>
      </c>
      <c r="F929" t="s">
        <v>18169</v>
      </c>
      <c r="G929" t="s">
        <v>74</v>
      </c>
      <c r="H929" t="s">
        <v>74</v>
      </c>
      <c r="I929" t="s">
        <v>18170</v>
      </c>
      <c r="J929" t="s">
        <v>7210</v>
      </c>
      <c r="K929" t="s">
        <v>74</v>
      </c>
      <c r="L929" t="s">
        <v>74</v>
      </c>
      <c r="M929" t="s">
        <v>78</v>
      </c>
      <c r="N929" t="s">
        <v>79</v>
      </c>
      <c r="O929" t="s">
        <v>74</v>
      </c>
      <c r="P929" t="s">
        <v>74</v>
      </c>
      <c r="Q929" t="s">
        <v>74</v>
      </c>
      <c r="R929" t="s">
        <v>74</v>
      </c>
      <c r="S929" t="s">
        <v>74</v>
      </c>
      <c r="T929" t="s">
        <v>18171</v>
      </c>
      <c r="U929" t="s">
        <v>18172</v>
      </c>
      <c r="V929" t="s">
        <v>18173</v>
      </c>
      <c r="W929" t="s">
        <v>18174</v>
      </c>
      <c r="X929" t="s">
        <v>18175</v>
      </c>
      <c r="Y929" t="s">
        <v>18176</v>
      </c>
      <c r="Z929" t="s">
        <v>18177</v>
      </c>
      <c r="AA929" t="s">
        <v>18178</v>
      </c>
      <c r="AB929" t="s">
        <v>74</v>
      </c>
      <c r="AC929" t="s">
        <v>74</v>
      </c>
      <c r="AD929" t="s">
        <v>74</v>
      </c>
      <c r="AE929" t="s">
        <v>74</v>
      </c>
      <c r="AF929" t="s">
        <v>74</v>
      </c>
      <c r="AG929">
        <v>65</v>
      </c>
      <c r="AH929">
        <v>4</v>
      </c>
      <c r="AI929">
        <v>4</v>
      </c>
      <c r="AJ929">
        <v>0</v>
      </c>
      <c r="AK929">
        <v>12</v>
      </c>
      <c r="AL929" t="s">
        <v>1522</v>
      </c>
      <c r="AM929" t="s">
        <v>1407</v>
      </c>
      <c r="AN929" t="s">
        <v>1523</v>
      </c>
      <c r="AO929" t="s">
        <v>7223</v>
      </c>
      <c r="AP929" t="s">
        <v>7224</v>
      </c>
      <c r="AQ929" t="s">
        <v>74</v>
      </c>
      <c r="AR929" t="s">
        <v>7225</v>
      </c>
      <c r="AS929" t="s">
        <v>7226</v>
      </c>
      <c r="AT929" t="s">
        <v>894</v>
      </c>
      <c r="AU929">
        <v>2020</v>
      </c>
      <c r="AV929">
        <v>178</v>
      </c>
      <c r="AW929" t="s">
        <v>74</v>
      </c>
      <c r="AX929" t="s">
        <v>74</v>
      </c>
      <c r="AY929" t="s">
        <v>74</v>
      </c>
      <c r="AZ929" t="s">
        <v>489</v>
      </c>
      <c r="BA929" t="s">
        <v>74</v>
      </c>
      <c r="BB929" t="s">
        <v>74</v>
      </c>
      <c r="BC929" t="s">
        <v>74</v>
      </c>
      <c r="BD929">
        <v>104776</v>
      </c>
      <c r="BE929" t="s">
        <v>18179</v>
      </c>
      <c r="BF929" t="str">
        <f>HYPERLINK("http://dx.doi.org/10.1016/j.dsr2.2020.104776","http://dx.doi.org/10.1016/j.dsr2.2020.104776")</f>
        <v>http://dx.doi.org/10.1016/j.dsr2.2020.104776</v>
      </c>
      <c r="BG929" t="s">
        <v>74</v>
      </c>
      <c r="BH929" t="s">
        <v>74</v>
      </c>
      <c r="BI929">
        <v>9</v>
      </c>
      <c r="BJ929" t="s">
        <v>1283</v>
      </c>
      <c r="BK929" t="s">
        <v>100</v>
      </c>
      <c r="BL929" t="s">
        <v>1283</v>
      </c>
      <c r="BM929" t="s">
        <v>18166</v>
      </c>
      <c r="BN929" t="s">
        <v>74</v>
      </c>
      <c r="BO929" t="s">
        <v>74</v>
      </c>
      <c r="BP929" t="s">
        <v>74</v>
      </c>
      <c r="BQ929" t="s">
        <v>74</v>
      </c>
      <c r="BR929" t="s">
        <v>104</v>
      </c>
      <c r="BS929" t="s">
        <v>18180</v>
      </c>
      <c r="BT929" t="str">
        <f>HYPERLINK("https%3A%2F%2Fwww.webofscience.com%2Fwos%2Fwoscc%2Ffull-record%2FWOS:000573788300001","View Full Record in Web of Science")</f>
        <v>View Full Record in Web of Science</v>
      </c>
    </row>
    <row r="930" spans="1:72" x14ac:dyDescent="0.15">
      <c r="A930" t="s">
        <v>72</v>
      </c>
      <c r="B930" t="s">
        <v>18181</v>
      </c>
      <c r="C930" t="s">
        <v>74</v>
      </c>
      <c r="D930" t="s">
        <v>74</v>
      </c>
      <c r="E930" t="s">
        <v>74</v>
      </c>
      <c r="F930" t="s">
        <v>18182</v>
      </c>
      <c r="G930" t="s">
        <v>74</v>
      </c>
      <c r="H930" t="s">
        <v>74</v>
      </c>
      <c r="I930" t="s">
        <v>18183</v>
      </c>
      <c r="J930" t="s">
        <v>7210</v>
      </c>
      <c r="K930" t="s">
        <v>74</v>
      </c>
      <c r="L930" t="s">
        <v>74</v>
      </c>
      <c r="M930" t="s">
        <v>78</v>
      </c>
      <c r="N930" t="s">
        <v>79</v>
      </c>
      <c r="O930" t="s">
        <v>74</v>
      </c>
      <c r="P930" t="s">
        <v>74</v>
      </c>
      <c r="Q930" t="s">
        <v>74</v>
      </c>
      <c r="R930" t="s">
        <v>74</v>
      </c>
      <c r="S930" t="s">
        <v>74</v>
      </c>
      <c r="T930" t="s">
        <v>18184</v>
      </c>
      <c r="U930" t="s">
        <v>18185</v>
      </c>
      <c r="V930" t="s">
        <v>18186</v>
      </c>
      <c r="W930" t="s">
        <v>18187</v>
      </c>
      <c r="X930" t="s">
        <v>17577</v>
      </c>
      <c r="Y930" t="s">
        <v>18188</v>
      </c>
      <c r="Z930" t="s">
        <v>18189</v>
      </c>
      <c r="AA930" t="s">
        <v>18190</v>
      </c>
      <c r="AB930" t="s">
        <v>18191</v>
      </c>
      <c r="AC930" t="s">
        <v>6181</v>
      </c>
      <c r="AD930" t="s">
        <v>6181</v>
      </c>
      <c r="AE930" t="s">
        <v>18192</v>
      </c>
      <c r="AF930" t="s">
        <v>74</v>
      </c>
      <c r="AG930">
        <v>107</v>
      </c>
      <c r="AH930">
        <v>2</v>
      </c>
      <c r="AI930">
        <v>2</v>
      </c>
      <c r="AJ930">
        <v>1</v>
      </c>
      <c r="AK930">
        <v>21</v>
      </c>
      <c r="AL930" t="s">
        <v>1522</v>
      </c>
      <c r="AM930" t="s">
        <v>1407</v>
      </c>
      <c r="AN930" t="s">
        <v>1523</v>
      </c>
      <c r="AO930" t="s">
        <v>7223</v>
      </c>
      <c r="AP930" t="s">
        <v>7224</v>
      </c>
      <c r="AQ930" t="s">
        <v>74</v>
      </c>
      <c r="AR930" t="s">
        <v>7225</v>
      </c>
      <c r="AS930" t="s">
        <v>7226</v>
      </c>
      <c r="AT930" t="s">
        <v>894</v>
      </c>
      <c r="AU930">
        <v>2020</v>
      </c>
      <c r="AV930">
        <v>178</v>
      </c>
      <c r="AW930" t="s">
        <v>74</v>
      </c>
      <c r="AX930" t="s">
        <v>74</v>
      </c>
      <c r="AY930" t="s">
        <v>74</v>
      </c>
      <c r="AZ930" t="s">
        <v>489</v>
      </c>
      <c r="BA930" t="s">
        <v>74</v>
      </c>
      <c r="BB930" t="s">
        <v>74</v>
      </c>
      <c r="BC930" t="s">
        <v>74</v>
      </c>
      <c r="BD930">
        <v>104851</v>
      </c>
      <c r="BE930" t="s">
        <v>18193</v>
      </c>
      <c r="BF930" t="str">
        <f>HYPERLINK("http://dx.doi.org/10.1016/j.dsr2.2020.104851","http://dx.doi.org/10.1016/j.dsr2.2020.104851")</f>
        <v>http://dx.doi.org/10.1016/j.dsr2.2020.104851</v>
      </c>
      <c r="BG930" t="s">
        <v>74</v>
      </c>
      <c r="BH930" t="s">
        <v>74</v>
      </c>
      <c r="BI930">
        <v>13</v>
      </c>
      <c r="BJ930" t="s">
        <v>1283</v>
      </c>
      <c r="BK930" t="s">
        <v>100</v>
      </c>
      <c r="BL930" t="s">
        <v>1283</v>
      </c>
      <c r="BM930" t="s">
        <v>18166</v>
      </c>
      <c r="BN930" t="s">
        <v>74</v>
      </c>
      <c r="BO930" t="s">
        <v>74</v>
      </c>
      <c r="BP930" t="s">
        <v>74</v>
      </c>
      <c r="BQ930" t="s">
        <v>74</v>
      </c>
      <c r="BR930" t="s">
        <v>104</v>
      </c>
      <c r="BS930" t="s">
        <v>18194</v>
      </c>
      <c r="BT930" t="str">
        <f>HYPERLINK("https%3A%2F%2Fwww.webofscience.com%2Fwos%2Fwoscc%2Ffull-record%2FWOS:000573788300003","View Full Record in Web of Science")</f>
        <v>View Full Record in Web of Science</v>
      </c>
    </row>
    <row r="931" spans="1:72" x14ac:dyDescent="0.15">
      <c r="A931" t="s">
        <v>72</v>
      </c>
      <c r="B931" t="s">
        <v>18195</v>
      </c>
      <c r="C931" t="s">
        <v>74</v>
      </c>
      <c r="D931" t="s">
        <v>74</v>
      </c>
      <c r="E931" t="s">
        <v>74</v>
      </c>
      <c r="F931" t="s">
        <v>18196</v>
      </c>
      <c r="G931" t="s">
        <v>74</v>
      </c>
      <c r="H931" t="s">
        <v>74</v>
      </c>
      <c r="I931" t="s">
        <v>18197</v>
      </c>
      <c r="J931" t="s">
        <v>7210</v>
      </c>
      <c r="K931" t="s">
        <v>74</v>
      </c>
      <c r="L931" t="s">
        <v>74</v>
      </c>
      <c r="M931" t="s">
        <v>78</v>
      </c>
      <c r="N931" t="s">
        <v>79</v>
      </c>
      <c r="O931" t="s">
        <v>74</v>
      </c>
      <c r="P931" t="s">
        <v>74</v>
      </c>
      <c r="Q931" t="s">
        <v>74</v>
      </c>
      <c r="R931" t="s">
        <v>74</v>
      </c>
      <c r="S931" t="s">
        <v>74</v>
      </c>
      <c r="T931" t="s">
        <v>18198</v>
      </c>
      <c r="U931" t="s">
        <v>18199</v>
      </c>
      <c r="V931" t="s">
        <v>18200</v>
      </c>
      <c r="W931" t="s">
        <v>18201</v>
      </c>
      <c r="X931" t="s">
        <v>17577</v>
      </c>
      <c r="Y931" t="s">
        <v>18202</v>
      </c>
      <c r="Z931" t="s">
        <v>18203</v>
      </c>
      <c r="AA931" t="s">
        <v>18204</v>
      </c>
      <c r="AB931" t="s">
        <v>18205</v>
      </c>
      <c r="AC931" t="s">
        <v>18206</v>
      </c>
      <c r="AD931" t="s">
        <v>18207</v>
      </c>
      <c r="AE931" t="s">
        <v>18208</v>
      </c>
      <c r="AF931" t="s">
        <v>74</v>
      </c>
      <c r="AG931">
        <v>59</v>
      </c>
      <c r="AH931">
        <v>6</v>
      </c>
      <c r="AI931">
        <v>6</v>
      </c>
      <c r="AJ931">
        <v>3</v>
      </c>
      <c r="AK931">
        <v>21</v>
      </c>
      <c r="AL931" t="s">
        <v>1522</v>
      </c>
      <c r="AM931" t="s">
        <v>1407</v>
      </c>
      <c r="AN931" t="s">
        <v>1523</v>
      </c>
      <c r="AO931" t="s">
        <v>7223</v>
      </c>
      <c r="AP931" t="s">
        <v>7224</v>
      </c>
      <c r="AQ931" t="s">
        <v>74</v>
      </c>
      <c r="AR931" t="s">
        <v>7225</v>
      </c>
      <c r="AS931" t="s">
        <v>7226</v>
      </c>
      <c r="AT931" t="s">
        <v>894</v>
      </c>
      <c r="AU931">
        <v>2020</v>
      </c>
      <c r="AV931">
        <v>178</v>
      </c>
      <c r="AW931" t="s">
        <v>74</v>
      </c>
      <c r="AX931" t="s">
        <v>74</v>
      </c>
      <c r="AY931" t="s">
        <v>74</v>
      </c>
      <c r="AZ931" t="s">
        <v>489</v>
      </c>
      <c r="BA931" t="s">
        <v>74</v>
      </c>
      <c r="BB931" t="s">
        <v>74</v>
      </c>
      <c r="BC931" t="s">
        <v>74</v>
      </c>
      <c r="BD931">
        <v>104799</v>
      </c>
      <c r="BE931" t="s">
        <v>18209</v>
      </c>
      <c r="BF931" t="str">
        <f>HYPERLINK("http://dx.doi.org/10.1016/j.dsr2.2020.104799","http://dx.doi.org/10.1016/j.dsr2.2020.104799")</f>
        <v>http://dx.doi.org/10.1016/j.dsr2.2020.104799</v>
      </c>
      <c r="BG931" t="s">
        <v>74</v>
      </c>
      <c r="BH931" t="s">
        <v>74</v>
      </c>
      <c r="BI931">
        <v>17</v>
      </c>
      <c r="BJ931" t="s">
        <v>1283</v>
      </c>
      <c r="BK931" t="s">
        <v>100</v>
      </c>
      <c r="BL931" t="s">
        <v>1283</v>
      </c>
      <c r="BM931" t="s">
        <v>18210</v>
      </c>
      <c r="BN931" t="s">
        <v>74</v>
      </c>
      <c r="BO931" t="s">
        <v>74</v>
      </c>
      <c r="BP931" t="s">
        <v>74</v>
      </c>
      <c r="BQ931" t="s">
        <v>74</v>
      </c>
      <c r="BR931" t="s">
        <v>104</v>
      </c>
      <c r="BS931" t="s">
        <v>18211</v>
      </c>
      <c r="BT931" t="str">
        <f>HYPERLINK("https%3A%2F%2Fwww.webofscience.com%2Fwos%2Fwoscc%2Ffull-record%2FWOS:000573472600002","View Full Record in Web of Science")</f>
        <v>View Full Record in Web of Science</v>
      </c>
    </row>
    <row r="932" spans="1:72" x14ac:dyDescent="0.15">
      <c r="A932" t="s">
        <v>72</v>
      </c>
      <c r="B932" t="s">
        <v>18212</v>
      </c>
      <c r="C932" t="s">
        <v>74</v>
      </c>
      <c r="D932" t="s">
        <v>74</v>
      </c>
      <c r="E932" t="s">
        <v>74</v>
      </c>
      <c r="F932" t="s">
        <v>18213</v>
      </c>
      <c r="G932" t="s">
        <v>74</v>
      </c>
      <c r="H932" t="s">
        <v>74</v>
      </c>
      <c r="I932" t="s">
        <v>18214</v>
      </c>
      <c r="J932" t="s">
        <v>7210</v>
      </c>
      <c r="K932" t="s">
        <v>74</v>
      </c>
      <c r="L932" t="s">
        <v>74</v>
      </c>
      <c r="M932" t="s">
        <v>78</v>
      </c>
      <c r="N932" t="s">
        <v>79</v>
      </c>
      <c r="O932" t="s">
        <v>74</v>
      </c>
      <c r="P932" t="s">
        <v>74</v>
      </c>
      <c r="Q932" t="s">
        <v>74</v>
      </c>
      <c r="R932" t="s">
        <v>74</v>
      </c>
      <c r="S932" t="s">
        <v>74</v>
      </c>
      <c r="T932" t="s">
        <v>18215</v>
      </c>
      <c r="U932" t="s">
        <v>18216</v>
      </c>
      <c r="V932" t="s">
        <v>18217</v>
      </c>
      <c r="W932" t="s">
        <v>18218</v>
      </c>
      <c r="X932" t="s">
        <v>18219</v>
      </c>
      <c r="Y932" t="s">
        <v>18220</v>
      </c>
      <c r="Z932" t="s">
        <v>18221</v>
      </c>
      <c r="AA932" t="s">
        <v>18222</v>
      </c>
      <c r="AB932" t="s">
        <v>74</v>
      </c>
      <c r="AC932" t="s">
        <v>74</v>
      </c>
      <c r="AD932" t="s">
        <v>74</v>
      </c>
      <c r="AE932" t="s">
        <v>74</v>
      </c>
      <c r="AF932" t="s">
        <v>74</v>
      </c>
      <c r="AG932">
        <v>35</v>
      </c>
      <c r="AH932">
        <v>7</v>
      </c>
      <c r="AI932">
        <v>7</v>
      </c>
      <c r="AJ932">
        <v>1</v>
      </c>
      <c r="AK932">
        <v>8</v>
      </c>
      <c r="AL932" t="s">
        <v>1522</v>
      </c>
      <c r="AM932" t="s">
        <v>1407</v>
      </c>
      <c r="AN932" t="s">
        <v>1523</v>
      </c>
      <c r="AO932" t="s">
        <v>7223</v>
      </c>
      <c r="AP932" t="s">
        <v>7224</v>
      </c>
      <c r="AQ932" t="s">
        <v>74</v>
      </c>
      <c r="AR932" t="s">
        <v>7225</v>
      </c>
      <c r="AS932" t="s">
        <v>7226</v>
      </c>
      <c r="AT932" t="s">
        <v>894</v>
      </c>
      <c r="AU932">
        <v>2020</v>
      </c>
      <c r="AV932">
        <v>178</v>
      </c>
      <c r="AW932" t="s">
        <v>74</v>
      </c>
      <c r="AX932" t="s">
        <v>74</v>
      </c>
      <c r="AY932" t="s">
        <v>74</v>
      </c>
      <c r="AZ932" t="s">
        <v>489</v>
      </c>
      <c r="BA932" t="s">
        <v>74</v>
      </c>
      <c r="BB932" t="s">
        <v>74</v>
      </c>
      <c r="BC932" t="s">
        <v>74</v>
      </c>
      <c r="BD932">
        <v>104791</v>
      </c>
      <c r="BE932" t="s">
        <v>18223</v>
      </c>
      <c r="BF932" t="str">
        <f>HYPERLINK("http://dx.doi.org/10.1016/j.dsr2.2020.104791","http://dx.doi.org/10.1016/j.dsr2.2020.104791")</f>
        <v>http://dx.doi.org/10.1016/j.dsr2.2020.104791</v>
      </c>
      <c r="BG932" t="s">
        <v>74</v>
      </c>
      <c r="BH932" t="s">
        <v>74</v>
      </c>
      <c r="BI932">
        <v>11</v>
      </c>
      <c r="BJ932" t="s">
        <v>1283</v>
      </c>
      <c r="BK932" t="s">
        <v>100</v>
      </c>
      <c r="BL932" t="s">
        <v>1283</v>
      </c>
      <c r="BM932" t="s">
        <v>18210</v>
      </c>
      <c r="BN932" t="s">
        <v>74</v>
      </c>
      <c r="BO932" t="s">
        <v>74</v>
      </c>
      <c r="BP932" t="s">
        <v>74</v>
      </c>
      <c r="BQ932" t="s">
        <v>74</v>
      </c>
      <c r="BR932" t="s">
        <v>104</v>
      </c>
      <c r="BS932" t="s">
        <v>18224</v>
      </c>
      <c r="BT932" t="str">
        <f>HYPERLINK("https%3A%2F%2Fwww.webofscience.com%2Fwos%2Fwoscc%2Ffull-record%2FWOS:000573472600003","View Full Record in Web of Science")</f>
        <v>View Full Record in Web of Science</v>
      </c>
    </row>
    <row r="933" spans="1:72" x14ac:dyDescent="0.15">
      <c r="A933" t="s">
        <v>72</v>
      </c>
      <c r="B933" t="s">
        <v>18225</v>
      </c>
      <c r="C933" t="s">
        <v>74</v>
      </c>
      <c r="D933" t="s">
        <v>74</v>
      </c>
      <c r="E933" t="s">
        <v>74</v>
      </c>
      <c r="F933" t="s">
        <v>18226</v>
      </c>
      <c r="G933" t="s">
        <v>74</v>
      </c>
      <c r="H933" t="s">
        <v>74</v>
      </c>
      <c r="I933" t="s">
        <v>18227</v>
      </c>
      <c r="J933" t="s">
        <v>7210</v>
      </c>
      <c r="K933" t="s">
        <v>74</v>
      </c>
      <c r="L933" t="s">
        <v>74</v>
      </c>
      <c r="M933" t="s">
        <v>78</v>
      </c>
      <c r="N933" t="s">
        <v>79</v>
      </c>
      <c r="O933" t="s">
        <v>74</v>
      </c>
      <c r="P933" t="s">
        <v>74</v>
      </c>
      <c r="Q933" t="s">
        <v>74</v>
      </c>
      <c r="R933" t="s">
        <v>74</v>
      </c>
      <c r="S933" t="s">
        <v>74</v>
      </c>
      <c r="T933" t="s">
        <v>18228</v>
      </c>
      <c r="U933" t="s">
        <v>18229</v>
      </c>
      <c r="V933" t="s">
        <v>18230</v>
      </c>
      <c r="W933" t="s">
        <v>18231</v>
      </c>
      <c r="X933" t="s">
        <v>18232</v>
      </c>
      <c r="Y933" t="s">
        <v>18233</v>
      </c>
      <c r="Z933" t="s">
        <v>18234</v>
      </c>
      <c r="AA933" t="s">
        <v>18235</v>
      </c>
      <c r="AB933" t="s">
        <v>18236</v>
      </c>
      <c r="AC933" t="s">
        <v>18237</v>
      </c>
      <c r="AD933" t="s">
        <v>18237</v>
      </c>
      <c r="AE933" t="s">
        <v>18238</v>
      </c>
      <c r="AF933" t="s">
        <v>74</v>
      </c>
      <c r="AG933">
        <v>42</v>
      </c>
      <c r="AH933">
        <v>2</v>
      </c>
      <c r="AI933">
        <v>2</v>
      </c>
      <c r="AJ933">
        <v>0</v>
      </c>
      <c r="AK933">
        <v>4</v>
      </c>
      <c r="AL933" t="s">
        <v>1522</v>
      </c>
      <c r="AM933" t="s">
        <v>1407</v>
      </c>
      <c r="AN933" t="s">
        <v>1523</v>
      </c>
      <c r="AO933" t="s">
        <v>7223</v>
      </c>
      <c r="AP933" t="s">
        <v>7224</v>
      </c>
      <c r="AQ933" t="s">
        <v>74</v>
      </c>
      <c r="AR933" t="s">
        <v>7225</v>
      </c>
      <c r="AS933" t="s">
        <v>7226</v>
      </c>
      <c r="AT933" t="s">
        <v>894</v>
      </c>
      <c r="AU933">
        <v>2020</v>
      </c>
      <c r="AV933">
        <v>178</v>
      </c>
      <c r="AW933" t="s">
        <v>74</v>
      </c>
      <c r="AX933" t="s">
        <v>74</v>
      </c>
      <c r="AY933" t="s">
        <v>74</v>
      </c>
      <c r="AZ933" t="s">
        <v>489</v>
      </c>
      <c r="BA933" t="s">
        <v>74</v>
      </c>
      <c r="BB933" t="s">
        <v>74</v>
      </c>
      <c r="BC933" t="s">
        <v>74</v>
      </c>
      <c r="BD933">
        <v>104783</v>
      </c>
      <c r="BE933" t="s">
        <v>18239</v>
      </c>
      <c r="BF933" t="str">
        <f>HYPERLINK("http://dx.doi.org/10.1016/j.dsr2.2020.104783","http://dx.doi.org/10.1016/j.dsr2.2020.104783")</f>
        <v>http://dx.doi.org/10.1016/j.dsr2.2020.104783</v>
      </c>
      <c r="BG933" t="s">
        <v>74</v>
      </c>
      <c r="BH933" t="s">
        <v>74</v>
      </c>
      <c r="BI933">
        <v>6</v>
      </c>
      <c r="BJ933" t="s">
        <v>1283</v>
      </c>
      <c r="BK933" t="s">
        <v>100</v>
      </c>
      <c r="BL933" t="s">
        <v>1283</v>
      </c>
      <c r="BM933" t="s">
        <v>18210</v>
      </c>
      <c r="BN933" t="s">
        <v>74</v>
      </c>
      <c r="BO933" t="s">
        <v>74</v>
      </c>
      <c r="BP933" t="s">
        <v>74</v>
      </c>
      <c r="BQ933" t="s">
        <v>74</v>
      </c>
      <c r="BR933" t="s">
        <v>104</v>
      </c>
      <c r="BS933" t="s">
        <v>18240</v>
      </c>
      <c r="BT933" t="str">
        <f>HYPERLINK("https%3A%2F%2Fwww.webofscience.com%2Fwos%2Fwoscc%2Ffull-record%2FWOS:000573472600004","View Full Record in Web of Science")</f>
        <v>View Full Record in Web of Science</v>
      </c>
    </row>
    <row r="934" spans="1:72" x14ac:dyDescent="0.15">
      <c r="A934" t="s">
        <v>72</v>
      </c>
      <c r="B934" t="s">
        <v>18241</v>
      </c>
      <c r="C934" t="s">
        <v>74</v>
      </c>
      <c r="D934" t="s">
        <v>74</v>
      </c>
      <c r="E934" t="s">
        <v>74</v>
      </c>
      <c r="F934" t="s">
        <v>18242</v>
      </c>
      <c r="G934" t="s">
        <v>74</v>
      </c>
      <c r="H934" t="s">
        <v>74</v>
      </c>
      <c r="I934" t="s">
        <v>18243</v>
      </c>
      <c r="J934" t="s">
        <v>1510</v>
      </c>
      <c r="K934" t="s">
        <v>74</v>
      </c>
      <c r="L934" t="s">
        <v>74</v>
      </c>
      <c r="M934" t="s">
        <v>78</v>
      </c>
      <c r="N934" t="s">
        <v>79</v>
      </c>
      <c r="O934" t="s">
        <v>74</v>
      </c>
      <c r="P934" t="s">
        <v>74</v>
      </c>
      <c r="Q934" t="s">
        <v>74</v>
      </c>
      <c r="R934" t="s">
        <v>74</v>
      </c>
      <c r="S934" t="s">
        <v>74</v>
      </c>
      <c r="T934" t="s">
        <v>18244</v>
      </c>
      <c r="U934" t="s">
        <v>18245</v>
      </c>
      <c r="V934" t="s">
        <v>18246</v>
      </c>
      <c r="W934" t="s">
        <v>18247</v>
      </c>
      <c r="X934" t="s">
        <v>18248</v>
      </c>
      <c r="Y934" t="s">
        <v>18249</v>
      </c>
      <c r="Z934" t="s">
        <v>18250</v>
      </c>
      <c r="AA934" t="s">
        <v>18251</v>
      </c>
      <c r="AB934" t="s">
        <v>18252</v>
      </c>
      <c r="AC934" t="s">
        <v>18253</v>
      </c>
      <c r="AD934" t="s">
        <v>18254</v>
      </c>
      <c r="AE934" t="s">
        <v>18255</v>
      </c>
      <c r="AF934" t="s">
        <v>74</v>
      </c>
      <c r="AG934">
        <v>85</v>
      </c>
      <c r="AH934">
        <v>56</v>
      </c>
      <c r="AI934">
        <v>56</v>
      </c>
      <c r="AJ934">
        <v>0</v>
      </c>
      <c r="AK934">
        <v>13</v>
      </c>
      <c r="AL934" t="s">
        <v>1522</v>
      </c>
      <c r="AM934" t="s">
        <v>1407</v>
      </c>
      <c r="AN934" t="s">
        <v>1523</v>
      </c>
      <c r="AO934" t="s">
        <v>1524</v>
      </c>
      <c r="AP934" t="s">
        <v>74</v>
      </c>
      <c r="AQ934" t="s">
        <v>74</v>
      </c>
      <c r="AR934" t="s">
        <v>1525</v>
      </c>
      <c r="AS934" t="s">
        <v>1526</v>
      </c>
      <c r="AT934" t="s">
        <v>18129</v>
      </c>
      <c r="AU934">
        <v>2020</v>
      </c>
      <c r="AV934">
        <v>187</v>
      </c>
      <c r="AW934" t="s">
        <v>74</v>
      </c>
      <c r="AX934" t="s">
        <v>74</v>
      </c>
      <c r="AY934" t="s">
        <v>74</v>
      </c>
      <c r="AZ934" t="s">
        <v>74</v>
      </c>
      <c r="BA934" t="s">
        <v>74</v>
      </c>
      <c r="BB934" t="s">
        <v>74</v>
      </c>
      <c r="BC934" t="s">
        <v>74</v>
      </c>
      <c r="BD934">
        <v>102394</v>
      </c>
      <c r="BE934" t="s">
        <v>18256</v>
      </c>
      <c r="BF934" t="str">
        <f>HYPERLINK("http://dx.doi.org/10.1016/j.pocean.2020.102394","http://dx.doi.org/10.1016/j.pocean.2020.102394")</f>
        <v>http://dx.doi.org/10.1016/j.pocean.2020.102394</v>
      </c>
      <c r="BG934" t="s">
        <v>74</v>
      </c>
      <c r="BH934" t="s">
        <v>74</v>
      </c>
      <c r="BI934">
        <v>31</v>
      </c>
      <c r="BJ934" t="s">
        <v>1283</v>
      </c>
      <c r="BK934" t="s">
        <v>100</v>
      </c>
      <c r="BL934" t="s">
        <v>1283</v>
      </c>
      <c r="BM934" t="s">
        <v>18257</v>
      </c>
      <c r="BN934" t="s">
        <v>74</v>
      </c>
      <c r="BO934" t="s">
        <v>564</v>
      </c>
      <c r="BP934" t="s">
        <v>74</v>
      </c>
      <c r="BQ934" t="s">
        <v>74</v>
      </c>
      <c r="BR934" t="s">
        <v>104</v>
      </c>
      <c r="BS934" t="s">
        <v>18258</v>
      </c>
      <c r="BT934" t="str">
        <f>HYPERLINK("https%3A%2F%2Fwww.webofscience.com%2Fwos%2Fwoscc%2Ffull-record%2FWOS:000572347900004","View Full Record in Web of Science")</f>
        <v>View Full Record in Web of Science</v>
      </c>
    </row>
    <row r="935" spans="1:72" x14ac:dyDescent="0.15">
      <c r="A935" t="s">
        <v>72</v>
      </c>
      <c r="B935" t="s">
        <v>18259</v>
      </c>
      <c r="C935" t="s">
        <v>74</v>
      </c>
      <c r="D935" t="s">
        <v>74</v>
      </c>
      <c r="E935" t="s">
        <v>74</v>
      </c>
      <c r="F935" t="s">
        <v>18260</v>
      </c>
      <c r="G935" t="s">
        <v>74</v>
      </c>
      <c r="H935" t="s">
        <v>74</v>
      </c>
      <c r="I935" t="s">
        <v>18261</v>
      </c>
      <c r="J935" t="s">
        <v>1510</v>
      </c>
      <c r="K935" t="s">
        <v>74</v>
      </c>
      <c r="L935" t="s">
        <v>74</v>
      </c>
      <c r="M935" t="s">
        <v>78</v>
      </c>
      <c r="N935" t="s">
        <v>79</v>
      </c>
      <c r="O935" t="s">
        <v>74</v>
      </c>
      <c r="P935" t="s">
        <v>74</v>
      </c>
      <c r="Q935" t="s">
        <v>74</v>
      </c>
      <c r="R935" t="s">
        <v>74</v>
      </c>
      <c r="S935" t="s">
        <v>74</v>
      </c>
      <c r="T935" t="s">
        <v>18262</v>
      </c>
      <c r="U935" t="s">
        <v>18263</v>
      </c>
      <c r="V935" t="s">
        <v>18264</v>
      </c>
      <c r="W935" t="s">
        <v>18265</v>
      </c>
      <c r="X935" t="s">
        <v>18266</v>
      </c>
      <c r="Y935" t="s">
        <v>18267</v>
      </c>
      <c r="Z935" t="s">
        <v>18268</v>
      </c>
      <c r="AA935" t="s">
        <v>18269</v>
      </c>
      <c r="AB935" t="s">
        <v>18270</v>
      </c>
      <c r="AC935" t="s">
        <v>18271</v>
      </c>
      <c r="AD935" t="s">
        <v>10628</v>
      </c>
      <c r="AE935" t="s">
        <v>18272</v>
      </c>
      <c r="AF935" t="s">
        <v>74</v>
      </c>
      <c r="AG935">
        <v>109</v>
      </c>
      <c r="AH935">
        <v>10</v>
      </c>
      <c r="AI935">
        <v>12</v>
      </c>
      <c r="AJ935">
        <v>0</v>
      </c>
      <c r="AK935">
        <v>13</v>
      </c>
      <c r="AL935" t="s">
        <v>1522</v>
      </c>
      <c r="AM935" t="s">
        <v>1407</v>
      </c>
      <c r="AN935" t="s">
        <v>1523</v>
      </c>
      <c r="AO935" t="s">
        <v>1524</v>
      </c>
      <c r="AP935" t="s">
        <v>74</v>
      </c>
      <c r="AQ935" t="s">
        <v>74</v>
      </c>
      <c r="AR935" t="s">
        <v>1525</v>
      </c>
      <c r="AS935" t="s">
        <v>1526</v>
      </c>
      <c r="AT935" t="s">
        <v>18129</v>
      </c>
      <c r="AU935">
        <v>2020</v>
      </c>
      <c r="AV935">
        <v>187</v>
      </c>
      <c r="AW935" t="s">
        <v>74</v>
      </c>
      <c r="AX935" t="s">
        <v>74</v>
      </c>
      <c r="AY935" t="s">
        <v>74</v>
      </c>
      <c r="AZ935" t="s">
        <v>74</v>
      </c>
      <c r="BA935" t="s">
        <v>74</v>
      </c>
      <c r="BB935" t="s">
        <v>74</v>
      </c>
      <c r="BC935" t="s">
        <v>74</v>
      </c>
      <c r="BD935">
        <v>102413</v>
      </c>
      <c r="BE935" t="s">
        <v>18273</v>
      </c>
      <c r="BF935" t="str">
        <f>HYPERLINK("http://dx.doi.org/10.1016/j.pocean.2020.102413","http://dx.doi.org/10.1016/j.pocean.2020.102413")</f>
        <v>http://dx.doi.org/10.1016/j.pocean.2020.102413</v>
      </c>
      <c r="BG935" t="s">
        <v>74</v>
      </c>
      <c r="BH935" t="s">
        <v>74</v>
      </c>
      <c r="BI935">
        <v>13</v>
      </c>
      <c r="BJ935" t="s">
        <v>1283</v>
      </c>
      <c r="BK935" t="s">
        <v>100</v>
      </c>
      <c r="BL935" t="s">
        <v>1283</v>
      </c>
      <c r="BM935" t="s">
        <v>18274</v>
      </c>
      <c r="BN935" t="s">
        <v>74</v>
      </c>
      <c r="BO935" t="s">
        <v>1188</v>
      </c>
      <c r="BP935" t="s">
        <v>74</v>
      </c>
      <c r="BQ935" t="s">
        <v>74</v>
      </c>
      <c r="BR935" t="s">
        <v>104</v>
      </c>
      <c r="BS935" t="s">
        <v>18275</v>
      </c>
      <c r="BT935" t="str">
        <f>HYPERLINK("https%3A%2F%2Fwww.webofscience.com%2Fwos%2Fwoscc%2Ffull-record%2FWOS:000572348200004","View Full Record in Web of Science")</f>
        <v>View Full Record in Web of Science</v>
      </c>
    </row>
    <row r="936" spans="1:72" x14ac:dyDescent="0.15">
      <c r="A936" t="s">
        <v>72</v>
      </c>
      <c r="B936" t="s">
        <v>18276</v>
      </c>
      <c r="C936" t="s">
        <v>74</v>
      </c>
      <c r="D936" t="s">
        <v>74</v>
      </c>
      <c r="E936" t="s">
        <v>74</v>
      </c>
      <c r="F936" t="s">
        <v>18277</v>
      </c>
      <c r="G936" t="s">
        <v>74</v>
      </c>
      <c r="H936" t="s">
        <v>74</v>
      </c>
      <c r="I936" t="s">
        <v>18278</v>
      </c>
      <c r="J936" t="s">
        <v>18279</v>
      </c>
      <c r="K936" t="s">
        <v>74</v>
      </c>
      <c r="L936" t="s">
        <v>74</v>
      </c>
      <c r="M936" t="s">
        <v>78</v>
      </c>
      <c r="N936" t="s">
        <v>79</v>
      </c>
      <c r="O936" t="s">
        <v>74</v>
      </c>
      <c r="P936" t="s">
        <v>74</v>
      </c>
      <c r="Q936" t="s">
        <v>74</v>
      </c>
      <c r="R936" t="s">
        <v>74</v>
      </c>
      <c r="S936" t="s">
        <v>74</v>
      </c>
      <c r="T936" t="s">
        <v>18280</v>
      </c>
      <c r="U936" t="s">
        <v>18281</v>
      </c>
      <c r="V936" t="s">
        <v>18282</v>
      </c>
      <c r="W936" t="s">
        <v>18283</v>
      </c>
      <c r="X936" t="s">
        <v>18284</v>
      </c>
      <c r="Y936" t="s">
        <v>18285</v>
      </c>
      <c r="Z936" t="s">
        <v>18286</v>
      </c>
      <c r="AA936" t="s">
        <v>18287</v>
      </c>
      <c r="AB936" t="s">
        <v>18288</v>
      </c>
      <c r="AC936" t="s">
        <v>18289</v>
      </c>
      <c r="AD936" t="s">
        <v>18290</v>
      </c>
      <c r="AE936" t="s">
        <v>18291</v>
      </c>
      <c r="AF936" t="s">
        <v>74</v>
      </c>
      <c r="AG936">
        <v>76</v>
      </c>
      <c r="AH936">
        <v>4</v>
      </c>
      <c r="AI936">
        <v>5</v>
      </c>
      <c r="AJ936">
        <v>1</v>
      </c>
      <c r="AK936">
        <v>15</v>
      </c>
      <c r="AL936" t="s">
        <v>275</v>
      </c>
      <c r="AM936" t="s">
        <v>276</v>
      </c>
      <c r="AN936" t="s">
        <v>277</v>
      </c>
      <c r="AO936" t="s">
        <v>18292</v>
      </c>
      <c r="AP936" t="s">
        <v>18293</v>
      </c>
      <c r="AQ936" t="s">
        <v>74</v>
      </c>
      <c r="AR936" t="s">
        <v>18294</v>
      </c>
      <c r="AS936" t="s">
        <v>18295</v>
      </c>
      <c r="AT936" t="s">
        <v>894</v>
      </c>
      <c r="AU936">
        <v>2020</v>
      </c>
      <c r="AV936">
        <v>82</v>
      </c>
      <c r="AW936" t="s">
        <v>74</v>
      </c>
      <c r="AX936" t="s">
        <v>74</v>
      </c>
      <c r="AY936" t="s">
        <v>74</v>
      </c>
      <c r="AZ936" t="s">
        <v>74</v>
      </c>
      <c r="BA936" t="s">
        <v>74</v>
      </c>
      <c r="BB936" t="s">
        <v>74</v>
      </c>
      <c r="BC936" t="s">
        <v>74</v>
      </c>
      <c r="BD936">
        <v>104312</v>
      </c>
      <c r="BE936" t="s">
        <v>18296</v>
      </c>
      <c r="BF936" t="str">
        <f>HYPERLINK("http://dx.doi.org/10.1016/j.meegid.2020.104312","http://dx.doi.org/10.1016/j.meegid.2020.104312")</f>
        <v>http://dx.doi.org/10.1016/j.meegid.2020.104312</v>
      </c>
      <c r="BG936" t="s">
        <v>74</v>
      </c>
      <c r="BH936" t="s">
        <v>74</v>
      </c>
      <c r="BI936">
        <v>10</v>
      </c>
      <c r="BJ936" t="s">
        <v>18297</v>
      </c>
      <c r="BK936" t="s">
        <v>100</v>
      </c>
      <c r="BL936" t="s">
        <v>18297</v>
      </c>
      <c r="BM936" t="s">
        <v>18298</v>
      </c>
      <c r="BN936">
        <v>32247867</v>
      </c>
      <c r="BO936" t="s">
        <v>74</v>
      </c>
      <c r="BP936" t="s">
        <v>74</v>
      </c>
      <c r="BQ936" t="s">
        <v>74</v>
      </c>
      <c r="BR936" t="s">
        <v>104</v>
      </c>
      <c r="BS936" t="s">
        <v>18299</v>
      </c>
      <c r="BT936" t="str">
        <f>HYPERLINK("https%3A%2F%2Fwww.webofscience.com%2Fwos%2Fwoscc%2Ffull-record%2FWOS:000571457700014","View Full Record in Web of Science")</f>
        <v>View Full Record in Web of Science</v>
      </c>
    </row>
    <row r="937" spans="1:72" x14ac:dyDescent="0.15">
      <c r="A937" t="s">
        <v>72</v>
      </c>
      <c r="B937" t="s">
        <v>18300</v>
      </c>
      <c r="C937" t="s">
        <v>74</v>
      </c>
      <c r="D937" t="s">
        <v>74</v>
      </c>
      <c r="E937" t="s">
        <v>74</v>
      </c>
      <c r="F937" t="s">
        <v>18301</v>
      </c>
      <c r="G937" t="s">
        <v>74</v>
      </c>
      <c r="H937" t="s">
        <v>74</v>
      </c>
      <c r="I937" t="s">
        <v>18302</v>
      </c>
      <c r="J937" t="s">
        <v>7301</v>
      </c>
      <c r="K937" t="s">
        <v>74</v>
      </c>
      <c r="L937" t="s">
        <v>74</v>
      </c>
      <c r="M937" t="s">
        <v>78</v>
      </c>
      <c r="N937" t="s">
        <v>7302</v>
      </c>
      <c r="O937" t="s">
        <v>74</v>
      </c>
      <c r="P937" t="s">
        <v>74</v>
      </c>
      <c r="Q937" t="s">
        <v>74</v>
      </c>
      <c r="R937" t="s">
        <v>74</v>
      </c>
      <c r="S937" t="s">
        <v>74</v>
      </c>
      <c r="T937" t="s">
        <v>18303</v>
      </c>
      <c r="U937" t="s">
        <v>18304</v>
      </c>
      <c r="V937" t="s">
        <v>18305</v>
      </c>
      <c r="W937" t="s">
        <v>18306</v>
      </c>
      <c r="X937" t="s">
        <v>9063</v>
      </c>
      <c r="Y937" t="s">
        <v>18307</v>
      </c>
      <c r="Z937" t="s">
        <v>18308</v>
      </c>
      <c r="AA937" t="s">
        <v>18309</v>
      </c>
      <c r="AB937" t="s">
        <v>18310</v>
      </c>
      <c r="AC937" t="s">
        <v>18311</v>
      </c>
      <c r="AD937" t="s">
        <v>18312</v>
      </c>
      <c r="AE937" t="s">
        <v>18313</v>
      </c>
      <c r="AF937" t="s">
        <v>74</v>
      </c>
      <c r="AG937">
        <v>16</v>
      </c>
      <c r="AH937">
        <v>3</v>
      </c>
      <c r="AI937">
        <v>3</v>
      </c>
      <c r="AJ937">
        <v>2</v>
      </c>
      <c r="AK937">
        <v>7</v>
      </c>
      <c r="AL937" t="s">
        <v>275</v>
      </c>
      <c r="AM937" t="s">
        <v>276</v>
      </c>
      <c r="AN937" t="s">
        <v>277</v>
      </c>
      <c r="AO937" t="s">
        <v>7314</v>
      </c>
      <c r="AP937" t="s">
        <v>74</v>
      </c>
      <c r="AQ937" t="s">
        <v>74</v>
      </c>
      <c r="AR937" t="s">
        <v>7315</v>
      </c>
      <c r="AS937" t="s">
        <v>7316</v>
      </c>
      <c r="AT937" t="s">
        <v>894</v>
      </c>
      <c r="AU937">
        <v>2020</v>
      </c>
      <c r="AV937">
        <v>31</v>
      </c>
      <c r="AW937" t="s">
        <v>74</v>
      </c>
      <c r="AX937" t="s">
        <v>74</v>
      </c>
      <c r="AY937" t="s">
        <v>74</v>
      </c>
      <c r="AZ937" t="s">
        <v>74</v>
      </c>
      <c r="BA937" t="s">
        <v>74</v>
      </c>
      <c r="BB937" t="s">
        <v>74</v>
      </c>
      <c r="BC937" t="s">
        <v>74</v>
      </c>
      <c r="BD937">
        <v>105873</v>
      </c>
      <c r="BE937" t="s">
        <v>18314</v>
      </c>
      <c r="BF937" t="str">
        <f>HYPERLINK("http://dx.doi.org/10.1016/j.dib.2020.105873","http://dx.doi.org/10.1016/j.dib.2020.105873")</f>
        <v>http://dx.doi.org/10.1016/j.dib.2020.105873</v>
      </c>
      <c r="BG937" t="s">
        <v>74</v>
      </c>
      <c r="BH937" t="s">
        <v>74</v>
      </c>
      <c r="BI937">
        <v>9</v>
      </c>
      <c r="BJ937" t="s">
        <v>329</v>
      </c>
      <c r="BK937" t="s">
        <v>1214</v>
      </c>
      <c r="BL937" t="s">
        <v>330</v>
      </c>
      <c r="BM937" t="s">
        <v>18315</v>
      </c>
      <c r="BN937">
        <v>32642508</v>
      </c>
      <c r="BO937" t="s">
        <v>332</v>
      </c>
      <c r="BP937" t="s">
        <v>74</v>
      </c>
      <c r="BQ937" t="s">
        <v>74</v>
      </c>
      <c r="BR937" t="s">
        <v>104</v>
      </c>
      <c r="BS937" t="s">
        <v>18316</v>
      </c>
      <c r="BT937" t="str">
        <f>HYPERLINK("https%3A%2F%2Fwww.webofscience.com%2Fwos%2Fwoscc%2Ffull-record%2FWOS:000569216000004","View Full Record in Web of Science")</f>
        <v>View Full Record in Web of Science</v>
      </c>
    </row>
    <row r="938" spans="1:72" x14ac:dyDescent="0.15">
      <c r="A938" t="s">
        <v>72</v>
      </c>
      <c r="B938" t="s">
        <v>18317</v>
      </c>
      <c r="C938" t="s">
        <v>74</v>
      </c>
      <c r="D938" t="s">
        <v>74</v>
      </c>
      <c r="E938" t="s">
        <v>74</v>
      </c>
      <c r="F938" t="s">
        <v>18318</v>
      </c>
      <c r="G938" t="s">
        <v>74</v>
      </c>
      <c r="H938" t="s">
        <v>74</v>
      </c>
      <c r="I938" t="s">
        <v>18319</v>
      </c>
      <c r="J938" t="s">
        <v>18320</v>
      </c>
      <c r="K938" t="s">
        <v>74</v>
      </c>
      <c r="L938" t="s">
        <v>74</v>
      </c>
      <c r="M938" t="s">
        <v>78</v>
      </c>
      <c r="N938" t="s">
        <v>79</v>
      </c>
      <c r="O938" t="s">
        <v>74</v>
      </c>
      <c r="P938" t="s">
        <v>74</v>
      </c>
      <c r="Q938" t="s">
        <v>74</v>
      </c>
      <c r="R938" t="s">
        <v>74</v>
      </c>
      <c r="S938" t="s">
        <v>74</v>
      </c>
      <c r="T938" t="s">
        <v>18321</v>
      </c>
      <c r="U938" t="s">
        <v>18322</v>
      </c>
      <c r="V938" t="s">
        <v>18323</v>
      </c>
      <c r="W938" t="s">
        <v>18324</v>
      </c>
      <c r="X938" t="s">
        <v>18325</v>
      </c>
      <c r="Y938" t="s">
        <v>18326</v>
      </c>
      <c r="Z938" t="s">
        <v>18327</v>
      </c>
      <c r="AA938" t="s">
        <v>18328</v>
      </c>
      <c r="AB938" t="s">
        <v>18329</v>
      </c>
      <c r="AC938" t="s">
        <v>18330</v>
      </c>
      <c r="AD938" t="s">
        <v>18331</v>
      </c>
      <c r="AE938" t="s">
        <v>18332</v>
      </c>
      <c r="AF938" t="s">
        <v>74</v>
      </c>
      <c r="AG938">
        <v>17</v>
      </c>
      <c r="AH938">
        <v>1</v>
      </c>
      <c r="AI938">
        <v>1</v>
      </c>
      <c r="AJ938">
        <v>2</v>
      </c>
      <c r="AK938">
        <v>11</v>
      </c>
      <c r="AL938" t="s">
        <v>275</v>
      </c>
      <c r="AM938" t="s">
        <v>276</v>
      </c>
      <c r="AN938" t="s">
        <v>277</v>
      </c>
      <c r="AO938" t="s">
        <v>18333</v>
      </c>
      <c r="AP938" t="s">
        <v>18334</v>
      </c>
      <c r="AQ938" t="s">
        <v>74</v>
      </c>
      <c r="AR938" t="s">
        <v>18335</v>
      </c>
      <c r="AS938" t="s">
        <v>18336</v>
      </c>
      <c r="AT938" t="s">
        <v>894</v>
      </c>
      <c r="AU938">
        <v>2020</v>
      </c>
      <c r="AV938">
        <v>587</v>
      </c>
      <c r="AW938" t="s">
        <v>74</v>
      </c>
      <c r="AX938" t="s">
        <v>74</v>
      </c>
      <c r="AY938" t="s">
        <v>74</v>
      </c>
      <c r="AZ938" t="s">
        <v>74</v>
      </c>
      <c r="BA938" t="s">
        <v>74</v>
      </c>
      <c r="BB938" t="s">
        <v>74</v>
      </c>
      <c r="BC938" t="s">
        <v>74</v>
      </c>
      <c r="BD938">
        <v>124991</v>
      </c>
      <c r="BE938" t="s">
        <v>18337</v>
      </c>
      <c r="BF938" t="str">
        <f>HYPERLINK("http://dx.doi.org/10.1016/j.jhydrol.2020.124991","http://dx.doi.org/10.1016/j.jhydrol.2020.124991")</f>
        <v>http://dx.doi.org/10.1016/j.jhydrol.2020.124991</v>
      </c>
      <c r="BG938" t="s">
        <v>74</v>
      </c>
      <c r="BH938" t="s">
        <v>74</v>
      </c>
      <c r="BI938">
        <v>6</v>
      </c>
      <c r="BJ938" t="s">
        <v>18338</v>
      </c>
      <c r="BK938" t="s">
        <v>100</v>
      </c>
      <c r="BL938" t="s">
        <v>18339</v>
      </c>
      <c r="BM938" t="s">
        <v>18340</v>
      </c>
      <c r="BN938" t="s">
        <v>74</v>
      </c>
      <c r="BO938" t="s">
        <v>74</v>
      </c>
      <c r="BP938" t="s">
        <v>74</v>
      </c>
      <c r="BQ938" t="s">
        <v>74</v>
      </c>
      <c r="BR938" t="s">
        <v>104</v>
      </c>
      <c r="BS938" t="s">
        <v>18341</v>
      </c>
      <c r="BT938" t="str">
        <f>HYPERLINK("https%3A%2F%2Fwww.webofscience.com%2Fwos%2Fwoscc%2Ffull-record%2FWOS:000568819100091","View Full Record in Web of Science")</f>
        <v>View Full Record in Web of Science</v>
      </c>
    </row>
    <row r="939" spans="1:72" x14ac:dyDescent="0.15">
      <c r="A939" t="s">
        <v>72</v>
      </c>
      <c r="B939" t="s">
        <v>18342</v>
      </c>
      <c r="C939" t="s">
        <v>74</v>
      </c>
      <c r="D939" t="s">
        <v>74</v>
      </c>
      <c r="E939" t="s">
        <v>74</v>
      </c>
      <c r="F939" t="s">
        <v>18343</v>
      </c>
      <c r="G939" t="s">
        <v>74</v>
      </c>
      <c r="H939" t="s">
        <v>74</v>
      </c>
      <c r="I939" t="s">
        <v>18344</v>
      </c>
      <c r="J939" t="s">
        <v>2343</v>
      </c>
      <c r="K939" t="s">
        <v>74</v>
      </c>
      <c r="L939" t="s">
        <v>74</v>
      </c>
      <c r="M939" t="s">
        <v>78</v>
      </c>
      <c r="N939" t="s">
        <v>79</v>
      </c>
      <c r="O939" t="s">
        <v>74</v>
      </c>
      <c r="P939" t="s">
        <v>74</v>
      </c>
      <c r="Q939" t="s">
        <v>74</v>
      </c>
      <c r="R939" t="s">
        <v>74</v>
      </c>
      <c r="S939" t="s">
        <v>74</v>
      </c>
      <c r="T939" t="s">
        <v>18345</v>
      </c>
      <c r="U939" t="s">
        <v>18346</v>
      </c>
      <c r="V939" t="s">
        <v>18347</v>
      </c>
      <c r="W939" t="s">
        <v>18348</v>
      </c>
      <c r="X939" t="s">
        <v>17108</v>
      </c>
      <c r="Y939" t="s">
        <v>18349</v>
      </c>
      <c r="Z939" t="s">
        <v>18350</v>
      </c>
      <c r="AA939" t="s">
        <v>18351</v>
      </c>
      <c r="AB939" t="s">
        <v>18352</v>
      </c>
      <c r="AC939" t="s">
        <v>18353</v>
      </c>
      <c r="AD939" t="s">
        <v>18354</v>
      </c>
      <c r="AE939" t="s">
        <v>18355</v>
      </c>
      <c r="AF939" t="s">
        <v>74</v>
      </c>
      <c r="AG939">
        <v>51</v>
      </c>
      <c r="AH939">
        <v>16</v>
      </c>
      <c r="AI939">
        <v>16</v>
      </c>
      <c r="AJ939">
        <v>1</v>
      </c>
      <c r="AK939">
        <v>10</v>
      </c>
      <c r="AL939" t="s">
        <v>2085</v>
      </c>
      <c r="AM939" t="s">
        <v>2086</v>
      </c>
      <c r="AN939" t="s">
        <v>2087</v>
      </c>
      <c r="AO939" t="s">
        <v>74</v>
      </c>
      <c r="AP939" t="s">
        <v>2356</v>
      </c>
      <c r="AQ939" t="s">
        <v>74</v>
      </c>
      <c r="AR939" t="s">
        <v>2357</v>
      </c>
      <c r="AS939" t="s">
        <v>2358</v>
      </c>
      <c r="AT939" t="s">
        <v>894</v>
      </c>
      <c r="AU939">
        <v>2020</v>
      </c>
      <c r="AV939">
        <v>11</v>
      </c>
      <c r="AW939">
        <v>8</v>
      </c>
      <c r="AX939" t="s">
        <v>74</v>
      </c>
      <c r="AY939" t="s">
        <v>74</v>
      </c>
      <c r="AZ939" t="s">
        <v>74</v>
      </c>
      <c r="BA939" t="s">
        <v>74</v>
      </c>
      <c r="BB939" t="s">
        <v>74</v>
      </c>
      <c r="BC939" t="s">
        <v>74</v>
      </c>
      <c r="BD939">
        <v>795</v>
      </c>
      <c r="BE939" t="s">
        <v>18356</v>
      </c>
      <c r="BF939" t="str">
        <f>HYPERLINK("http://dx.doi.org/10.3390/atmos11080795","http://dx.doi.org/10.3390/atmos11080795")</f>
        <v>http://dx.doi.org/10.3390/atmos11080795</v>
      </c>
      <c r="BG939" t="s">
        <v>74</v>
      </c>
      <c r="BH939" t="s">
        <v>74</v>
      </c>
      <c r="BI939">
        <v>26</v>
      </c>
      <c r="BJ939" t="s">
        <v>1027</v>
      </c>
      <c r="BK939" t="s">
        <v>100</v>
      </c>
      <c r="BL939" t="s">
        <v>1028</v>
      </c>
      <c r="BM939" t="s">
        <v>18357</v>
      </c>
      <c r="BN939" t="s">
        <v>74</v>
      </c>
      <c r="BO939" t="s">
        <v>202</v>
      </c>
      <c r="BP939" t="s">
        <v>74</v>
      </c>
      <c r="BQ939" t="s">
        <v>74</v>
      </c>
      <c r="BR939" t="s">
        <v>104</v>
      </c>
      <c r="BS939" t="s">
        <v>18358</v>
      </c>
      <c r="BT939" t="str">
        <f>HYPERLINK("https%3A%2F%2Fwww.webofscience.com%2Fwos%2Fwoscc%2Ffull-record%2FWOS:000568108200001","View Full Record in Web of Science")</f>
        <v>View Full Record in Web of Science</v>
      </c>
    </row>
    <row r="940" spans="1:72" x14ac:dyDescent="0.15">
      <c r="A940" t="s">
        <v>72</v>
      </c>
      <c r="B940" t="s">
        <v>18359</v>
      </c>
      <c r="C940" t="s">
        <v>74</v>
      </c>
      <c r="D940" t="s">
        <v>74</v>
      </c>
      <c r="E940" t="s">
        <v>74</v>
      </c>
      <c r="F940" t="s">
        <v>18360</v>
      </c>
      <c r="G940" t="s">
        <v>74</v>
      </c>
      <c r="H940" t="s">
        <v>74</v>
      </c>
      <c r="I940" t="s">
        <v>18361</v>
      </c>
      <c r="J940" t="s">
        <v>1855</v>
      </c>
      <c r="K940" t="s">
        <v>74</v>
      </c>
      <c r="L940" t="s">
        <v>74</v>
      </c>
      <c r="M940" t="s">
        <v>78</v>
      </c>
      <c r="N940" t="s">
        <v>79</v>
      </c>
      <c r="O940" t="s">
        <v>74</v>
      </c>
      <c r="P940" t="s">
        <v>74</v>
      </c>
      <c r="Q940" t="s">
        <v>74</v>
      </c>
      <c r="R940" t="s">
        <v>74</v>
      </c>
      <c r="S940" t="s">
        <v>74</v>
      </c>
      <c r="T940" t="s">
        <v>74</v>
      </c>
      <c r="U940" t="s">
        <v>18362</v>
      </c>
      <c r="V940" t="s">
        <v>18363</v>
      </c>
      <c r="W940" t="s">
        <v>18364</v>
      </c>
      <c r="X940" t="s">
        <v>18365</v>
      </c>
      <c r="Y940" t="s">
        <v>18366</v>
      </c>
      <c r="Z940" t="s">
        <v>18367</v>
      </c>
      <c r="AA940" t="s">
        <v>18368</v>
      </c>
      <c r="AB940" t="s">
        <v>18369</v>
      </c>
      <c r="AC940" t="s">
        <v>18370</v>
      </c>
      <c r="AD940" t="s">
        <v>18371</v>
      </c>
      <c r="AE940" t="s">
        <v>18372</v>
      </c>
      <c r="AF940" t="s">
        <v>74</v>
      </c>
      <c r="AG940">
        <v>50</v>
      </c>
      <c r="AH940">
        <v>9</v>
      </c>
      <c r="AI940">
        <v>9</v>
      </c>
      <c r="AJ940">
        <v>0</v>
      </c>
      <c r="AK940">
        <v>7</v>
      </c>
      <c r="AL940" t="s">
        <v>1710</v>
      </c>
      <c r="AM940" t="s">
        <v>609</v>
      </c>
      <c r="AN940" t="s">
        <v>1711</v>
      </c>
      <c r="AO940" t="s">
        <v>1867</v>
      </c>
      <c r="AP940" t="s">
        <v>1868</v>
      </c>
      <c r="AQ940" t="s">
        <v>74</v>
      </c>
      <c r="AR940" t="s">
        <v>1869</v>
      </c>
      <c r="AS940" t="s">
        <v>1870</v>
      </c>
      <c r="AT940" t="s">
        <v>894</v>
      </c>
      <c r="AU940">
        <v>2020</v>
      </c>
      <c r="AV940">
        <v>35</v>
      </c>
      <c r="AW940">
        <v>8</v>
      </c>
      <c r="AX940" t="s">
        <v>74</v>
      </c>
      <c r="AY940" t="s">
        <v>74</v>
      </c>
      <c r="AZ940" t="s">
        <v>74</v>
      </c>
      <c r="BA940" t="s">
        <v>74</v>
      </c>
      <c r="BB940" t="s">
        <v>74</v>
      </c>
      <c r="BC940" t="s">
        <v>74</v>
      </c>
      <c r="BD940" t="s">
        <v>18373</v>
      </c>
      <c r="BE940" t="s">
        <v>18374</v>
      </c>
      <c r="BF940" t="str">
        <f>HYPERLINK("http://dx.doi.org/10.1029/2020PA003867","http://dx.doi.org/10.1029/2020PA003867")</f>
        <v>http://dx.doi.org/10.1029/2020PA003867</v>
      </c>
      <c r="BG940" t="s">
        <v>74</v>
      </c>
      <c r="BH940" t="s">
        <v>74</v>
      </c>
      <c r="BI940">
        <v>13</v>
      </c>
      <c r="BJ940" t="s">
        <v>1873</v>
      </c>
      <c r="BK940" t="s">
        <v>100</v>
      </c>
      <c r="BL940" t="s">
        <v>1874</v>
      </c>
      <c r="BM940" t="s">
        <v>18375</v>
      </c>
      <c r="BN940" t="s">
        <v>74</v>
      </c>
      <c r="BO940" t="s">
        <v>701</v>
      </c>
      <c r="BP940" t="s">
        <v>74</v>
      </c>
      <c r="BQ940" t="s">
        <v>74</v>
      </c>
      <c r="BR940" t="s">
        <v>104</v>
      </c>
      <c r="BS940" t="s">
        <v>18376</v>
      </c>
      <c r="BT940" t="str">
        <f>HYPERLINK("https%3A%2F%2Fwww.webofscience.com%2Fwos%2Fwoscc%2Ffull-record%2FWOS:000567508700008","View Full Record in Web of Science")</f>
        <v>View Full Record in Web of Science</v>
      </c>
    </row>
    <row r="941" spans="1:72" x14ac:dyDescent="0.15">
      <c r="A941" t="s">
        <v>72</v>
      </c>
      <c r="B941" t="s">
        <v>18377</v>
      </c>
      <c r="C941" t="s">
        <v>74</v>
      </c>
      <c r="D941" t="s">
        <v>74</v>
      </c>
      <c r="E941" t="s">
        <v>74</v>
      </c>
      <c r="F941" t="s">
        <v>18378</v>
      </c>
      <c r="G941" t="s">
        <v>74</v>
      </c>
      <c r="H941" t="s">
        <v>74</v>
      </c>
      <c r="I941" t="s">
        <v>18379</v>
      </c>
      <c r="J941" t="s">
        <v>1855</v>
      </c>
      <c r="K941" t="s">
        <v>74</v>
      </c>
      <c r="L941" t="s">
        <v>74</v>
      </c>
      <c r="M941" t="s">
        <v>78</v>
      </c>
      <c r="N941" t="s">
        <v>79</v>
      </c>
      <c r="O941" t="s">
        <v>74</v>
      </c>
      <c r="P941" t="s">
        <v>74</v>
      </c>
      <c r="Q941" t="s">
        <v>74</v>
      </c>
      <c r="R941" t="s">
        <v>74</v>
      </c>
      <c r="S941" t="s">
        <v>74</v>
      </c>
      <c r="T941" t="s">
        <v>74</v>
      </c>
      <c r="U941" t="s">
        <v>18380</v>
      </c>
      <c r="V941" t="s">
        <v>18381</v>
      </c>
      <c r="W941" t="s">
        <v>18382</v>
      </c>
      <c r="X941" t="s">
        <v>18383</v>
      </c>
      <c r="Y941" t="s">
        <v>18384</v>
      </c>
      <c r="Z941" t="s">
        <v>18385</v>
      </c>
      <c r="AA941" t="s">
        <v>18386</v>
      </c>
      <c r="AB941" t="s">
        <v>18387</v>
      </c>
      <c r="AC941" t="s">
        <v>18388</v>
      </c>
      <c r="AD941" t="s">
        <v>18389</v>
      </c>
      <c r="AE941" t="s">
        <v>18390</v>
      </c>
      <c r="AF941" t="s">
        <v>74</v>
      </c>
      <c r="AG941">
        <v>83</v>
      </c>
      <c r="AH941">
        <v>11</v>
      </c>
      <c r="AI941">
        <v>12</v>
      </c>
      <c r="AJ941">
        <v>3</v>
      </c>
      <c r="AK941">
        <v>25</v>
      </c>
      <c r="AL941" t="s">
        <v>1710</v>
      </c>
      <c r="AM941" t="s">
        <v>609</v>
      </c>
      <c r="AN941" t="s">
        <v>1711</v>
      </c>
      <c r="AO941" t="s">
        <v>1867</v>
      </c>
      <c r="AP941" t="s">
        <v>1868</v>
      </c>
      <c r="AQ941" t="s">
        <v>74</v>
      </c>
      <c r="AR941" t="s">
        <v>1869</v>
      </c>
      <c r="AS941" t="s">
        <v>1870</v>
      </c>
      <c r="AT941" t="s">
        <v>894</v>
      </c>
      <c r="AU941">
        <v>2020</v>
      </c>
      <c r="AV941">
        <v>35</v>
      </c>
      <c r="AW941">
        <v>8</v>
      </c>
      <c r="AX941" t="s">
        <v>74</v>
      </c>
      <c r="AY941" t="s">
        <v>74</v>
      </c>
      <c r="AZ941" t="s">
        <v>74</v>
      </c>
      <c r="BA941" t="s">
        <v>74</v>
      </c>
      <c r="BB941" t="s">
        <v>74</v>
      </c>
      <c r="BC941" t="s">
        <v>74</v>
      </c>
      <c r="BD941" t="s">
        <v>18391</v>
      </c>
      <c r="BE941" t="s">
        <v>18392</v>
      </c>
      <c r="BF941" t="str">
        <f>HYPERLINK("http://dx.doi.org/10.1029/2020PA003915","http://dx.doi.org/10.1029/2020PA003915")</f>
        <v>http://dx.doi.org/10.1029/2020PA003915</v>
      </c>
      <c r="BG941" t="s">
        <v>74</v>
      </c>
      <c r="BH941" t="s">
        <v>74</v>
      </c>
      <c r="BI941">
        <v>18</v>
      </c>
      <c r="BJ941" t="s">
        <v>1873</v>
      </c>
      <c r="BK941" t="s">
        <v>100</v>
      </c>
      <c r="BL941" t="s">
        <v>1874</v>
      </c>
      <c r="BM941" t="s">
        <v>18375</v>
      </c>
      <c r="BN941" t="s">
        <v>74</v>
      </c>
      <c r="BO941" t="s">
        <v>1894</v>
      </c>
      <c r="BP941" t="s">
        <v>74</v>
      </c>
      <c r="BQ941" t="s">
        <v>74</v>
      </c>
      <c r="BR941" t="s">
        <v>104</v>
      </c>
      <c r="BS941" t="s">
        <v>18393</v>
      </c>
      <c r="BT941" t="str">
        <f>HYPERLINK("https%3A%2F%2Fwww.webofscience.com%2Fwos%2Fwoscc%2Ffull-record%2FWOS:000567508700002","View Full Record in Web of Science")</f>
        <v>View Full Record in Web of Science</v>
      </c>
    </row>
    <row r="942" spans="1:72" x14ac:dyDescent="0.15">
      <c r="A942" t="s">
        <v>72</v>
      </c>
      <c r="B942" t="s">
        <v>18394</v>
      </c>
      <c r="C942" t="s">
        <v>74</v>
      </c>
      <c r="D942" t="s">
        <v>74</v>
      </c>
      <c r="E942" t="s">
        <v>74</v>
      </c>
      <c r="F942" t="s">
        <v>18395</v>
      </c>
      <c r="G942" t="s">
        <v>74</v>
      </c>
      <c r="H942" t="s">
        <v>74</v>
      </c>
      <c r="I942" t="s">
        <v>18396</v>
      </c>
      <c r="J942" t="s">
        <v>1855</v>
      </c>
      <c r="K942" t="s">
        <v>74</v>
      </c>
      <c r="L942" t="s">
        <v>74</v>
      </c>
      <c r="M942" t="s">
        <v>78</v>
      </c>
      <c r="N942" t="s">
        <v>79</v>
      </c>
      <c r="O942" t="s">
        <v>74</v>
      </c>
      <c r="P942" t="s">
        <v>74</v>
      </c>
      <c r="Q942" t="s">
        <v>74</v>
      </c>
      <c r="R942" t="s">
        <v>74</v>
      </c>
      <c r="S942" t="s">
        <v>74</v>
      </c>
      <c r="T942" t="s">
        <v>74</v>
      </c>
      <c r="U942" t="s">
        <v>18397</v>
      </c>
      <c r="V942" t="s">
        <v>18398</v>
      </c>
      <c r="W942" t="s">
        <v>18399</v>
      </c>
      <c r="X942" t="s">
        <v>18400</v>
      </c>
      <c r="Y942" t="s">
        <v>18401</v>
      </c>
      <c r="Z942" t="s">
        <v>18402</v>
      </c>
      <c r="AA942" t="s">
        <v>18403</v>
      </c>
      <c r="AB942" t="s">
        <v>18404</v>
      </c>
      <c r="AC942" t="s">
        <v>18405</v>
      </c>
      <c r="AD942" t="s">
        <v>18406</v>
      </c>
      <c r="AE942" t="s">
        <v>18407</v>
      </c>
      <c r="AF942" t="s">
        <v>74</v>
      </c>
      <c r="AG942">
        <v>130</v>
      </c>
      <c r="AH942">
        <v>7</v>
      </c>
      <c r="AI942">
        <v>7</v>
      </c>
      <c r="AJ942">
        <v>0</v>
      </c>
      <c r="AK942">
        <v>15</v>
      </c>
      <c r="AL942" t="s">
        <v>1710</v>
      </c>
      <c r="AM942" t="s">
        <v>609</v>
      </c>
      <c r="AN942" t="s">
        <v>1711</v>
      </c>
      <c r="AO942" t="s">
        <v>1867</v>
      </c>
      <c r="AP942" t="s">
        <v>1868</v>
      </c>
      <c r="AQ942" t="s">
        <v>74</v>
      </c>
      <c r="AR942" t="s">
        <v>1869</v>
      </c>
      <c r="AS942" t="s">
        <v>1870</v>
      </c>
      <c r="AT942" t="s">
        <v>894</v>
      </c>
      <c r="AU942">
        <v>2020</v>
      </c>
      <c r="AV942">
        <v>35</v>
      </c>
      <c r="AW942">
        <v>8</v>
      </c>
      <c r="AX942" t="s">
        <v>74</v>
      </c>
      <c r="AY942" t="s">
        <v>74</v>
      </c>
      <c r="AZ942" t="s">
        <v>74</v>
      </c>
      <c r="BA942" t="s">
        <v>74</v>
      </c>
      <c r="BB942" t="s">
        <v>74</v>
      </c>
      <c r="BC942" t="s">
        <v>74</v>
      </c>
      <c r="BD942" t="s">
        <v>18408</v>
      </c>
      <c r="BE942" t="s">
        <v>18409</v>
      </c>
      <c r="BF942" t="str">
        <f>HYPERLINK("http://dx.doi.org/10.1029/2020PA003887","http://dx.doi.org/10.1029/2020PA003887")</f>
        <v>http://dx.doi.org/10.1029/2020PA003887</v>
      </c>
      <c r="BG942" t="s">
        <v>74</v>
      </c>
      <c r="BH942" t="s">
        <v>74</v>
      </c>
      <c r="BI942">
        <v>25</v>
      </c>
      <c r="BJ942" t="s">
        <v>1873</v>
      </c>
      <c r="BK942" t="s">
        <v>100</v>
      </c>
      <c r="BL942" t="s">
        <v>1874</v>
      </c>
      <c r="BM942" t="s">
        <v>18375</v>
      </c>
      <c r="BN942" t="s">
        <v>74</v>
      </c>
      <c r="BO942" t="s">
        <v>74</v>
      </c>
      <c r="BP942" t="s">
        <v>74</v>
      </c>
      <c r="BQ942" t="s">
        <v>74</v>
      </c>
      <c r="BR942" t="s">
        <v>104</v>
      </c>
      <c r="BS942" t="s">
        <v>18410</v>
      </c>
      <c r="BT942" t="str">
        <f>HYPERLINK("https%3A%2F%2Fwww.webofscience.com%2Fwos%2Fwoscc%2Ffull-record%2FWOS:000567508700009","View Full Record in Web of Science")</f>
        <v>View Full Record in Web of Science</v>
      </c>
    </row>
    <row r="943" spans="1:72" x14ac:dyDescent="0.15">
      <c r="A943" t="s">
        <v>72</v>
      </c>
      <c r="B943" t="s">
        <v>18411</v>
      </c>
      <c r="C943" t="s">
        <v>74</v>
      </c>
      <c r="D943" t="s">
        <v>74</v>
      </c>
      <c r="E943" t="s">
        <v>74</v>
      </c>
      <c r="F943" t="s">
        <v>18412</v>
      </c>
      <c r="G943" t="s">
        <v>74</v>
      </c>
      <c r="H943" t="s">
        <v>74</v>
      </c>
      <c r="I943" t="s">
        <v>18413</v>
      </c>
      <c r="J943" t="s">
        <v>1855</v>
      </c>
      <c r="K943" t="s">
        <v>74</v>
      </c>
      <c r="L943" t="s">
        <v>74</v>
      </c>
      <c r="M943" t="s">
        <v>78</v>
      </c>
      <c r="N943" t="s">
        <v>79</v>
      </c>
      <c r="O943" t="s">
        <v>74</v>
      </c>
      <c r="P943" t="s">
        <v>74</v>
      </c>
      <c r="Q943" t="s">
        <v>74</v>
      </c>
      <c r="R943" t="s">
        <v>74</v>
      </c>
      <c r="S943" t="s">
        <v>74</v>
      </c>
      <c r="T943" t="s">
        <v>18414</v>
      </c>
      <c r="U943" t="s">
        <v>18415</v>
      </c>
      <c r="V943" t="s">
        <v>18416</v>
      </c>
      <c r="W943" t="s">
        <v>18417</v>
      </c>
      <c r="X943" t="s">
        <v>18418</v>
      </c>
      <c r="Y943" t="s">
        <v>18419</v>
      </c>
      <c r="Z943" t="s">
        <v>18420</v>
      </c>
      <c r="AA943" t="s">
        <v>18421</v>
      </c>
      <c r="AB943" t="s">
        <v>18422</v>
      </c>
      <c r="AC943" t="s">
        <v>18423</v>
      </c>
      <c r="AD943" t="s">
        <v>18424</v>
      </c>
      <c r="AE943" t="s">
        <v>18425</v>
      </c>
      <c r="AF943" t="s">
        <v>74</v>
      </c>
      <c r="AG943">
        <v>130</v>
      </c>
      <c r="AH943">
        <v>31</v>
      </c>
      <c r="AI943">
        <v>33</v>
      </c>
      <c r="AJ943">
        <v>1</v>
      </c>
      <c r="AK943">
        <v>26</v>
      </c>
      <c r="AL943" t="s">
        <v>1710</v>
      </c>
      <c r="AM943" t="s">
        <v>609</v>
      </c>
      <c r="AN943" t="s">
        <v>1711</v>
      </c>
      <c r="AO943" t="s">
        <v>1867</v>
      </c>
      <c r="AP943" t="s">
        <v>1868</v>
      </c>
      <c r="AQ943" t="s">
        <v>74</v>
      </c>
      <c r="AR943" t="s">
        <v>1869</v>
      </c>
      <c r="AS943" t="s">
        <v>1870</v>
      </c>
      <c r="AT943" t="s">
        <v>894</v>
      </c>
      <c r="AU943">
        <v>2020</v>
      </c>
      <c r="AV943">
        <v>35</v>
      </c>
      <c r="AW943">
        <v>8</v>
      </c>
      <c r="AX943" t="s">
        <v>74</v>
      </c>
      <c r="AY943" t="s">
        <v>74</v>
      </c>
      <c r="AZ943" t="s">
        <v>74</v>
      </c>
      <c r="BA943" t="s">
        <v>74</v>
      </c>
      <c r="BB943" t="s">
        <v>74</v>
      </c>
      <c r="BC943" t="s">
        <v>74</v>
      </c>
      <c r="BD943" t="s">
        <v>18426</v>
      </c>
      <c r="BE943" t="s">
        <v>18427</v>
      </c>
      <c r="BF943" t="str">
        <f>HYPERLINK("http://dx.doi.org/10.1029/2020PA003889","http://dx.doi.org/10.1029/2020PA003889")</f>
        <v>http://dx.doi.org/10.1029/2020PA003889</v>
      </c>
      <c r="BG943" t="s">
        <v>74</v>
      </c>
      <c r="BH943" t="s">
        <v>74</v>
      </c>
      <c r="BI943">
        <v>22</v>
      </c>
      <c r="BJ943" t="s">
        <v>1873</v>
      </c>
      <c r="BK943" t="s">
        <v>100</v>
      </c>
      <c r="BL943" t="s">
        <v>1874</v>
      </c>
      <c r="BM943" t="s">
        <v>18375</v>
      </c>
      <c r="BN943" t="s">
        <v>74</v>
      </c>
      <c r="BO943" t="s">
        <v>1259</v>
      </c>
      <c r="BP943" t="s">
        <v>74</v>
      </c>
      <c r="BQ943" t="s">
        <v>74</v>
      </c>
      <c r="BR943" t="s">
        <v>104</v>
      </c>
      <c r="BS943" t="s">
        <v>18428</v>
      </c>
      <c r="BT943" t="str">
        <f>HYPERLINK("https%3A%2F%2Fwww.webofscience.com%2Fwos%2Fwoscc%2Ffull-record%2FWOS:000567508700007","View Full Record in Web of Science")</f>
        <v>View Full Record in Web of Science</v>
      </c>
    </row>
    <row r="944" spans="1:72" x14ac:dyDescent="0.15">
      <c r="A944" t="s">
        <v>72</v>
      </c>
      <c r="B944" t="s">
        <v>18429</v>
      </c>
      <c r="C944" t="s">
        <v>74</v>
      </c>
      <c r="D944" t="s">
        <v>74</v>
      </c>
      <c r="E944" t="s">
        <v>74</v>
      </c>
      <c r="F944" t="s">
        <v>18430</v>
      </c>
      <c r="G944" t="s">
        <v>74</v>
      </c>
      <c r="H944" t="s">
        <v>74</v>
      </c>
      <c r="I944" t="s">
        <v>18431</v>
      </c>
      <c r="J944" t="s">
        <v>14134</v>
      </c>
      <c r="K944" t="s">
        <v>74</v>
      </c>
      <c r="L944" t="s">
        <v>74</v>
      </c>
      <c r="M944" t="s">
        <v>78</v>
      </c>
      <c r="N944" t="s">
        <v>79</v>
      </c>
      <c r="O944" t="s">
        <v>74</v>
      </c>
      <c r="P944" t="s">
        <v>74</v>
      </c>
      <c r="Q944" t="s">
        <v>74</v>
      </c>
      <c r="R944" t="s">
        <v>74</v>
      </c>
      <c r="S944" t="s">
        <v>74</v>
      </c>
      <c r="T944" t="s">
        <v>18432</v>
      </c>
      <c r="U944" t="s">
        <v>18433</v>
      </c>
      <c r="V944" t="s">
        <v>18434</v>
      </c>
      <c r="W944" t="s">
        <v>18435</v>
      </c>
      <c r="X944" t="s">
        <v>18436</v>
      </c>
      <c r="Y944" t="s">
        <v>18437</v>
      </c>
      <c r="Z944" t="s">
        <v>18438</v>
      </c>
      <c r="AA944" t="s">
        <v>18439</v>
      </c>
      <c r="AB944" t="s">
        <v>18440</v>
      </c>
      <c r="AC944" t="s">
        <v>18441</v>
      </c>
      <c r="AD944" t="s">
        <v>18442</v>
      </c>
      <c r="AE944" t="s">
        <v>18443</v>
      </c>
      <c r="AF944" t="s">
        <v>74</v>
      </c>
      <c r="AG944">
        <v>32</v>
      </c>
      <c r="AH944">
        <v>1</v>
      </c>
      <c r="AI944">
        <v>1</v>
      </c>
      <c r="AJ944">
        <v>0</v>
      </c>
      <c r="AK944">
        <v>10</v>
      </c>
      <c r="AL944" t="s">
        <v>2085</v>
      </c>
      <c r="AM944" t="s">
        <v>2086</v>
      </c>
      <c r="AN944" t="s">
        <v>2087</v>
      </c>
      <c r="AO944" t="s">
        <v>74</v>
      </c>
      <c r="AP944" t="s">
        <v>14144</v>
      </c>
      <c r="AQ944" t="s">
        <v>74</v>
      </c>
      <c r="AR944" t="s">
        <v>14145</v>
      </c>
      <c r="AS944" t="s">
        <v>14146</v>
      </c>
      <c r="AT944" t="s">
        <v>894</v>
      </c>
      <c r="AU944">
        <v>2020</v>
      </c>
      <c r="AV944">
        <v>20</v>
      </c>
      <c r="AW944">
        <v>15</v>
      </c>
      <c r="AX944" t="s">
        <v>74</v>
      </c>
      <c r="AY944" t="s">
        <v>74</v>
      </c>
      <c r="AZ944" t="s">
        <v>74</v>
      </c>
      <c r="BA944" t="s">
        <v>74</v>
      </c>
      <c r="BB944" t="s">
        <v>74</v>
      </c>
      <c r="BC944" t="s">
        <v>74</v>
      </c>
      <c r="BD944">
        <v>4267</v>
      </c>
      <c r="BE944" t="s">
        <v>18444</v>
      </c>
      <c r="BF944" t="str">
        <f>HYPERLINK("http://dx.doi.org/10.3390/s20154267","http://dx.doi.org/10.3390/s20154267")</f>
        <v>http://dx.doi.org/10.3390/s20154267</v>
      </c>
      <c r="BG944" t="s">
        <v>74</v>
      </c>
      <c r="BH944" t="s">
        <v>74</v>
      </c>
      <c r="BI944">
        <v>14</v>
      </c>
      <c r="BJ944" t="s">
        <v>14148</v>
      </c>
      <c r="BK944" t="s">
        <v>100</v>
      </c>
      <c r="BL944" t="s">
        <v>14149</v>
      </c>
      <c r="BM944" t="s">
        <v>18445</v>
      </c>
      <c r="BN944">
        <v>32751775</v>
      </c>
      <c r="BO944" t="s">
        <v>332</v>
      </c>
      <c r="BP944" t="s">
        <v>74</v>
      </c>
      <c r="BQ944" t="s">
        <v>74</v>
      </c>
      <c r="BR944" t="s">
        <v>104</v>
      </c>
      <c r="BS944" t="s">
        <v>18446</v>
      </c>
      <c r="BT944" t="str">
        <f>HYPERLINK("https%3A%2F%2Fwww.webofscience.com%2Fwos%2Fwoscc%2Ffull-record%2FWOS:000567258300001","View Full Record in Web of Science")</f>
        <v>View Full Record in Web of Science</v>
      </c>
    </row>
    <row r="945" spans="1:72" x14ac:dyDescent="0.15">
      <c r="A945" t="s">
        <v>72</v>
      </c>
      <c r="B945" t="s">
        <v>18447</v>
      </c>
      <c r="C945" t="s">
        <v>74</v>
      </c>
      <c r="D945" t="s">
        <v>74</v>
      </c>
      <c r="E945" t="s">
        <v>74</v>
      </c>
      <c r="F945" t="s">
        <v>18448</v>
      </c>
      <c r="G945" t="s">
        <v>74</v>
      </c>
      <c r="H945" t="s">
        <v>74</v>
      </c>
      <c r="I945" t="s">
        <v>18449</v>
      </c>
      <c r="J945" t="s">
        <v>18450</v>
      </c>
      <c r="K945" t="s">
        <v>74</v>
      </c>
      <c r="L945" t="s">
        <v>74</v>
      </c>
      <c r="M945" t="s">
        <v>78</v>
      </c>
      <c r="N945" t="s">
        <v>79</v>
      </c>
      <c r="O945" t="s">
        <v>74</v>
      </c>
      <c r="P945" t="s">
        <v>74</v>
      </c>
      <c r="Q945" t="s">
        <v>74</v>
      </c>
      <c r="R945" t="s">
        <v>74</v>
      </c>
      <c r="S945" t="s">
        <v>74</v>
      </c>
      <c r="T945" t="s">
        <v>74</v>
      </c>
      <c r="U945" t="s">
        <v>18451</v>
      </c>
      <c r="V945" t="s">
        <v>18452</v>
      </c>
      <c r="W945" t="s">
        <v>18453</v>
      </c>
      <c r="X945" t="s">
        <v>18454</v>
      </c>
      <c r="Y945" t="s">
        <v>18455</v>
      </c>
      <c r="Z945" t="s">
        <v>18456</v>
      </c>
      <c r="AA945" t="s">
        <v>18457</v>
      </c>
      <c r="AB945" t="s">
        <v>18458</v>
      </c>
      <c r="AC945" t="s">
        <v>18459</v>
      </c>
      <c r="AD945" t="s">
        <v>18460</v>
      </c>
      <c r="AE945" t="s">
        <v>18461</v>
      </c>
      <c r="AF945" t="s">
        <v>74</v>
      </c>
      <c r="AG945">
        <v>63</v>
      </c>
      <c r="AH945">
        <v>8</v>
      </c>
      <c r="AI945">
        <v>10</v>
      </c>
      <c r="AJ945">
        <v>3</v>
      </c>
      <c r="AK945">
        <v>7</v>
      </c>
      <c r="AL945" t="s">
        <v>1710</v>
      </c>
      <c r="AM945" t="s">
        <v>609</v>
      </c>
      <c r="AN945" t="s">
        <v>1711</v>
      </c>
      <c r="AO945" t="s">
        <v>18462</v>
      </c>
      <c r="AP945" t="s">
        <v>18463</v>
      </c>
      <c r="AQ945" t="s">
        <v>74</v>
      </c>
      <c r="AR945" t="s">
        <v>18450</v>
      </c>
      <c r="AS945" t="s">
        <v>18464</v>
      </c>
      <c r="AT945" t="s">
        <v>894</v>
      </c>
      <c r="AU945">
        <v>2020</v>
      </c>
      <c r="AV945">
        <v>39</v>
      </c>
      <c r="AW945">
        <v>8</v>
      </c>
      <c r="AX945" t="s">
        <v>74</v>
      </c>
      <c r="AY945" t="s">
        <v>74</v>
      </c>
      <c r="AZ945" t="s">
        <v>74</v>
      </c>
      <c r="BA945" t="s">
        <v>74</v>
      </c>
      <c r="BB945" t="s">
        <v>74</v>
      </c>
      <c r="BC945" t="s">
        <v>74</v>
      </c>
      <c r="BD945" t="s">
        <v>18465</v>
      </c>
      <c r="BE945" t="s">
        <v>18466</v>
      </c>
      <c r="BF945" t="str">
        <f>HYPERLINK("http://dx.doi.org/10.1029/2020TC006180","http://dx.doi.org/10.1029/2020TC006180")</f>
        <v>http://dx.doi.org/10.1029/2020TC006180</v>
      </c>
      <c r="BG945" t="s">
        <v>74</v>
      </c>
      <c r="BH945" t="s">
        <v>74</v>
      </c>
      <c r="BI945">
        <v>15</v>
      </c>
      <c r="BJ945" t="s">
        <v>1361</v>
      </c>
      <c r="BK945" t="s">
        <v>100</v>
      </c>
      <c r="BL945" t="s">
        <v>1361</v>
      </c>
      <c r="BM945" t="s">
        <v>18467</v>
      </c>
      <c r="BN945" t="s">
        <v>74</v>
      </c>
      <c r="BO945" t="s">
        <v>1259</v>
      </c>
      <c r="BP945" t="s">
        <v>74</v>
      </c>
      <c r="BQ945" t="s">
        <v>74</v>
      </c>
      <c r="BR945" t="s">
        <v>104</v>
      </c>
      <c r="BS945" t="s">
        <v>18468</v>
      </c>
      <c r="BT945" t="str">
        <f>HYPERLINK("https%3A%2F%2Fwww.webofscience.com%2Fwos%2Fwoscc%2Ffull-record%2FWOS:000567319100022","View Full Record in Web of Science")</f>
        <v>View Full Record in Web of Science</v>
      </c>
    </row>
    <row r="946" spans="1:72" x14ac:dyDescent="0.15">
      <c r="A946" t="s">
        <v>72</v>
      </c>
      <c r="B946" t="s">
        <v>18469</v>
      </c>
      <c r="C946" t="s">
        <v>74</v>
      </c>
      <c r="D946" t="s">
        <v>74</v>
      </c>
      <c r="E946" t="s">
        <v>74</v>
      </c>
      <c r="F946" t="s">
        <v>18470</v>
      </c>
      <c r="G946" t="s">
        <v>74</v>
      </c>
      <c r="H946" t="s">
        <v>74</v>
      </c>
      <c r="I946" t="s">
        <v>18471</v>
      </c>
      <c r="J946" t="s">
        <v>2173</v>
      </c>
      <c r="K946" t="s">
        <v>74</v>
      </c>
      <c r="L946" t="s">
        <v>74</v>
      </c>
      <c r="M946" t="s">
        <v>78</v>
      </c>
      <c r="N946" t="s">
        <v>79</v>
      </c>
      <c r="O946" t="s">
        <v>74</v>
      </c>
      <c r="P946" t="s">
        <v>74</v>
      </c>
      <c r="Q946" t="s">
        <v>74</v>
      </c>
      <c r="R946" t="s">
        <v>74</v>
      </c>
      <c r="S946" t="s">
        <v>74</v>
      </c>
      <c r="T946" t="s">
        <v>18472</v>
      </c>
      <c r="U946" t="s">
        <v>74</v>
      </c>
      <c r="V946" t="s">
        <v>18473</v>
      </c>
      <c r="W946" t="s">
        <v>18474</v>
      </c>
      <c r="X946" t="s">
        <v>18475</v>
      </c>
      <c r="Y946" t="s">
        <v>18476</v>
      </c>
      <c r="Z946" t="s">
        <v>18477</v>
      </c>
      <c r="AA946" t="s">
        <v>18478</v>
      </c>
      <c r="AB946" t="s">
        <v>18479</v>
      </c>
      <c r="AC946" t="s">
        <v>18480</v>
      </c>
      <c r="AD946" t="s">
        <v>18481</v>
      </c>
      <c r="AE946" t="s">
        <v>18482</v>
      </c>
      <c r="AF946" t="s">
        <v>74</v>
      </c>
      <c r="AG946">
        <v>15</v>
      </c>
      <c r="AH946">
        <v>12</v>
      </c>
      <c r="AI946">
        <v>12</v>
      </c>
      <c r="AJ946">
        <v>5</v>
      </c>
      <c r="AK946">
        <v>16</v>
      </c>
      <c r="AL946" t="s">
        <v>2085</v>
      </c>
      <c r="AM946" t="s">
        <v>2086</v>
      </c>
      <c r="AN946" t="s">
        <v>2087</v>
      </c>
      <c r="AO946" t="s">
        <v>74</v>
      </c>
      <c r="AP946" t="s">
        <v>2185</v>
      </c>
      <c r="AQ946" t="s">
        <v>74</v>
      </c>
      <c r="AR946" t="s">
        <v>2186</v>
      </c>
      <c r="AS946" t="s">
        <v>2187</v>
      </c>
      <c r="AT946" t="s">
        <v>894</v>
      </c>
      <c r="AU946">
        <v>2020</v>
      </c>
      <c r="AV946">
        <v>8</v>
      </c>
      <c r="AW946">
        <v>8</v>
      </c>
      <c r="AX946" t="s">
        <v>74</v>
      </c>
      <c r="AY946" t="s">
        <v>74</v>
      </c>
      <c r="AZ946" t="s">
        <v>74</v>
      </c>
      <c r="BA946" t="s">
        <v>74</v>
      </c>
      <c r="BB946" t="s">
        <v>74</v>
      </c>
      <c r="BC946" t="s">
        <v>74</v>
      </c>
      <c r="BD946">
        <v>618</v>
      </c>
      <c r="BE946" t="s">
        <v>18483</v>
      </c>
      <c r="BF946" t="str">
        <f>HYPERLINK("http://dx.doi.org/10.3390/jmse8080618","http://dx.doi.org/10.3390/jmse8080618")</f>
        <v>http://dx.doi.org/10.3390/jmse8080618</v>
      </c>
      <c r="BG946" t="s">
        <v>74</v>
      </c>
      <c r="BH946" t="s">
        <v>74</v>
      </c>
      <c r="BI946">
        <v>11</v>
      </c>
      <c r="BJ946" t="s">
        <v>2189</v>
      </c>
      <c r="BK946" t="s">
        <v>100</v>
      </c>
      <c r="BL946" t="s">
        <v>2190</v>
      </c>
      <c r="BM946" t="s">
        <v>18484</v>
      </c>
      <c r="BN946" t="s">
        <v>74</v>
      </c>
      <c r="BO946" t="s">
        <v>2486</v>
      </c>
      <c r="BP946" t="s">
        <v>74</v>
      </c>
      <c r="BQ946" t="s">
        <v>74</v>
      </c>
      <c r="BR946" t="s">
        <v>104</v>
      </c>
      <c r="BS946" t="s">
        <v>18485</v>
      </c>
      <c r="BT946" t="str">
        <f>HYPERLINK("https%3A%2F%2Fwww.webofscience.com%2Fwos%2Fwoscc%2Ffull-record%2FWOS:000567072100001","View Full Record in Web of Science")</f>
        <v>View Full Record in Web of Science</v>
      </c>
    </row>
    <row r="947" spans="1:72" x14ac:dyDescent="0.15">
      <c r="A947" t="s">
        <v>72</v>
      </c>
      <c r="B947" t="s">
        <v>18486</v>
      </c>
      <c r="C947" t="s">
        <v>74</v>
      </c>
      <c r="D947" t="s">
        <v>74</v>
      </c>
      <c r="E947" t="s">
        <v>74</v>
      </c>
      <c r="F947" t="s">
        <v>18487</v>
      </c>
      <c r="G947" t="s">
        <v>74</v>
      </c>
      <c r="H947" t="s">
        <v>74</v>
      </c>
      <c r="I947" t="s">
        <v>18488</v>
      </c>
      <c r="J947" t="s">
        <v>2259</v>
      </c>
      <c r="K947" t="s">
        <v>74</v>
      </c>
      <c r="L947" t="s">
        <v>74</v>
      </c>
      <c r="M947" t="s">
        <v>78</v>
      </c>
      <c r="N947" t="s">
        <v>79</v>
      </c>
      <c r="O947" t="s">
        <v>74</v>
      </c>
      <c r="P947" t="s">
        <v>74</v>
      </c>
      <c r="Q947" t="s">
        <v>74</v>
      </c>
      <c r="R947" t="s">
        <v>74</v>
      </c>
      <c r="S947" t="s">
        <v>74</v>
      </c>
      <c r="T947" t="s">
        <v>18489</v>
      </c>
      <c r="U947" t="s">
        <v>18490</v>
      </c>
      <c r="V947" t="s">
        <v>18491</v>
      </c>
      <c r="W947" t="s">
        <v>18492</v>
      </c>
      <c r="X947" t="s">
        <v>6471</v>
      </c>
      <c r="Y947" t="s">
        <v>18493</v>
      </c>
      <c r="Z947" t="s">
        <v>18494</v>
      </c>
      <c r="AA947" t="s">
        <v>18495</v>
      </c>
      <c r="AB947" t="s">
        <v>18496</v>
      </c>
      <c r="AC947" t="s">
        <v>18497</v>
      </c>
      <c r="AD947" t="s">
        <v>18498</v>
      </c>
      <c r="AE947" t="s">
        <v>18499</v>
      </c>
      <c r="AF947" t="s">
        <v>74</v>
      </c>
      <c r="AG947">
        <v>79</v>
      </c>
      <c r="AH947">
        <v>14</v>
      </c>
      <c r="AI947">
        <v>14</v>
      </c>
      <c r="AJ947">
        <v>2</v>
      </c>
      <c r="AK947">
        <v>11</v>
      </c>
      <c r="AL947" t="s">
        <v>2085</v>
      </c>
      <c r="AM947" t="s">
        <v>2086</v>
      </c>
      <c r="AN947" t="s">
        <v>2087</v>
      </c>
      <c r="AO947" t="s">
        <v>74</v>
      </c>
      <c r="AP947" t="s">
        <v>2272</v>
      </c>
      <c r="AQ947" t="s">
        <v>74</v>
      </c>
      <c r="AR947" t="s">
        <v>2259</v>
      </c>
      <c r="AS947" t="s">
        <v>2273</v>
      </c>
      <c r="AT947" t="s">
        <v>894</v>
      </c>
      <c r="AU947">
        <v>2020</v>
      </c>
      <c r="AV947">
        <v>8</v>
      </c>
      <c r="AW947">
        <v>8</v>
      </c>
      <c r="AX947" t="s">
        <v>74</v>
      </c>
      <c r="AY947" t="s">
        <v>74</v>
      </c>
      <c r="AZ947" t="s">
        <v>74</v>
      </c>
      <c r="BA947" t="s">
        <v>74</v>
      </c>
      <c r="BB947" t="s">
        <v>74</v>
      </c>
      <c r="BC947" t="s">
        <v>74</v>
      </c>
      <c r="BD947">
        <v>1202</v>
      </c>
      <c r="BE947" t="s">
        <v>18500</v>
      </c>
      <c r="BF947" t="str">
        <f>HYPERLINK("http://dx.doi.org/10.3390/microorganisms8081202","http://dx.doi.org/10.3390/microorganisms8081202")</f>
        <v>http://dx.doi.org/10.3390/microorganisms8081202</v>
      </c>
      <c r="BG947" t="s">
        <v>74</v>
      </c>
      <c r="BH947" t="s">
        <v>74</v>
      </c>
      <c r="BI947">
        <v>19</v>
      </c>
      <c r="BJ947" t="s">
        <v>229</v>
      </c>
      <c r="BK947" t="s">
        <v>100</v>
      </c>
      <c r="BL947" t="s">
        <v>229</v>
      </c>
      <c r="BM947" t="s">
        <v>18501</v>
      </c>
      <c r="BN947">
        <v>32784619</v>
      </c>
      <c r="BO947" t="s">
        <v>2113</v>
      </c>
      <c r="BP947" t="s">
        <v>74</v>
      </c>
      <c r="BQ947" t="s">
        <v>74</v>
      </c>
      <c r="BR947" t="s">
        <v>104</v>
      </c>
      <c r="BS947" t="s">
        <v>18502</v>
      </c>
      <c r="BT947" t="str">
        <f>HYPERLINK("https%3A%2F%2Fwww.webofscience.com%2Fwos%2Fwoscc%2Ffull-record%2FWOS:000567220900001","View Full Record in Web of Science")</f>
        <v>View Full Record in Web of Science</v>
      </c>
    </row>
    <row r="948" spans="1:72" x14ac:dyDescent="0.15">
      <c r="A948" t="s">
        <v>72</v>
      </c>
      <c r="B948" t="s">
        <v>18503</v>
      </c>
      <c r="C948" t="s">
        <v>74</v>
      </c>
      <c r="D948" t="s">
        <v>74</v>
      </c>
      <c r="E948" t="s">
        <v>74</v>
      </c>
      <c r="F948" t="s">
        <v>18504</v>
      </c>
      <c r="G948" t="s">
        <v>74</v>
      </c>
      <c r="H948" t="s">
        <v>74</v>
      </c>
      <c r="I948" t="s">
        <v>18505</v>
      </c>
      <c r="J948" t="s">
        <v>2259</v>
      </c>
      <c r="K948" t="s">
        <v>74</v>
      </c>
      <c r="L948" t="s">
        <v>74</v>
      </c>
      <c r="M948" t="s">
        <v>78</v>
      </c>
      <c r="N948" t="s">
        <v>79</v>
      </c>
      <c r="O948" t="s">
        <v>74</v>
      </c>
      <c r="P948" t="s">
        <v>74</v>
      </c>
      <c r="Q948" t="s">
        <v>74</v>
      </c>
      <c r="R948" t="s">
        <v>74</v>
      </c>
      <c r="S948" t="s">
        <v>74</v>
      </c>
      <c r="T948" t="s">
        <v>18506</v>
      </c>
      <c r="U948" t="s">
        <v>18507</v>
      </c>
      <c r="V948" t="s">
        <v>18508</v>
      </c>
      <c r="W948" t="s">
        <v>18509</v>
      </c>
      <c r="X948" t="s">
        <v>18510</v>
      </c>
      <c r="Y948" t="s">
        <v>18511</v>
      </c>
      <c r="Z948" t="s">
        <v>18512</v>
      </c>
      <c r="AA948" t="s">
        <v>18513</v>
      </c>
      <c r="AB948" t="s">
        <v>18514</v>
      </c>
      <c r="AC948" t="s">
        <v>18515</v>
      </c>
      <c r="AD948" t="s">
        <v>18516</v>
      </c>
      <c r="AE948" t="s">
        <v>18517</v>
      </c>
      <c r="AF948" t="s">
        <v>74</v>
      </c>
      <c r="AG948">
        <v>80</v>
      </c>
      <c r="AH948">
        <v>18</v>
      </c>
      <c r="AI948">
        <v>19</v>
      </c>
      <c r="AJ948">
        <v>4</v>
      </c>
      <c r="AK948">
        <v>26</v>
      </c>
      <c r="AL948" t="s">
        <v>2085</v>
      </c>
      <c r="AM948" t="s">
        <v>2086</v>
      </c>
      <c r="AN948" t="s">
        <v>2087</v>
      </c>
      <c r="AO948" t="s">
        <v>74</v>
      </c>
      <c r="AP948" t="s">
        <v>2272</v>
      </c>
      <c r="AQ948" t="s">
        <v>74</v>
      </c>
      <c r="AR948" t="s">
        <v>2259</v>
      </c>
      <c r="AS948" t="s">
        <v>2273</v>
      </c>
      <c r="AT948" t="s">
        <v>894</v>
      </c>
      <c r="AU948">
        <v>2020</v>
      </c>
      <c r="AV948">
        <v>8</v>
      </c>
      <c r="AW948">
        <v>8</v>
      </c>
      <c r="AX948" t="s">
        <v>74</v>
      </c>
      <c r="AY948" t="s">
        <v>74</v>
      </c>
      <c r="AZ948" t="s">
        <v>74</v>
      </c>
      <c r="BA948" t="s">
        <v>74</v>
      </c>
      <c r="BB948" t="s">
        <v>74</v>
      </c>
      <c r="BC948" t="s">
        <v>74</v>
      </c>
      <c r="BD948">
        <v>1145</v>
      </c>
      <c r="BE948" t="s">
        <v>18518</v>
      </c>
      <c r="BF948" t="str">
        <f>HYPERLINK("http://dx.doi.org/10.3390/microorganisms8081145","http://dx.doi.org/10.3390/microorganisms8081145")</f>
        <v>http://dx.doi.org/10.3390/microorganisms8081145</v>
      </c>
      <c r="BG948" t="s">
        <v>74</v>
      </c>
      <c r="BH948" t="s">
        <v>74</v>
      </c>
      <c r="BI948">
        <v>15</v>
      </c>
      <c r="BJ948" t="s">
        <v>229</v>
      </c>
      <c r="BK948" t="s">
        <v>100</v>
      </c>
      <c r="BL948" t="s">
        <v>229</v>
      </c>
      <c r="BM948" t="s">
        <v>18519</v>
      </c>
      <c r="BN948">
        <v>32751125</v>
      </c>
      <c r="BO948" t="s">
        <v>332</v>
      </c>
      <c r="BP948" t="s">
        <v>74</v>
      </c>
      <c r="BQ948" t="s">
        <v>74</v>
      </c>
      <c r="BR948" t="s">
        <v>104</v>
      </c>
      <c r="BS948" t="s">
        <v>18520</v>
      </c>
      <c r="BT948" t="str">
        <f>HYPERLINK("https%3A%2F%2Fwww.webofscience.com%2Fwos%2Fwoscc%2Ffull-record%2FWOS:000567268300001","View Full Record in Web of Science")</f>
        <v>View Full Record in Web of Science</v>
      </c>
    </row>
    <row r="949" spans="1:72" x14ac:dyDescent="0.15">
      <c r="A949" t="s">
        <v>72</v>
      </c>
      <c r="B949" t="s">
        <v>18521</v>
      </c>
      <c r="C949" t="s">
        <v>74</v>
      </c>
      <c r="D949" t="s">
        <v>74</v>
      </c>
      <c r="E949" t="s">
        <v>74</v>
      </c>
      <c r="F949" t="s">
        <v>18522</v>
      </c>
      <c r="G949" t="s">
        <v>74</v>
      </c>
      <c r="H949" t="s">
        <v>74</v>
      </c>
      <c r="I949" t="s">
        <v>18523</v>
      </c>
      <c r="J949" t="s">
        <v>2259</v>
      </c>
      <c r="K949" t="s">
        <v>74</v>
      </c>
      <c r="L949" t="s">
        <v>74</v>
      </c>
      <c r="M949" t="s">
        <v>78</v>
      </c>
      <c r="N949" t="s">
        <v>79</v>
      </c>
      <c r="O949" t="s">
        <v>74</v>
      </c>
      <c r="P949" t="s">
        <v>74</v>
      </c>
      <c r="Q949" t="s">
        <v>74</v>
      </c>
      <c r="R949" t="s">
        <v>74</v>
      </c>
      <c r="S949" t="s">
        <v>74</v>
      </c>
      <c r="T949" t="s">
        <v>18524</v>
      </c>
      <c r="U949" t="s">
        <v>18525</v>
      </c>
      <c r="V949" t="s">
        <v>18526</v>
      </c>
      <c r="W949" t="s">
        <v>18527</v>
      </c>
      <c r="X949" t="s">
        <v>18528</v>
      </c>
      <c r="Y949" t="s">
        <v>18529</v>
      </c>
      <c r="Z949" t="s">
        <v>18530</v>
      </c>
      <c r="AA949" t="s">
        <v>18531</v>
      </c>
      <c r="AB949" t="s">
        <v>18532</v>
      </c>
      <c r="AC949" t="s">
        <v>18533</v>
      </c>
      <c r="AD949" t="s">
        <v>18534</v>
      </c>
      <c r="AE949" t="s">
        <v>18535</v>
      </c>
      <c r="AF949" t="s">
        <v>74</v>
      </c>
      <c r="AG949">
        <v>77</v>
      </c>
      <c r="AH949">
        <v>19</v>
      </c>
      <c r="AI949">
        <v>19</v>
      </c>
      <c r="AJ949">
        <v>0</v>
      </c>
      <c r="AK949">
        <v>12</v>
      </c>
      <c r="AL949" t="s">
        <v>2085</v>
      </c>
      <c r="AM949" t="s">
        <v>2086</v>
      </c>
      <c r="AN949" t="s">
        <v>2087</v>
      </c>
      <c r="AO949" t="s">
        <v>74</v>
      </c>
      <c r="AP949" t="s">
        <v>2272</v>
      </c>
      <c r="AQ949" t="s">
        <v>74</v>
      </c>
      <c r="AR949" t="s">
        <v>2259</v>
      </c>
      <c r="AS949" t="s">
        <v>2273</v>
      </c>
      <c r="AT949" t="s">
        <v>894</v>
      </c>
      <c r="AU949">
        <v>2020</v>
      </c>
      <c r="AV949">
        <v>8</v>
      </c>
      <c r="AW949">
        <v>8</v>
      </c>
      <c r="AX949" t="s">
        <v>74</v>
      </c>
      <c r="AY949" t="s">
        <v>74</v>
      </c>
      <c r="AZ949" t="s">
        <v>74</v>
      </c>
      <c r="BA949" t="s">
        <v>74</v>
      </c>
      <c r="BB949" t="s">
        <v>74</v>
      </c>
      <c r="BC949" t="s">
        <v>74</v>
      </c>
      <c r="BD949">
        <v>1189</v>
      </c>
      <c r="BE949" t="s">
        <v>18536</v>
      </c>
      <c r="BF949" t="str">
        <f>HYPERLINK("http://dx.doi.org/10.3390/microorganisms8081189","http://dx.doi.org/10.3390/microorganisms8081189")</f>
        <v>http://dx.doi.org/10.3390/microorganisms8081189</v>
      </c>
      <c r="BG949" t="s">
        <v>74</v>
      </c>
      <c r="BH949" t="s">
        <v>74</v>
      </c>
      <c r="BI949">
        <v>17</v>
      </c>
      <c r="BJ949" t="s">
        <v>229</v>
      </c>
      <c r="BK949" t="s">
        <v>100</v>
      </c>
      <c r="BL949" t="s">
        <v>229</v>
      </c>
      <c r="BM949" t="s">
        <v>18537</v>
      </c>
      <c r="BN949">
        <v>32764238</v>
      </c>
      <c r="BO949" t="s">
        <v>2113</v>
      </c>
      <c r="BP949" t="s">
        <v>74</v>
      </c>
      <c r="BQ949" t="s">
        <v>74</v>
      </c>
      <c r="BR949" t="s">
        <v>104</v>
      </c>
      <c r="BS949" t="s">
        <v>18538</v>
      </c>
      <c r="BT949" t="str">
        <f>HYPERLINK("https%3A%2F%2Fwww.webofscience.com%2Fwos%2Fwoscc%2Ffull-record%2FWOS:000567071300001","View Full Record in Web of Science")</f>
        <v>View Full Record in Web of Science</v>
      </c>
    </row>
    <row r="950" spans="1:72" x14ac:dyDescent="0.15">
      <c r="A950" t="s">
        <v>72</v>
      </c>
      <c r="B950" t="s">
        <v>18539</v>
      </c>
      <c r="C950" t="s">
        <v>74</v>
      </c>
      <c r="D950" t="s">
        <v>74</v>
      </c>
      <c r="E950" t="s">
        <v>74</v>
      </c>
      <c r="F950" t="s">
        <v>18540</v>
      </c>
      <c r="G950" t="s">
        <v>74</v>
      </c>
      <c r="H950" t="s">
        <v>74</v>
      </c>
      <c r="I950" t="s">
        <v>18541</v>
      </c>
      <c r="J950" t="s">
        <v>1985</v>
      </c>
      <c r="K950" t="s">
        <v>74</v>
      </c>
      <c r="L950" t="s">
        <v>74</v>
      </c>
      <c r="M950" t="s">
        <v>78</v>
      </c>
      <c r="N950" t="s">
        <v>79</v>
      </c>
      <c r="O950" t="s">
        <v>74</v>
      </c>
      <c r="P950" t="s">
        <v>74</v>
      </c>
      <c r="Q950" t="s">
        <v>74</v>
      </c>
      <c r="R950" t="s">
        <v>74</v>
      </c>
      <c r="S950" t="s">
        <v>74</v>
      </c>
      <c r="T950" t="s">
        <v>18542</v>
      </c>
      <c r="U950" t="s">
        <v>18543</v>
      </c>
      <c r="V950" t="s">
        <v>18544</v>
      </c>
      <c r="W950" t="s">
        <v>18545</v>
      </c>
      <c r="X950" t="s">
        <v>18546</v>
      </c>
      <c r="Y950" t="s">
        <v>1775</v>
      </c>
      <c r="Z950" t="s">
        <v>1776</v>
      </c>
      <c r="AA950" t="s">
        <v>18547</v>
      </c>
      <c r="AB950" t="s">
        <v>18548</v>
      </c>
      <c r="AC950" t="s">
        <v>18549</v>
      </c>
      <c r="AD950" t="s">
        <v>18550</v>
      </c>
      <c r="AE950" t="s">
        <v>18551</v>
      </c>
      <c r="AF950" t="s">
        <v>74</v>
      </c>
      <c r="AG950">
        <v>60</v>
      </c>
      <c r="AH950">
        <v>12</v>
      </c>
      <c r="AI950">
        <v>15</v>
      </c>
      <c r="AJ950">
        <v>1</v>
      </c>
      <c r="AK950">
        <v>16</v>
      </c>
      <c r="AL950" t="s">
        <v>1710</v>
      </c>
      <c r="AM950" t="s">
        <v>609</v>
      </c>
      <c r="AN950" t="s">
        <v>1711</v>
      </c>
      <c r="AO950" t="s">
        <v>1998</v>
      </c>
      <c r="AP950" t="s">
        <v>1999</v>
      </c>
      <c r="AQ950" t="s">
        <v>74</v>
      </c>
      <c r="AR950" t="s">
        <v>2000</v>
      </c>
      <c r="AS950" t="s">
        <v>2001</v>
      </c>
      <c r="AT950" t="s">
        <v>894</v>
      </c>
      <c r="AU950">
        <v>2020</v>
      </c>
      <c r="AV950">
        <v>34</v>
      </c>
      <c r="AW950">
        <v>8</v>
      </c>
      <c r="AX950" t="s">
        <v>74</v>
      </c>
      <c r="AY950" t="s">
        <v>74</v>
      </c>
      <c r="AZ950" t="s">
        <v>74</v>
      </c>
      <c r="BA950" t="s">
        <v>74</v>
      </c>
      <c r="BB950" t="s">
        <v>74</v>
      </c>
      <c r="BC950" t="s">
        <v>74</v>
      </c>
      <c r="BD950" t="s">
        <v>18552</v>
      </c>
      <c r="BE950" t="s">
        <v>18553</v>
      </c>
      <c r="BF950" t="str">
        <f>HYPERLINK("http://dx.doi.org/10.1029/2019GB006489","http://dx.doi.org/10.1029/2019GB006489")</f>
        <v>http://dx.doi.org/10.1029/2019GB006489</v>
      </c>
      <c r="BG950" t="s">
        <v>74</v>
      </c>
      <c r="BH950" t="s">
        <v>74</v>
      </c>
      <c r="BI950">
        <v>18</v>
      </c>
      <c r="BJ950" t="s">
        <v>846</v>
      </c>
      <c r="BK950" t="s">
        <v>100</v>
      </c>
      <c r="BL950" t="s">
        <v>847</v>
      </c>
      <c r="BM950" t="s">
        <v>18554</v>
      </c>
      <c r="BN950" t="s">
        <v>74</v>
      </c>
      <c r="BO950" t="s">
        <v>74</v>
      </c>
      <c r="BP950" t="s">
        <v>74</v>
      </c>
      <c r="BQ950" t="s">
        <v>74</v>
      </c>
      <c r="BR950" t="s">
        <v>104</v>
      </c>
      <c r="BS950" t="s">
        <v>18555</v>
      </c>
      <c r="BT950" t="str">
        <f>HYPERLINK("https%3A%2F%2Fwww.webofscience.com%2Fwos%2Fwoscc%2Ffull-record%2FWOS:000566242800006","View Full Record in Web of Science")</f>
        <v>View Full Record in Web of Science</v>
      </c>
    </row>
    <row r="951" spans="1:72" x14ac:dyDescent="0.15">
      <c r="A951" t="s">
        <v>72</v>
      </c>
      <c r="B951" t="s">
        <v>18556</v>
      </c>
      <c r="C951" t="s">
        <v>74</v>
      </c>
      <c r="D951" t="s">
        <v>74</v>
      </c>
      <c r="E951" t="s">
        <v>74</v>
      </c>
      <c r="F951" t="s">
        <v>18557</v>
      </c>
      <c r="G951" t="s">
        <v>74</v>
      </c>
      <c r="H951" t="s">
        <v>74</v>
      </c>
      <c r="I951" t="s">
        <v>18558</v>
      </c>
      <c r="J951" t="s">
        <v>1985</v>
      </c>
      <c r="K951" t="s">
        <v>74</v>
      </c>
      <c r="L951" t="s">
        <v>74</v>
      </c>
      <c r="M951" t="s">
        <v>78</v>
      </c>
      <c r="N951" t="s">
        <v>79</v>
      </c>
      <c r="O951" t="s">
        <v>74</v>
      </c>
      <c r="P951" t="s">
        <v>74</v>
      </c>
      <c r="Q951" t="s">
        <v>74</v>
      </c>
      <c r="R951" t="s">
        <v>74</v>
      </c>
      <c r="S951" t="s">
        <v>74</v>
      </c>
      <c r="T951" t="s">
        <v>18559</v>
      </c>
      <c r="U951" t="s">
        <v>18560</v>
      </c>
      <c r="V951" t="s">
        <v>18561</v>
      </c>
      <c r="W951" t="s">
        <v>18562</v>
      </c>
      <c r="X951" t="s">
        <v>18563</v>
      </c>
      <c r="Y951" t="s">
        <v>18564</v>
      </c>
      <c r="Z951" t="s">
        <v>18565</v>
      </c>
      <c r="AA951" t="s">
        <v>18566</v>
      </c>
      <c r="AB951" t="s">
        <v>18567</v>
      </c>
      <c r="AC951" t="s">
        <v>18568</v>
      </c>
      <c r="AD951" t="s">
        <v>18569</v>
      </c>
      <c r="AE951" t="s">
        <v>18570</v>
      </c>
      <c r="AF951" t="s">
        <v>74</v>
      </c>
      <c r="AG951">
        <v>59</v>
      </c>
      <c r="AH951">
        <v>31</v>
      </c>
      <c r="AI951">
        <v>31</v>
      </c>
      <c r="AJ951">
        <v>3</v>
      </c>
      <c r="AK951">
        <v>21</v>
      </c>
      <c r="AL951" t="s">
        <v>1710</v>
      </c>
      <c r="AM951" t="s">
        <v>609</v>
      </c>
      <c r="AN951" t="s">
        <v>1711</v>
      </c>
      <c r="AO951" t="s">
        <v>1998</v>
      </c>
      <c r="AP951" t="s">
        <v>1999</v>
      </c>
      <c r="AQ951" t="s">
        <v>74</v>
      </c>
      <c r="AR951" t="s">
        <v>2000</v>
      </c>
      <c r="AS951" t="s">
        <v>2001</v>
      </c>
      <c r="AT951" t="s">
        <v>894</v>
      </c>
      <c r="AU951">
        <v>2020</v>
      </c>
      <c r="AV951">
        <v>34</v>
      </c>
      <c r="AW951">
        <v>8</v>
      </c>
      <c r="AX951" t="s">
        <v>74</v>
      </c>
      <c r="AY951" t="s">
        <v>74</v>
      </c>
      <c r="AZ951" t="s">
        <v>74</v>
      </c>
      <c r="BA951" t="s">
        <v>74</v>
      </c>
      <c r="BB951" t="s">
        <v>74</v>
      </c>
      <c r="BC951" t="s">
        <v>74</v>
      </c>
      <c r="BD951" t="s">
        <v>18571</v>
      </c>
      <c r="BE951" t="s">
        <v>18572</v>
      </c>
      <c r="BF951" t="str">
        <f>HYPERLINK("http://dx.doi.org/10.1029/2019GB006453","http://dx.doi.org/10.1029/2019GB006453")</f>
        <v>http://dx.doi.org/10.1029/2019GB006453</v>
      </c>
      <c r="BG951" t="s">
        <v>74</v>
      </c>
      <c r="BH951" t="s">
        <v>74</v>
      </c>
      <c r="BI951">
        <v>18</v>
      </c>
      <c r="BJ951" t="s">
        <v>846</v>
      </c>
      <c r="BK951" t="s">
        <v>100</v>
      </c>
      <c r="BL951" t="s">
        <v>847</v>
      </c>
      <c r="BM951" t="s">
        <v>18554</v>
      </c>
      <c r="BN951">
        <v>32999530</v>
      </c>
      <c r="BO951" t="s">
        <v>18573</v>
      </c>
      <c r="BP951" t="s">
        <v>74</v>
      </c>
      <c r="BQ951" t="s">
        <v>74</v>
      </c>
      <c r="BR951" t="s">
        <v>104</v>
      </c>
      <c r="BS951" t="s">
        <v>18574</v>
      </c>
      <c r="BT951" t="str">
        <f>HYPERLINK("https%3A%2F%2Fwww.webofscience.com%2Fwos%2Fwoscc%2Ffull-record%2FWOS:000566242800012","View Full Record in Web of Science")</f>
        <v>View Full Record in Web of Science</v>
      </c>
    </row>
    <row r="952" spans="1:72" x14ac:dyDescent="0.15">
      <c r="A952" t="s">
        <v>72</v>
      </c>
      <c r="B952" t="s">
        <v>18575</v>
      </c>
      <c r="C952" t="s">
        <v>74</v>
      </c>
      <c r="D952" t="s">
        <v>74</v>
      </c>
      <c r="E952" t="s">
        <v>74</v>
      </c>
      <c r="F952" t="s">
        <v>18576</v>
      </c>
      <c r="G952" t="s">
        <v>74</v>
      </c>
      <c r="H952" t="s">
        <v>74</v>
      </c>
      <c r="I952" t="s">
        <v>18577</v>
      </c>
      <c r="J952" t="s">
        <v>1724</v>
      </c>
      <c r="K952" t="s">
        <v>74</v>
      </c>
      <c r="L952" t="s">
        <v>74</v>
      </c>
      <c r="M952" t="s">
        <v>78</v>
      </c>
      <c r="N952" t="s">
        <v>79</v>
      </c>
      <c r="O952" t="s">
        <v>74</v>
      </c>
      <c r="P952" t="s">
        <v>74</v>
      </c>
      <c r="Q952" t="s">
        <v>74</v>
      </c>
      <c r="R952" t="s">
        <v>74</v>
      </c>
      <c r="S952" t="s">
        <v>74</v>
      </c>
      <c r="T952" t="s">
        <v>18578</v>
      </c>
      <c r="U952" t="s">
        <v>18579</v>
      </c>
      <c r="V952" t="s">
        <v>18580</v>
      </c>
      <c r="W952" t="s">
        <v>18581</v>
      </c>
      <c r="X952" t="s">
        <v>18582</v>
      </c>
      <c r="Y952" t="s">
        <v>18583</v>
      </c>
      <c r="Z952" t="s">
        <v>18584</v>
      </c>
      <c r="AA952" t="s">
        <v>18585</v>
      </c>
      <c r="AB952" t="s">
        <v>18586</v>
      </c>
      <c r="AC952" t="s">
        <v>18587</v>
      </c>
      <c r="AD952" t="s">
        <v>18588</v>
      </c>
      <c r="AE952" t="s">
        <v>18589</v>
      </c>
      <c r="AF952" t="s">
        <v>74</v>
      </c>
      <c r="AG952">
        <v>83</v>
      </c>
      <c r="AH952">
        <v>33</v>
      </c>
      <c r="AI952">
        <v>35</v>
      </c>
      <c r="AJ952">
        <v>0</v>
      </c>
      <c r="AK952">
        <v>10</v>
      </c>
      <c r="AL952" t="s">
        <v>1710</v>
      </c>
      <c r="AM952" t="s">
        <v>609</v>
      </c>
      <c r="AN952" t="s">
        <v>1711</v>
      </c>
      <c r="AO952" t="s">
        <v>74</v>
      </c>
      <c r="AP952" t="s">
        <v>1737</v>
      </c>
      <c r="AQ952" t="s">
        <v>74</v>
      </c>
      <c r="AR952" t="s">
        <v>1738</v>
      </c>
      <c r="AS952" t="s">
        <v>1739</v>
      </c>
      <c r="AT952" t="s">
        <v>894</v>
      </c>
      <c r="AU952">
        <v>2020</v>
      </c>
      <c r="AV952">
        <v>12</v>
      </c>
      <c r="AW952">
        <v>8</v>
      </c>
      <c r="AX952" t="s">
        <v>74</v>
      </c>
      <c r="AY952" t="s">
        <v>74</v>
      </c>
      <c r="AZ952" t="s">
        <v>74</v>
      </c>
      <c r="BA952" t="s">
        <v>74</v>
      </c>
      <c r="BB952" t="s">
        <v>74</v>
      </c>
      <c r="BC952" t="s">
        <v>74</v>
      </c>
      <c r="BD952" t="s">
        <v>18590</v>
      </c>
      <c r="BE952" t="s">
        <v>18591</v>
      </c>
      <c r="BF952" t="str">
        <f>HYPERLINK("http://dx.doi.org/10.1029/2019MS002033","http://dx.doi.org/10.1029/2019MS002033")</f>
        <v>http://dx.doi.org/10.1029/2019MS002033</v>
      </c>
      <c r="BG952" t="s">
        <v>74</v>
      </c>
      <c r="BH952" t="s">
        <v>74</v>
      </c>
      <c r="BI952">
        <v>17</v>
      </c>
      <c r="BJ952" t="s">
        <v>800</v>
      </c>
      <c r="BK952" t="s">
        <v>100</v>
      </c>
      <c r="BL952" t="s">
        <v>800</v>
      </c>
      <c r="BM952" t="s">
        <v>18592</v>
      </c>
      <c r="BN952" t="s">
        <v>74</v>
      </c>
      <c r="BO952" t="s">
        <v>74</v>
      </c>
      <c r="BP952" t="s">
        <v>74</v>
      </c>
      <c r="BQ952" t="s">
        <v>74</v>
      </c>
      <c r="BR952" t="s">
        <v>104</v>
      </c>
      <c r="BS952" t="s">
        <v>18593</v>
      </c>
      <c r="BT952" t="str">
        <f>HYPERLINK("https%3A%2F%2Fwww.webofscience.com%2Fwos%2Fwoscc%2Ffull-record%2FWOS:000566209200010","View Full Record in Web of Science")</f>
        <v>View Full Record in Web of Science</v>
      </c>
    </row>
    <row r="953" spans="1:72" x14ac:dyDescent="0.15">
      <c r="A953" t="s">
        <v>72</v>
      </c>
      <c r="B953" t="s">
        <v>18594</v>
      </c>
      <c r="C953" t="s">
        <v>74</v>
      </c>
      <c r="D953" t="s">
        <v>74</v>
      </c>
      <c r="E953" t="s">
        <v>74</v>
      </c>
      <c r="F953" t="s">
        <v>18595</v>
      </c>
      <c r="G953" t="s">
        <v>74</v>
      </c>
      <c r="H953" t="s">
        <v>74</v>
      </c>
      <c r="I953" t="s">
        <v>18596</v>
      </c>
      <c r="J953" t="s">
        <v>1724</v>
      </c>
      <c r="K953" t="s">
        <v>74</v>
      </c>
      <c r="L953" t="s">
        <v>74</v>
      </c>
      <c r="M953" t="s">
        <v>78</v>
      </c>
      <c r="N953" t="s">
        <v>79</v>
      </c>
      <c r="O953" t="s">
        <v>74</v>
      </c>
      <c r="P953" t="s">
        <v>74</v>
      </c>
      <c r="Q953" t="s">
        <v>74</v>
      </c>
      <c r="R953" t="s">
        <v>74</v>
      </c>
      <c r="S953" t="s">
        <v>74</v>
      </c>
      <c r="T953" t="s">
        <v>18597</v>
      </c>
      <c r="U953" t="s">
        <v>18598</v>
      </c>
      <c r="V953" t="s">
        <v>18599</v>
      </c>
      <c r="W953" t="s">
        <v>18600</v>
      </c>
      <c r="X953" t="s">
        <v>18601</v>
      </c>
      <c r="Y953" t="s">
        <v>18602</v>
      </c>
      <c r="Z953" t="s">
        <v>18603</v>
      </c>
      <c r="AA953" t="s">
        <v>18604</v>
      </c>
      <c r="AB953" t="s">
        <v>18605</v>
      </c>
      <c r="AC953" t="s">
        <v>18606</v>
      </c>
      <c r="AD953" t="s">
        <v>18606</v>
      </c>
      <c r="AE953" t="s">
        <v>18607</v>
      </c>
      <c r="AF953" t="s">
        <v>74</v>
      </c>
      <c r="AG953">
        <v>109</v>
      </c>
      <c r="AH953">
        <v>38</v>
      </c>
      <c r="AI953">
        <v>41</v>
      </c>
      <c r="AJ953">
        <v>13</v>
      </c>
      <c r="AK953">
        <v>75</v>
      </c>
      <c r="AL953" t="s">
        <v>1710</v>
      </c>
      <c r="AM953" t="s">
        <v>609</v>
      </c>
      <c r="AN953" t="s">
        <v>1711</v>
      </c>
      <c r="AO953" t="s">
        <v>74</v>
      </c>
      <c r="AP953" t="s">
        <v>1737</v>
      </c>
      <c r="AQ953" t="s">
        <v>74</v>
      </c>
      <c r="AR953" t="s">
        <v>1738</v>
      </c>
      <c r="AS953" t="s">
        <v>1739</v>
      </c>
      <c r="AT953" t="s">
        <v>894</v>
      </c>
      <c r="AU953">
        <v>2020</v>
      </c>
      <c r="AV953">
        <v>12</v>
      </c>
      <c r="AW953">
        <v>8</v>
      </c>
      <c r="AX953" t="s">
        <v>74</v>
      </c>
      <c r="AY953" t="s">
        <v>74</v>
      </c>
      <c r="AZ953" t="s">
        <v>74</v>
      </c>
      <c r="BA953" t="s">
        <v>74</v>
      </c>
      <c r="BB953" t="s">
        <v>74</v>
      </c>
      <c r="BC953" t="s">
        <v>74</v>
      </c>
      <c r="BD953" t="s">
        <v>18608</v>
      </c>
      <c r="BE953" t="s">
        <v>18609</v>
      </c>
      <c r="BF953" t="str">
        <f>HYPERLINK("http://dx.doi.org/10.1029/2019MS002036","http://dx.doi.org/10.1029/2019MS002036")</f>
        <v>http://dx.doi.org/10.1029/2019MS002036</v>
      </c>
      <c r="BG953" t="s">
        <v>74</v>
      </c>
      <c r="BH953" t="s">
        <v>74</v>
      </c>
      <c r="BI953">
        <v>29</v>
      </c>
      <c r="BJ953" t="s">
        <v>800</v>
      </c>
      <c r="BK953" t="s">
        <v>100</v>
      </c>
      <c r="BL953" t="s">
        <v>800</v>
      </c>
      <c r="BM953" t="s">
        <v>18592</v>
      </c>
      <c r="BN953" t="s">
        <v>74</v>
      </c>
      <c r="BO953" t="s">
        <v>74</v>
      </c>
      <c r="BP953" t="s">
        <v>74</v>
      </c>
      <c r="BQ953" t="s">
        <v>74</v>
      </c>
      <c r="BR953" t="s">
        <v>104</v>
      </c>
      <c r="BS953" t="s">
        <v>18610</v>
      </c>
      <c r="BT953" t="str">
        <f>HYPERLINK("https%3A%2F%2Fwww.webofscience.com%2Fwos%2Fwoscc%2Ffull-record%2FWOS:000566209200003","View Full Record in Web of Science")</f>
        <v>View Full Record in Web of Science</v>
      </c>
    </row>
    <row r="954" spans="1:72" x14ac:dyDescent="0.15">
      <c r="A954" t="s">
        <v>72</v>
      </c>
      <c r="B954" t="s">
        <v>18611</v>
      </c>
      <c r="C954" t="s">
        <v>74</v>
      </c>
      <c r="D954" t="s">
        <v>74</v>
      </c>
      <c r="E954" t="s">
        <v>74</v>
      </c>
      <c r="F954" t="s">
        <v>18612</v>
      </c>
      <c r="G954" t="s">
        <v>74</v>
      </c>
      <c r="H954" t="s">
        <v>74</v>
      </c>
      <c r="I954" t="s">
        <v>18613</v>
      </c>
      <c r="J954" t="s">
        <v>1724</v>
      </c>
      <c r="K954" t="s">
        <v>74</v>
      </c>
      <c r="L954" t="s">
        <v>74</v>
      </c>
      <c r="M954" t="s">
        <v>78</v>
      </c>
      <c r="N954" t="s">
        <v>79</v>
      </c>
      <c r="O954" t="s">
        <v>74</v>
      </c>
      <c r="P954" t="s">
        <v>74</v>
      </c>
      <c r="Q954" t="s">
        <v>74</v>
      </c>
      <c r="R954" t="s">
        <v>74</v>
      </c>
      <c r="S954" t="s">
        <v>74</v>
      </c>
      <c r="T954" t="s">
        <v>18614</v>
      </c>
      <c r="U954" t="s">
        <v>18615</v>
      </c>
      <c r="V954" t="s">
        <v>18616</v>
      </c>
      <c r="W954" t="s">
        <v>18617</v>
      </c>
      <c r="X954" t="s">
        <v>18618</v>
      </c>
      <c r="Y954" t="s">
        <v>5233</v>
      </c>
      <c r="Z954" t="s">
        <v>18619</v>
      </c>
      <c r="AA954" t="s">
        <v>8268</v>
      </c>
      <c r="AB954" t="s">
        <v>18620</v>
      </c>
      <c r="AC954" t="s">
        <v>18621</v>
      </c>
      <c r="AD954" t="s">
        <v>18622</v>
      </c>
      <c r="AE954" t="s">
        <v>18623</v>
      </c>
      <c r="AF954" t="s">
        <v>74</v>
      </c>
      <c r="AG954">
        <v>54</v>
      </c>
      <c r="AH954">
        <v>2</v>
      </c>
      <c r="AI954">
        <v>2</v>
      </c>
      <c r="AJ954">
        <v>0</v>
      </c>
      <c r="AK954">
        <v>3</v>
      </c>
      <c r="AL954" t="s">
        <v>1710</v>
      </c>
      <c r="AM954" t="s">
        <v>609</v>
      </c>
      <c r="AN954" t="s">
        <v>1711</v>
      </c>
      <c r="AO954" t="s">
        <v>74</v>
      </c>
      <c r="AP954" t="s">
        <v>1737</v>
      </c>
      <c r="AQ954" t="s">
        <v>74</v>
      </c>
      <c r="AR954" t="s">
        <v>1738</v>
      </c>
      <c r="AS954" t="s">
        <v>1739</v>
      </c>
      <c r="AT954" t="s">
        <v>894</v>
      </c>
      <c r="AU954">
        <v>2020</v>
      </c>
      <c r="AV954">
        <v>12</v>
      </c>
      <c r="AW954">
        <v>8</v>
      </c>
      <c r="AX954" t="s">
        <v>74</v>
      </c>
      <c r="AY954" t="s">
        <v>74</v>
      </c>
      <c r="AZ954" t="s">
        <v>74</v>
      </c>
      <c r="BA954" t="s">
        <v>74</v>
      </c>
      <c r="BB954" t="s">
        <v>74</v>
      </c>
      <c r="BC954" t="s">
        <v>74</v>
      </c>
      <c r="BD954" t="s">
        <v>18624</v>
      </c>
      <c r="BE954" t="s">
        <v>18625</v>
      </c>
      <c r="BF954" t="str">
        <f>HYPERLINK("http://dx.doi.org/10.1029/2020MS002103","http://dx.doi.org/10.1029/2020MS002103")</f>
        <v>http://dx.doi.org/10.1029/2020MS002103</v>
      </c>
      <c r="BG954" t="s">
        <v>74</v>
      </c>
      <c r="BH954" t="s">
        <v>74</v>
      </c>
      <c r="BI954">
        <v>24</v>
      </c>
      <c r="BJ954" t="s">
        <v>800</v>
      </c>
      <c r="BK954" t="s">
        <v>100</v>
      </c>
      <c r="BL954" t="s">
        <v>800</v>
      </c>
      <c r="BM954" t="s">
        <v>18592</v>
      </c>
      <c r="BN954" t="s">
        <v>74</v>
      </c>
      <c r="BO954" t="s">
        <v>11522</v>
      </c>
      <c r="BP954" t="s">
        <v>74</v>
      </c>
      <c r="BQ954" t="s">
        <v>74</v>
      </c>
      <c r="BR954" t="s">
        <v>104</v>
      </c>
      <c r="BS954" t="s">
        <v>18626</v>
      </c>
      <c r="BT954" t="str">
        <f>HYPERLINK("https%3A%2F%2Fwww.webofscience.com%2Fwos%2Fwoscc%2Ffull-record%2FWOS:000566209200027","View Full Record in Web of Science")</f>
        <v>View Full Record in Web of Science</v>
      </c>
    </row>
    <row r="955" spans="1:72" x14ac:dyDescent="0.15">
      <c r="A955" t="s">
        <v>72</v>
      </c>
      <c r="B955" t="s">
        <v>18627</v>
      </c>
      <c r="C955" t="s">
        <v>74</v>
      </c>
      <c r="D955" t="s">
        <v>74</v>
      </c>
      <c r="E955" t="s">
        <v>74</v>
      </c>
      <c r="F955" t="s">
        <v>18628</v>
      </c>
      <c r="G955" t="s">
        <v>74</v>
      </c>
      <c r="H955" t="s">
        <v>74</v>
      </c>
      <c r="I955" t="s">
        <v>18629</v>
      </c>
      <c r="J955" t="s">
        <v>1724</v>
      </c>
      <c r="K955" t="s">
        <v>74</v>
      </c>
      <c r="L955" t="s">
        <v>74</v>
      </c>
      <c r="M955" t="s">
        <v>78</v>
      </c>
      <c r="N955" t="s">
        <v>79</v>
      </c>
      <c r="O955" t="s">
        <v>74</v>
      </c>
      <c r="P955" t="s">
        <v>74</v>
      </c>
      <c r="Q955" t="s">
        <v>74</v>
      </c>
      <c r="R955" t="s">
        <v>74</v>
      </c>
      <c r="S955" t="s">
        <v>74</v>
      </c>
      <c r="T955" t="s">
        <v>18630</v>
      </c>
      <c r="U955" t="s">
        <v>18631</v>
      </c>
      <c r="V955" t="s">
        <v>18632</v>
      </c>
      <c r="W955" t="s">
        <v>18633</v>
      </c>
      <c r="X955" t="s">
        <v>18634</v>
      </c>
      <c r="Y955" t="s">
        <v>18635</v>
      </c>
      <c r="Z955" t="s">
        <v>18636</v>
      </c>
      <c r="AA955" t="s">
        <v>18637</v>
      </c>
      <c r="AB955" t="s">
        <v>18638</v>
      </c>
      <c r="AC955" t="s">
        <v>18639</v>
      </c>
      <c r="AD955" t="s">
        <v>18640</v>
      </c>
      <c r="AE955" t="s">
        <v>18641</v>
      </c>
      <c r="AF955" t="s">
        <v>74</v>
      </c>
      <c r="AG955">
        <v>101</v>
      </c>
      <c r="AH955">
        <v>17</v>
      </c>
      <c r="AI955">
        <v>17</v>
      </c>
      <c r="AJ955">
        <v>0</v>
      </c>
      <c r="AK955">
        <v>9</v>
      </c>
      <c r="AL955" t="s">
        <v>1710</v>
      </c>
      <c r="AM955" t="s">
        <v>609</v>
      </c>
      <c r="AN955" t="s">
        <v>1711</v>
      </c>
      <c r="AO955" t="s">
        <v>74</v>
      </c>
      <c r="AP955" t="s">
        <v>1737</v>
      </c>
      <c r="AQ955" t="s">
        <v>74</v>
      </c>
      <c r="AR955" t="s">
        <v>1738</v>
      </c>
      <c r="AS955" t="s">
        <v>1739</v>
      </c>
      <c r="AT955" t="s">
        <v>894</v>
      </c>
      <c r="AU955">
        <v>2020</v>
      </c>
      <c r="AV955">
        <v>12</v>
      </c>
      <c r="AW955">
        <v>8</v>
      </c>
      <c r="AX955" t="s">
        <v>74</v>
      </c>
      <c r="AY955" t="s">
        <v>74</v>
      </c>
      <c r="AZ955" t="s">
        <v>74</v>
      </c>
      <c r="BA955" t="s">
        <v>74</v>
      </c>
      <c r="BB955" t="s">
        <v>74</v>
      </c>
      <c r="BC955" t="s">
        <v>74</v>
      </c>
      <c r="BD955" t="s">
        <v>18642</v>
      </c>
      <c r="BE955" t="s">
        <v>18643</v>
      </c>
      <c r="BF955" t="str">
        <f>HYPERLINK("http://dx.doi.org/10.1029/2020MS002106","http://dx.doi.org/10.1029/2020MS002106")</f>
        <v>http://dx.doi.org/10.1029/2020MS002106</v>
      </c>
      <c r="BG955" t="s">
        <v>74</v>
      </c>
      <c r="BH955" t="s">
        <v>74</v>
      </c>
      <c r="BI955">
        <v>27</v>
      </c>
      <c r="BJ955" t="s">
        <v>800</v>
      </c>
      <c r="BK955" t="s">
        <v>100</v>
      </c>
      <c r="BL955" t="s">
        <v>800</v>
      </c>
      <c r="BM955" t="s">
        <v>18592</v>
      </c>
      <c r="BN955">
        <v>32999707</v>
      </c>
      <c r="BO955" t="s">
        <v>332</v>
      </c>
      <c r="BP955" t="s">
        <v>74</v>
      </c>
      <c r="BQ955" t="s">
        <v>74</v>
      </c>
      <c r="BR955" t="s">
        <v>104</v>
      </c>
      <c r="BS955" t="s">
        <v>18644</v>
      </c>
      <c r="BT955" t="str">
        <f>HYPERLINK("https%3A%2F%2Fwww.webofscience.com%2Fwos%2Fwoscc%2Ffull-record%2FWOS:000566209200013","View Full Record in Web of Science")</f>
        <v>View Full Record in Web of Science</v>
      </c>
    </row>
    <row r="956" spans="1:72" x14ac:dyDescent="0.15">
      <c r="A956" t="s">
        <v>72</v>
      </c>
      <c r="B956" t="s">
        <v>18645</v>
      </c>
      <c r="C956" t="s">
        <v>74</v>
      </c>
      <c r="D956" t="s">
        <v>74</v>
      </c>
      <c r="E956" t="s">
        <v>74</v>
      </c>
      <c r="F956" t="s">
        <v>18646</v>
      </c>
      <c r="G956" t="s">
        <v>74</v>
      </c>
      <c r="H956" t="s">
        <v>74</v>
      </c>
      <c r="I956" t="s">
        <v>18647</v>
      </c>
      <c r="J956" t="s">
        <v>1899</v>
      </c>
      <c r="K956" t="s">
        <v>74</v>
      </c>
      <c r="L956" t="s">
        <v>74</v>
      </c>
      <c r="M956" t="s">
        <v>78</v>
      </c>
      <c r="N956" t="s">
        <v>79</v>
      </c>
      <c r="O956" t="s">
        <v>74</v>
      </c>
      <c r="P956" t="s">
        <v>74</v>
      </c>
      <c r="Q956" t="s">
        <v>74</v>
      </c>
      <c r="R956" t="s">
        <v>74</v>
      </c>
      <c r="S956" t="s">
        <v>74</v>
      </c>
      <c r="T956" t="s">
        <v>18648</v>
      </c>
      <c r="U956" t="s">
        <v>18649</v>
      </c>
      <c r="V956" t="s">
        <v>18650</v>
      </c>
      <c r="W956" t="s">
        <v>18651</v>
      </c>
      <c r="X956" t="s">
        <v>18652</v>
      </c>
      <c r="Y956" t="s">
        <v>18653</v>
      </c>
      <c r="Z956" t="s">
        <v>18654</v>
      </c>
      <c r="AA956" t="s">
        <v>18655</v>
      </c>
      <c r="AB956" t="s">
        <v>18656</v>
      </c>
      <c r="AC956" t="s">
        <v>18657</v>
      </c>
      <c r="AD956" t="s">
        <v>18658</v>
      </c>
      <c r="AE956" t="s">
        <v>18659</v>
      </c>
      <c r="AF956" t="s">
        <v>74</v>
      </c>
      <c r="AG956">
        <v>60</v>
      </c>
      <c r="AH956">
        <v>11</v>
      </c>
      <c r="AI956">
        <v>11</v>
      </c>
      <c r="AJ956">
        <v>0</v>
      </c>
      <c r="AK956">
        <v>6</v>
      </c>
      <c r="AL956" t="s">
        <v>1710</v>
      </c>
      <c r="AM956" t="s">
        <v>609</v>
      </c>
      <c r="AN956" t="s">
        <v>1711</v>
      </c>
      <c r="AO956" t="s">
        <v>74</v>
      </c>
      <c r="AP956" t="s">
        <v>1912</v>
      </c>
      <c r="AQ956" t="s">
        <v>74</v>
      </c>
      <c r="AR956" t="s">
        <v>1913</v>
      </c>
      <c r="AS956" t="s">
        <v>1914</v>
      </c>
      <c r="AT956" t="s">
        <v>894</v>
      </c>
      <c r="AU956">
        <v>2020</v>
      </c>
      <c r="AV956">
        <v>18</v>
      </c>
      <c r="AW956">
        <v>8</v>
      </c>
      <c r="AX956" t="s">
        <v>74</v>
      </c>
      <c r="AY956" t="s">
        <v>74</v>
      </c>
      <c r="AZ956" t="s">
        <v>74</v>
      </c>
      <c r="BA956" t="s">
        <v>74</v>
      </c>
      <c r="BB956" t="s">
        <v>74</v>
      </c>
      <c r="BC956" t="s">
        <v>74</v>
      </c>
      <c r="BD956" t="s">
        <v>18660</v>
      </c>
      <c r="BE956" t="s">
        <v>18661</v>
      </c>
      <c r="BF956" t="str">
        <f>HYPERLINK("http://dx.doi.org/10.1029/2019SW002416","http://dx.doi.org/10.1029/2019SW002416")</f>
        <v>http://dx.doi.org/10.1029/2019SW002416</v>
      </c>
      <c r="BG956" t="s">
        <v>74</v>
      </c>
      <c r="BH956" t="s">
        <v>74</v>
      </c>
      <c r="BI956">
        <v>19</v>
      </c>
      <c r="BJ956" t="s">
        <v>1917</v>
      </c>
      <c r="BK956" t="s">
        <v>100</v>
      </c>
      <c r="BL956" t="s">
        <v>1917</v>
      </c>
      <c r="BM956" t="s">
        <v>18662</v>
      </c>
      <c r="BN956" t="s">
        <v>74</v>
      </c>
      <c r="BO956" t="s">
        <v>3641</v>
      </c>
      <c r="BP956" t="s">
        <v>74</v>
      </c>
      <c r="BQ956" t="s">
        <v>74</v>
      </c>
      <c r="BR956" t="s">
        <v>104</v>
      </c>
      <c r="BS956" t="s">
        <v>18663</v>
      </c>
      <c r="BT956" t="str">
        <f>HYPERLINK("https%3A%2F%2Fwww.webofscience.com%2Fwos%2Fwoscc%2Ffull-record%2FWOS:000566530400001","View Full Record in Web of Science")</f>
        <v>View Full Record in Web of Science</v>
      </c>
    </row>
    <row r="957" spans="1:72" x14ac:dyDescent="0.15">
      <c r="A957" t="s">
        <v>72</v>
      </c>
      <c r="B957" t="s">
        <v>18664</v>
      </c>
      <c r="C957" t="s">
        <v>74</v>
      </c>
      <c r="D957" t="s">
        <v>74</v>
      </c>
      <c r="E957" t="s">
        <v>74</v>
      </c>
      <c r="F957" t="s">
        <v>18665</v>
      </c>
      <c r="G957" t="s">
        <v>74</v>
      </c>
      <c r="H957" t="s">
        <v>74</v>
      </c>
      <c r="I957" t="s">
        <v>18666</v>
      </c>
      <c r="J957" t="s">
        <v>1899</v>
      </c>
      <c r="K957" t="s">
        <v>74</v>
      </c>
      <c r="L957" t="s">
        <v>74</v>
      </c>
      <c r="M957" t="s">
        <v>78</v>
      </c>
      <c r="N957" t="s">
        <v>79</v>
      </c>
      <c r="O957" t="s">
        <v>74</v>
      </c>
      <c r="P957" t="s">
        <v>74</v>
      </c>
      <c r="Q957" t="s">
        <v>74</v>
      </c>
      <c r="R957" t="s">
        <v>74</v>
      </c>
      <c r="S957" t="s">
        <v>74</v>
      </c>
      <c r="T957" t="s">
        <v>18667</v>
      </c>
      <c r="U957" t="s">
        <v>18668</v>
      </c>
      <c r="V957" t="s">
        <v>18669</v>
      </c>
      <c r="W957" t="s">
        <v>18670</v>
      </c>
      <c r="X957" t="s">
        <v>18671</v>
      </c>
      <c r="Y957" t="s">
        <v>18672</v>
      </c>
      <c r="Z957" t="s">
        <v>18673</v>
      </c>
      <c r="AA957" t="s">
        <v>18674</v>
      </c>
      <c r="AB957" t="s">
        <v>18675</v>
      </c>
      <c r="AC957" t="s">
        <v>18676</v>
      </c>
      <c r="AD957" t="s">
        <v>18677</v>
      </c>
      <c r="AE957" t="s">
        <v>18678</v>
      </c>
      <c r="AF957" t="s">
        <v>74</v>
      </c>
      <c r="AG957">
        <v>67</v>
      </c>
      <c r="AH957">
        <v>10</v>
      </c>
      <c r="AI957">
        <v>10</v>
      </c>
      <c r="AJ957">
        <v>2</v>
      </c>
      <c r="AK957">
        <v>11</v>
      </c>
      <c r="AL957" t="s">
        <v>1710</v>
      </c>
      <c r="AM957" t="s">
        <v>609</v>
      </c>
      <c r="AN957" t="s">
        <v>1711</v>
      </c>
      <c r="AO957" t="s">
        <v>74</v>
      </c>
      <c r="AP957" t="s">
        <v>1912</v>
      </c>
      <c r="AQ957" t="s">
        <v>74</v>
      </c>
      <c r="AR957" t="s">
        <v>1913</v>
      </c>
      <c r="AS957" t="s">
        <v>1914</v>
      </c>
      <c r="AT957" t="s">
        <v>894</v>
      </c>
      <c r="AU957">
        <v>2020</v>
      </c>
      <c r="AV957">
        <v>18</v>
      </c>
      <c r="AW957">
        <v>8</v>
      </c>
      <c r="AX957" t="s">
        <v>74</v>
      </c>
      <c r="AY957" t="s">
        <v>74</v>
      </c>
      <c r="AZ957" t="s">
        <v>74</v>
      </c>
      <c r="BA957" t="s">
        <v>74</v>
      </c>
      <c r="BB957" t="s">
        <v>74</v>
      </c>
      <c r="BC957" t="s">
        <v>74</v>
      </c>
      <c r="BD957" t="s">
        <v>18679</v>
      </c>
      <c r="BE957" t="s">
        <v>18680</v>
      </c>
      <c r="BF957" t="str">
        <f>HYPERLINK("http://dx.doi.org/10.1029/2019SW002383","http://dx.doi.org/10.1029/2019SW002383")</f>
        <v>http://dx.doi.org/10.1029/2019SW002383</v>
      </c>
      <c r="BG957" t="s">
        <v>74</v>
      </c>
      <c r="BH957" t="s">
        <v>74</v>
      </c>
      <c r="BI957">
        <v>20</v>
      </c>
      <c r="BJ957" t="s">
        <v>1917</v>
      </c>
      <c r="BK957" t="s">
        <v>100</v>
      </c>
      <c r="BL957" t="s">
        <v>1917</v>
      </c>
      <c r="BM957" t="s">
        <v>18662</v>
      </c>
      <c r="BN957" t="s">
        <v>74</v>
      </c>
      <c r="BO957" t="s">
        <v>1188</v>
      </c>
      <c r="BP957" t="s">
        <v>74</v>
      </c>
      <c r="BQ957" t="s">
        <v>74</v>
      </c>
      <c r="BR957" t="s">
        <v>104</v>
      </c>
      <c r="BS957" t="s">
        <v>18681</v>
      </c>
      <c r="BT957" t="str">
        <f>HYPERLINK("https%3A%2F%2Fwww.webofscience.com%2Fwos%2Fwoscc%2Ffull-record%2FWOS:000566530400004","View Full Record in Web of Science")</f>
        <v>View Full Record in Web of Science</v>
      </c>
    </row>
    <row r="958" spans="1:72" x14ac:dyDescent="0.15">
      <c r="A958" t="s">
        <v>72</v>
      </c>
      <c r="B958" t="s">
        <v>18682</v>
      </c>
      <c r="C958" t="s">
        <v>74</v>
      </c>
      <c r="D958" t="s">
        <v>74</v>
      </c>
      <c r="E958" t="s">
        <v>74</v>
      </c>
      <c r="F958" t="s">
        <v>18683</v>
      </c>
      <c r="G958" t="s">
        <v>74</v>
      </c>
      <c r="H958" t="s">
        <v>74</v>
      </c>
      <c r="I958" t="s">
        <v>18684</v>
      </c>
      <c r="J958" t="s">
        <v>5362</v>
      </c>
      <c r="K958" t="s">
        <v>74</v>
      </c>
      <c r="L958" t="s">
        <v>74</v>
      </c>
      <c r="M958" t="s">
        <v>78</v>
      </c>
      <c r="N958" t="s">
        <v>79</v>
      </c>
      <c r="O958" t="s">
        <v>74</v>
      </c>
      <c r="P958" t="s">
        <v>74</v>
      </c>
      <c r="Q958" t="s">
        <v>74</v>
      </c>
      <c r="R958" t="s">
        <v>74</v>
      </c>
      <c r="S958" t="s">
        <v>74</v>
      </c>
      <c r="T958" t="s">
        <v>18685</v>
      </c>
      <c r="U958" t="s">
        <v>18686</v>
      </c>
      <c r="V958" t="s">
        <v>18687</v>
      </c>
      <c r="W958" t="s">
        <v>18688</v>
      </c>
      <c r="X958" t="s">
        <v>18689</v>
      </c>
      <c r="Y958" t="s">
        <v>18690</v>
      </c>
      <c r="Z958" t="s">
        <v>18691</v>
      </c>
      <c r="AA958" t="s">
        <v>18692</v>
      </c>
      <c r="AB958" t="s">
        <v>18693</v>
      </c>
      <c r="AC958" t="s">
        <v>18694</v>
      </c>
      <c r="AD958" t="s">
        <v>18695</v>
      </c>
      <c r="AE958" t="s">
        <v>18696</v>
      </c>
      <c r="AF958" t="s">
        <v>74</v>
      </c>
      <c r="AG958">
        <v>30</v>
      </c>
      <c r="AH958">
        <v>9</v>
      </c>
      <c r="AI958">
        <v>9</v>
      </c>
      <c r="AJ958">
        <v>4</v>
      </c>
      <c r="AK958">
        <v>19</v>
      </c>
      <c r="AL958" t="s">
        <v>1572</v>
      </c>
      <c r="AM958" t="s">
        <v>1407</v>
      </c>
      <c r="AN958" t="s">
        <v>1573</v>
      </c>
      <c r="AO958" t="s">
        <v>5375</v>
      </c>
      <c r="AP958" t="s">
        <v>5376</v>
      </c>
      <c r="AQ958" t="s">
        <v>74</v>
      </c>
      <c r="AR958" t="s">
        <v>5377</v>
      </c>
      <c r="AS958" t="s">
        <v>5378</v>
      </c>
      <c r="AT958" t="s">
        <v>17492</v>
      </c>
      <c r="AU958">
        <v>2020</v>
      </c>
      <c r="AV958">
        <v>66</v>
      </c>
      <c r="AW958">
        <v>3</v>
      </c>
      <c r="AX958" t="s">
        <v>74</v>
      </c>
      <c r="AY958" t="s">
        <v>74</v>
      </c>
      <c r="AZ958" t="s">
        <v>74</v>
      </c>
      <c r="BA958" t="s">
        <v>74</v>
      </c>
      <c r="BB958">
        <v>655</v>
      </c>
      <c r="BC958">
        <v>670</v>
      </c>
      <c r="BD958" t="s">
        <v>74</v>
      </c>
      <c r="BE958" t="s">
        <v>18697</v>
      </c>
      <c r="BF958" t="str">
        <f>HYPERLINK("http://dx.doi.org/10.1016/j.asr.2020.04.033","http://dx.doi.org/10.1016/j.asr.2020.04.033")</f>
        <v>http://dx.doi.org/10.1016/j.asr.2020.04.033</v>
      </c>
      <c r="BG958" t="s">
        <v>74</v>
      </c>
      <c r="BH958" t="s">
        <v>74</v>
      </c>
      <c r="BI958">
        <v>16</v>
      </c>
      <c r="BJ958" t="s">
        <v>5380</v>
      </c>
      <c r="BK958" t="s">
        <v>100</v>
      </c>
      <c r="BL958" t="s">
        <v>5381</v>
      </c>
      <c r="BM958" t="s">
        <v>18698</v>
      </c>
      <c r="BN958" t="s">
        <v>74</v>
      </c>
      <c r="BO958" t="s">
        <v>74</v>
      </c>
      <c r="BP958" t="s">
        <v>74</v>
      </c>
      <c r="BQ958" t="s">
        <v>74</v>
      </c>
      <c r="BR958" t="s">
        <v>104</v>
      </c>
      <c r="BS958" t="s">
        <v>18699</v>
      </c>
      <c r="BT958" t="str">
        <f>HYPERLINK("https%3A%2F%2Fwww.webofscience.com%2Fwos%2Fwoscc%2Ffull-record%2FWOS:000566575700004","View Full Record in Web of Science")</f>
        <v>View Full Record in Web of Science</v>
      </c>
    </row>
    <row r="959" spans="1:72" x14ac:dyDescent="0.15">
      <c r="A959" t="s">
        <v>72</v>
      </c>
      <c r="B959" t="s">
        <v>18700</v>
      </c>
      <c r="C959" t="s">
        <v>74</v>
      </c>
      <c r="D959" t="s">
        <v>74</v>
      </c>
      <c r="E959" t="s">
        <v>74</v>
      </c>
      <c r="F959" t="s">
        <v>18701</v>
      </c>
      <c r="G959" t="s">
        <v>74</v>
      </c>
      <c r="H959" t="s">
        <v>74</v>
      </c>
      <c r="I959" t="s">
        <v>18702</v>
      </c>
      <c r="J959" t="s">
        <v>2343</v>
      </c>
      <c r="K959" t="s">
        <v>74</v>
      </c>
      <c r="L959" t="s">
        <v>74</v>
      </c>
      <c r="M959" t="s">
        <v>78</v>
      </c>
      <c r="N959" t="s">
        <v>79</v>
      </c>
      <c r="O959" t="s">
        <v>74</v>
      </c>
      <c r="P959" t="s">
        <v>74</v>
      </c>
      <c r="Q959" t="s">
        <v>74</v>
      </c>
      <c r="R959" t="s">
        <v>74</v>
      </c>
      <c r="S959" t="s">
        <v>74</v>
      </c>
      <c r="T959" t="s">
        <v>18703</v>
      </c>
      <c r="U959" t="s">
        <v>18704</v>
      </c>
      <c r="V959" t="s">
        <v>18705</v>
      </c>
      <c r="W959" t="s">
        <v>18706</v>
      </c>
      <c r="X959" t="s">
        <v>18707</v>
      </c>
      <c r="Y959" t="s">
        <v>18708</v>
      </c>
      <c r="Z959" t="s">
        <v>18709</v>
      </c>
      <c r="AA959" t="s">
        <v>18710</v>
      </c>
      <c r="AB959" t="s">
        <v>18711</v>
      </c>
      <c r="AC959" t="s">
        <v>18712</v>
      </c>
      <c r="AD959" t="s">
        <v>18713</v>
      </c>
      <c r="AE959" t="s">
        <v>18714</v>
      </c>
      <c r="AF959" t="s">
        <v>74</v>
      </c>
      <c r="AG959">
        <v>52</v>
      </c>
      <c r="AH959">
        <v>7</v>
      </c>
      <c r="AI959">
        <v>7</v>
      </c>
      <c r="AJ959">
        <v>0</v>
      </c>
      <c r="AK959">
        <v>7</v>
      </c>
      <c r="AL959" t="s">
        <v>2085</v>
      </c>
      <c r="AM959" t="s">
        <v>2086</v>
      </c>
      <c r="AN959" t="s">
        <v>2087</v>
      </c>
      <c r="AO959" t="s">
        <v>74</v>
      </c>
      <c r="AP959" t="s">
        <v>2356</v>
      </c>
      <c r="AQ959" t="s">
        <v>74</v>
      </c>
      <c r="AR959" t="s">
        <v>2357</v>
      </c>
      <c r="AS959" t="s">
        <v>2358</v>
      </c>
      <c r="AT959" t="s">
        <v>894</v>
      </c>
      <c r="AU959">
        <v>2020</v>
      </c>
      <c r="AV959">
        <v>11</v>
      </c>
      <c r="AW959">
        <v>8</v>
      </c>
      <c r="AX959" t="s">
        <v>74</v>
      </c>
      <c r="AY959" t="s">
        <v>74</v>
      </c>
      <c r="AZ959" t="s">
        <v>74</v>
      </c>
      <c r="BA959" t="s">
        <v>74</v>
      </c>
      <c r="BB959" t="s">
        <v>74</v>
      </c>
      <c r="BC959" t="s">
        <v>74</v>
      </c>
      <c r="BD959">
        <v>877</v>
      </c>
      <c r="BE959" t="s">
        <v>18715</v>
      </c>
      <c r="BF959" t="str">
        <f>HYPERLINK("http://dx.doi.org/10.3390/atmos11080877","http://dx.doi.org/10.3390/atmos11080877")</f>
        <v>http://dx.doi.org/10.3390/atmos11080877</v>
      </c>
      <c r="BG959" t="s">
        <v>74</v>
      </c>
      <c r="BH959" t="s">
        <v>74</v>
      </c>
      <c r="BI959">
        <v>18</v>
      </c>
      <c r="BJ959" t="s">
        <v>1027</v>
      </c>
      <c r="BK959" t="s">
        <v>100</v>
      </c>
      <c r="BL959" t="s">
        <v>1028</v>
      </c>
      <c r="BM959" t="s">
        <v>18716</v>
      </c>
      <c r="BN959" t="s">
        <v>74</v>
      </c>
      <c r="BO959" t="s">
        <v>202</v>
      </c>
      <c r="BP959" t="s">
        <v>74</v>
      </c>
      <c r="BQ959" t="s">
        <v>74</v>
      </c>
      <c r="BR959" t="s">
        <v>104</v>
      </c>
      <c r="BS959" t="s">
        <v>18717</v>
      </c>
      <c r="BT959" t="str">
        <f>HYPERLINK("https%3A%2F%2Fwww.webofscience.com%2Fwos%2Fwoscc%2Ffull-record%2FWOS:000564766400001","View Full Record in Web of Science")</f>
        <v>View Full Record in Web of Science</v>
      </c>
    </row>
    <row r="960" spans="1:72" x14ac:dyDescent="0.15">
      <c r="A960" t="s">
        <v>72</v>
      </c>
      <c r="B960" t="s">
        <v>18718</v>
      </c>
      <c r="C960" t="s">
        <v>74</v>
      </c>
      <c r="D960" t="s">
        <v>74</v>
      </c>
      <c r="E960" t="s">
        <v>74</v>
      </c>
      <c r="F960" t="s">
        <v>18719</v>
      </c>
      <c r="G960" t="s">
        <v>74</v>
      </c>
      <c r="H960" t="s">
        <v>74</v>
      </c>
      <c r="I960" t="s">
        <v>18720</v>
      </c>
      <c r="J960" t="s">
        <v>2343</v>
      </c>
      <c r="K960" t="s">
        <v>74</v>
      </c>
      <c r="L960" t="s">
        <v>74</v>
      </c>
      <c r="M960" t="s">
        <v>78</v>
      </c>
      <c r="N960" t="s">
        <v>79</v>
      </c>
      <c r="O960" t="s">
        <v>74</v>
      </c>
      <c r="P960" t="s">
        <v>74</v>
      </c>
      <c r="Q960" t="s">
        <v>74</v>
      </c>
      <c r="R960" t="s">
        <v>74</v>
      </c>
      <c r="S960" t="s">
        <v>74</v>
      </c>
      <c r="T960" t="s">
        <v>18721</v>
      </c>
      <c r="U960" t="s">
        <v>18722</v>
      </c>
      <c r="V960" t="s">
        <v>18723</v>
      </c>
      <c r="W960" t="s">
        <v>18724</v>
      </c>
      <c r="X960" t="s">
        <v>18725</v>
      </c>
      <c r="Y960" t="s">
        <v>18726</v>
      </c>
      <c r="Z960" t="s">
        <v>18727</v>
      </c>
      <c r="AA960" t="s">
        <v>18728</v>
      </c>
      <c r="AB960" t="s">
        <v>18729</v>
      </c>
      <c r="AC960" t="s">
        <v>18730</v>
      </c>
      <c r="AD960" t="s">
        <v>18731</v>
      </c>
      <c r="AE960" t="s">
        <v>18732</v>
      </c>
      <c r="AF960" t="s">
        <v>74</v>
      </c>
      <c r="AG960">
        <v>52</v>
      </c>
      <c r="AH960">
        <v>6</v>
      </c>
      <c r="AI960">
        <v>6</v>
      </c>
      <c r="AJ960">
        <v>2</v>
      </c>
      <c r="AK960">
        <v>3</v>
      </c>
      <c r="AL960" t="s">
        <v>2085</v>
      </c>
      <c r="AM960" t="s">
        <v>2086</v>
      </c>
      <c r="AN960" t="s">
        <v>2087</v>
      </c>
      <c r="AO960" t="s">
        <v>74</v>
      </c>
      <c r="AP960" t="s">
        <v>2356</v>
      </c>
      <c r="AQ960" t="s">
        <v>74</v>
      </c>
      <c r="AR960" t="s">
        <v>2357</v>
      </c>
      <c r="AS960" t="s">
        <v>2358</v>
      </c>
      <c r="AT960" t="s">
        <v>894</v>
      </c>
      <c r="AU960">
        <v>2020</v>
      </c>
      <c r="AV960">
        <v>11</v>
      </c>
      <c r="AW960">
        <v>8</v>
      </c>
      <c r="AX960" t="s">
        <v>74</v>
      </c>
      <c r="AY960" t="s">
        <v>74</v>
      </c>
      <c r="AZ960" t="s">
        <v>74</v>
      </c>
      <c r="BA960" t="s">
        <v>74</v>
      </c>
      <c r="BB960" t="s">
        <v>74</v>
      </c>
      <c r="BC960" t="s">
        <v>74</v>
      </c>
      <c r="BD960">
        <v>880</v>
      </c>
      <c r="BE960" t="s">
        <v>18733</v>
      </c>
      <c r="BF960" t="str">
        <f>HYPERLINK("http://dx.doi.org/10.3390/atmos11080880","http://dx.doi.org/10.3390/atmos11080880")</f>
        <v>http://dx.doi.org/10.3390/atmos11080880</v>
      </c>
      <c r="BG960" t="s">
        <v>74</v>
      </c>
      <c r="BH960" t="s">
        <v>74</v>
      </c>
      <c r="BI960">
        <v>22</v>
      </c>
      <c r="BJ960" t="s">
        <v>1027</v>
      </c>
      <c r="BK960" t="s">
        <v>100</v>
      </c>
      <c r="BL960" t="s">
        <v>1028</v>
      </c>
      <c r="BM960" t="s">
        <v>18734</v>
      </c>
      <c r="BN960" t="s">
        <v>74</v>
      </c>
      <c r="BO960" t="s">
        <v>350</v>
      </c>
      <c r="BP960" t="s">
        <v>74</v>
      </c>
      <c r="BQ960" t="s">
        <v>74</v>
      </c>
      <c r="BR960" t="s">
        <v>104</v>
      </c>
      <c r="BS960" t="s">
        <v>18735</v>
      </c>
      <c r="BT960" t="str">
        <f>HYPERLINK("https%3A%2F%2Fwww.webofscience.com%2Fwos%2Fwoscc%2Ffull-record%2FWOS:000565568200001","View Full Record in Web of Science")</f>
        <v>View Full Record in Web of Science</v>
      </c>
    </row>
    <row r="961" spans="1:72" x14ac:dyDescent="0.15">
      <c r="A961" t="s">
        <v>72</v>
      </c>
      <c r="B961" t="s">
        <v>18736</v>
      </c>
      <c r="C961" t="s">
        <v>74</v>
      </c>
      <c r="D961" t="s">
        <v>74</v>
      </c>
      <c r="E961" t="s">
        <v>74</v>
      </c>
      <c r="F961" t="s">
        <v>18737</v>
      </c>
      <c r="G961" t="s">
        <v>74</v>
      </c>
      <c r="H961" t="s">
        <v>74</v>
      </c>
      <c r="I961" t="s">
        <v>18738</v>
      </c>
      <c r="J961" t="s">
        <v>18739</v>
      </c>
      <c r="K961" t="s">
        <v>74</v>
      </c>
      <c r="L961" t="s">
        <v>74</v>
      </c>
      <c r="M961" t="s">
        <v>78</v>
      </c>
      <c r="N961" t="s">
        <v>79</v>
      </c>
      <c r="O961" t="s">
        <v>74</v>
      </c>
      <c r="P961" t="s">
        <v>74</v>
      </c>
      <c r="Q961" t="s">
        <v>74</v>
      </c>
      <c r="R961" t="s">
        <v>74</v>
      </c>
      <c r="S961" t="s">
        <v>74</v>
      </c>
      <c r="T961" t="s">
        <v>18740</v>
      </c>
      <c r="U961" t="s">
        <v>18741</v>
      </c>
      <c r="V961" t="s">
        <v>18742</v>
      </c>
      <c r="W961" t="s">
        <v>18743</v>
      </c>
      <c r="X961" t="s">
        <v>18744</v>
      </c>
      <c r="Y961" t="s">
        <v>18745</v>
      </c>
      <c r="Z961" t="s">
        <v>18746</v>
      </c>
      <c r="AA961" t="s">
        <v>74</v>
      </c>
      <c r="AB961" t="s">
        <v>74</v>
      </c>
      <c r="AC961" t="s">
        <v>18747</v>
      </c>
      <c r="AD961" t="s">
        <v>18748</v>
      </c>
      <c r="AE961" t="s">
        <v>18749</v>
      </c>
      <c r="AF961" t="s">
        <v>74</v>
      </c>
      <c r="AG961">
        <v>92</v>
      </c>
      <c r="AH961">
        <v>9</v>
      </c>
      <c r="AI961">
        <v>11</v>
      </c>
      <c r="AJ961">
        <v>3</v>
      </c>
      <c r="AK961">
        <v>11</v>
      </c>
      <c r="AL961" t="s">
        <v>275</v>
      </c>
      <c r="AM961" t="s">
        <v>276</v>
      </c>
      <c r="AN961" t="s">
        <v>8045</v>
      </c>
      <c r="AO961" t="s">
        <v>18750</v>
      </c>
      <c r="AP961" t="s">
        <v>18751</v>
      </c>
      <c r="AQ961" t="s">
        <v>74</v>
      </c>
      <c r="AR961" t="s">
        <v>18752</v>
      </c>
      <c r="AS961" t="s">
        <v>18753</v>
      </c>
      <c r="AT961" t="s">
        <v>17492</v>
      </c>
      <c r="AU961">
        <v>2020</v>
      </c>
      <c r="AV961">
        <v>228</v>
      </c>
      <c r="AW961" t="s">
        <v>74</v>
      </c>
      <c r="AX961" t="s">
        <v>74</v>
      </c>
      <c r="AY961" t="s">
        <v>74</v>
      </c>
      <c r="AZ961" t="s">
        <v>74</v>
      </c>
      <c r="BA961" t="s">
        <v>74</v>
      </c>
      <c r="BB961" t="s">
        <v>74</v>
      </c>
      <c r="BC961" t="s">
        <v>74</v>
      </c>
      <c r="BD961">
        <v>103550</v>
      </c>
      <c r="BE961" t="s">
        <v>18754</v>
      </c>
      <c r="BF961" t="str">
        <f>HYPERLINK("http://dx.doi.org/10.1016/j.coal.2020.103550","http://dx.doi.org/10.1016/j.coal.2020.103550")</f>
        <v>http://dx.doi.org/10.1016/j.coal.2020.103550</v>
      </c>
      <c r="BG961" t="s">
        <v>74</v>
      </c>
      <c r="BH961" t="s">
        <v>74</v>
      </c>
      <c r="BI961">
        <v>20</v>
      </c>
      <c r="BJ961" t="s">
        <v>18755</v>
      </c>
      <c r="BK961" t="s">
        <v>100</v>
      </c>
      <c r="BL961" t="s">
        <v>18756</v>
      </c>
      <c r="BM961" t="s">
        <v>18757</v>
      </c>
      <c r="BN961" t="s">
        <v>74</v>
      </c>
      <c r="BO961" t="s">
        <v>1188</v>
      </c>
      <c r="BP961" t="s">
        <v>74</v>
      </c>
      <c r="BQ961" t="s">
        <v>74</v>
      </c>
      <c r="BR961" t="s">
        <v>104</v>
      </c>
      <c r="BS961" t="s">
        <v>18758</v>
      </c>
      <c r="BT961" t="str">
        <f>HYPERLINK("https%3A%2F%2Fwww.webofscience.com%2Fwos%2Fwoscc%2Ffull-record%2FWOS:000564492600003","View Full Record in Web of Science")</f>
        <v>View Full Record in Web of Science</v>
      </c>
    </row>
    <row r="962" spans="1:72" x14ac:dyDescent="0.15">
      <c r="A962" t="s">
        <v>72</v>
      </c>
      <c r="B962" t="s">
        <v>18759</v>
      </c>
      <c r="C962" t="s">
        <v>74</v>
      </c>
      <c r="D962" t="s">
        <v>74</v>
      </c>
      <c r="E962" t="s">
        <v>74</v>
      </c>
      <c r="F962" t="s">
        <v>18760</v>
      </c>
      <c r="G962" t="s">
        <v>74</v>
      </c>
      <c r="H962" t="s">
        <v>74</v>
      </c>
      <c r="I962" t="s">
        <v>18761</v>
      </c>
      <c r="J962" t="s">
        <v>18762</v>
      </c>
      <c r="K962" t="s">
        <v>74</v>
      </c>
      <c r="L962" t="s">
        <v>74</v>
      </c>
      <c r="M962" t="s">
        <v>78</v>
      </c>
      <c r="N962" t="s">
        <v>79</v>
      </c>
      <c r="O962" t="s">
        <v>74</v>
      </c>
      <c r="P962" t="s">
        <v>74</v>
      </c>
      <c r="Q962" t="s">
        <v>74</v>
      </c>
      <c r="R962" t="s">
        <v>74</v>
      </c>
      <c r="S962" t="s">
        <v>74</v>
      </c>
      <c r="T962" t="s">
        <v>18763</v>
      </c>
      <c r="U962" t="s">
        <v>18764</v>
      </c>
      <c r="V962" t="s">
        <v>18765</v>
      </c>
      <c r="W962" t="s">
        <v>18766</v>
      </c>
      <c r="X962" t="s">
        <v>18767</v>
      </c>
      <c r="Y962" t="s">
        <v>18768</v>
      </c>
      <c r="Z962" t="s">
        <v>18769</v>
      </c>
      <c r="AA962" t="s">
        <v>18770</v>
      </c>
      <c r="AB962" t="s">
        <v>18771</v>
      </c>
      <c r="AC962" t="s">
        <v>18772</v>
      </c>
      <c r="AD962" t="s">
        <v>18773</v>
      </c>
      <c r="AE962" t="s">
        <v>18774</v>
      </c>
      <c r="AF962" t="s">
        <v>74</v>
      </c>
      <c r="AG962">
        <v>33</v>
      </c>
      <c r="AH962">
        <v>11</v>
      </c>
      <c r="AI962">
        <v>13</v>
      </c>
      <c r="AJ962">
        <v>0</v>
      </c>
      <c r="AK962">
        <v>0</v>
      </c>
      <c r="AL962" t="s">
        <v>635</v>
      </c>
      <c r="AM962" t="s">
        <v>123</v>
      </c>
      <c r="AN962" t="s">
        <v>636</v>
      </c>
      <c r="AO962" t="s">
        <v>18775</v>
      </c>
      <c r="AP962" t="s">
        <v>74</v>
      </c>
      <c r="AQ962" t="s">
        <v>74</v>
      </c>
      <c r="AR962" t="s">
        <v>18776</v>
      </c>
      <c r="AS962" t="s">
        <v>18777</v>
      </c>
      <c r="AT962" t="s">
        <v>894</v>
      </c>
      <c r="AU962">
        <v>2020</v>
      </c>
      <c r="AV962">
        <v>97</v>
      </c>
      <c r="AW962" t="s">
        <v>74</v>
      </c>
      <c r="AX962" t="s">
        <v>74</v>
      </c>
      <c r="AY962" t="s">
        <v>74</v>
      </c>
      <c r="AZ962" t="s">
        <v>74</v>
      </c>
      <c r="BA962" t="s">
        <v>74</v>
      </c>
      <c r="BB962" t="s">
        <v>74</v>
      </c>
      <c r="BC962" t="s">
        <v>74</v>
      </c>
      <c r="BD962">
        <v>103074</v>
      </c>
      <c r="BE962" t="s">
        <v>18778</v>
      </c>
      <c r="BF962" t="str">
        <f>HYPERLINK("http://dx.doi.org/10.1016/j.jfluidstructs.2020.103074","http://dx.doi.org/10.1016/j.jfluidstructs.2020.103074")</f>
        <v>http://dx.doi.org/10.1016/j.jfluidstructs.2020.103074</v>
      </c>
      <c r="BG962" t="s">
        <v>74</v>
      </c>
      <c r="BH962" t="s">
        <v>74</v>
      </c>
      <c r="BI962">
        <v>17</v>
      </c>
      <c r="BJ962" t="s">
        <v>18779</v>
      </c>
      <c r="BK962" t="s">
        <v>100</v>
      </c>
      <c r="BL962" t="s">
        <v>18780</v>
      </c>
      <c r="BM962" t="s">
        <v>18781</v>
      </c>
      <c r="BN962" t="s">
        <v>74</v>
      </c>
      <c r="BO962" t="s">
        <v>74</v>
      </c>
      <c r="BP962" t="s">
        <v>74</v>
      </c>
      <c r="BQ962" t="s">
        <v>74</v>
      </c>
      <c r="BR962" t="s">
        <v>104</v>
      </c>
      <c r="BS962" t="s">
        <v>18782</v>
      </c>
      <c r="BT962" t="str">
        <f>HYPERLINK("https%3A%2F%2Fwww.webofscience.com%2Fwos%2Fwoscc%2Ffull-record%2FWOS:000564342000001","View Full Record in Web of Science")</f>
        <v>View Full Record in Web of Science</v>
      </c>
    </row>
    <row r="963" spans="1:72" x14ac:dyDescent="0.15">
      <c r="A963" t="s">
        <v>72</v>
      </c>
      <c r="B963" t="s">
        <v>18783</v>
      </c>
      <c r="C963" t="s">
        <v>74</v>
      </c>
      <c r="D963" t="s">
        <v>74</v>
      </c>
      <c r="E963" t="s">
        <v>74</v>
      </c>
      <c r="F963" t="s">
        <v>18784</v>
      </c>
      <c r="G963" t="s">
        <v>74</v>
      </c>
      <c r="H963" t="s">
        <v>74</v>
      </c>
      <c r="I963" t="s">
        <v>18785</v>
      </c>
      <c r="J963" t="s">
        <v>2259</v>
      </c>
      <c r="K963" t="s">
        <v>74</v>
      </c>
      <c r="L963" t="s">
        <v>74</v>
      </c>
      <c r="M963" t="s">
        <v>78</v>
      </c>
      <c r="N963" t="s">
        <v>79</v>
      </c>
      <c r="O963" t="s">
        <v>74</v>
      </c>
      <c r="P963" t="s">
        <v>74</v>
      </c>
      <c r="Q963" t="s">
        <v>74</v>
      </c>
      <c r="R963" t="s">
        <v>74</v>
      </c>
      <c r="S963" t="s">
        <v>74</v>
      </c>
      <c r="T963" t="s">
        <v>18786</v>
      </c>
      <c r="U963" t="s">
        <v>18787</v>
      </c>
      <c r="V963" t="s">
        <v>18788</v>
      </c>
      <c r="W963" t="s">
        <v>18789</v>
      </c>
      <c r="X963" t="s">
        <v>18790</v>
      </c>
      <c r="Y963" t="s">
        <v>18791</v>
      </c>
      <c r="Z963" t="s">
        <v>18792</v>
      </c>
      <c r="AA963" t="s">
        <v>74</v>
      </c>
      <c r="AB963" t="s">
        <v>18793</v>
      </c>
      <c r="AC963" t="s">
        <v>18794</v>
      </c>
      <c r="AD963" t="s">
        <v>18795</v>
      </c>
      <c r="AE963" t="s">
        <v>18796</v>
      </c>
      <c r="AF963" t="s">
        <v>74</v>
      </c>
      <c r="AG963">
        <v>49</v>
      </c>
      <c r="AH963">
        <v>9</v>
      </c>
      <c r="AI963">
        <v>9</v>
      </c>
      <c r="AJ963">
        <v>3</v>
      </c>
      <c r="AK963">
        <v>20</v>
      </c>
      <c r="AL963" t="s">
        <v>2085</v>
      </c>
      <c r="AM963" t="s">
        <v>2086</v>
      </c>
      <c r="AN963" t="s">
        <v>2087</v>
      </c>
      <c r="AO963" t="s">
        <v>74</v>
      </c>
      <c r="AP963" t="s">
        <v>2272</v>
      </c>
      <c r="AQ963" t="s">
        <v>74</v>
      </c>
      <c r="AR963" t="s">
        <v>2259</v>
      </c>
      <c r="AS963" t="s">
        <v>2273</v>
      </c>
      <c r="AT963" t="s">
        <v>894</v>
      </c>
      <c r="AU963">
        <v>2020</v>
      </c>
      <c r="AV963">
        <v>8</v>
      </c>
      <c r="AW963">
        <v>8</v>
      </c>
      <c r="AX963" t="s">
        <v>74</v>
      </c>
      <c r="AY963" t="s">
        <v>74</v>
      </c>
      <c r="AZ963" t="s">
        <v>74</v>
      </c>
      <c r="BA963" t="s">
        <v>74</v>
      </c>
      <c r="BB963" t="s">
        <v>74</v>
      </c>
      <c r="BC963" t="s">
        <v>74</v>
      </c>
      <c r="BD963">
        <v>1115</v>
      </c>
      <c r="BE963" t="s">
        <v>18797</v>
      </c>
      <c r="BF963" t="str">
        <f>HYPERLINK("http://dx.doi.org/10.3390/microorganisms8081115","http://dx.doi.org/10.3390/microorganisms8081115")</f>
        <v>http://dx.doi.org/10.3390/microorganisms8081115</v>
      </c>
      <c r="BG963" t="s">
        <v>74</v>
      </c>
      <c r="BH963" t="s">
        <v>74</v>
      </c>
      <c r="BI963">
        <v>12</v>
      </c>
      <c r="BJ963" t="s">
        <v>229</v>
      </c>
      <c r="BK963" t="s">
        <v>100</v>
      </c>
      <c r="BL963" t="s">
        <v>229</v>
      </c>
      <c r="BM963" t="s">
        <v>18798</v>
      </c>
      <c r="BN963">
        <v>32722258</v>
      </c>
      <c r="BO963" t="s">
        <v>332</v>
      </c>
      <c r="BP963" t="s">
        <v>74</v>
      </c>
      <c r="BQ963" t="s">
        <v>74</v>
      </c>
      <c r="BR963" t="s">
        <v>104</v>
      </c>
      <c r="BS963" t="s">
        <v>18799</v>
      </c>
      <c r="BT963" t="str">
        <f>HYPERLINK("https%3A%2F%2Fwww.webofscience.com%2Fwos%2Fwoscc%2Ffull-record%2FWOS:000564801300001","View Full Record in Web of Science")</f>
        <v>View Full Record in Web of Science</v>
      </c>
    </row>
    <row r="964" spans="1:72" x14ac:dyDescent="0.15">
      <c r="A964" t="s">
        <v>72</v>
      </c>
      <c r="B964" t="s">
        <v>18800</v>
      </c>
      <c r="C964" t="s">
        <v>74</v>
      </c>
      <c r="D964" t="s">
        <v>74</v>
      </c>
      <c r="E964" t="s">
        <v>74</v>
      </c>
      <c r="F964" t="s">
        <v>18801</v>
      </c>
      <c r="G964" t="s">
        <v>74</v>
      </c>
      <c r="H964" t="s">
        <v>74</v>
      </c>
      <c r="I964" t="s">
        <v>18802</v>
      </c>
      <c r="J964" t="s">
        <v>18803</v>
      </c>
      <c r="K964" t="s">
        <v>74</v>
      </c>
      <c r="L964" t="s">
        <v>74</v>
      </c>
      <c r="M964" t="s">
        <v>78</v>
      </c>
      <c r="N964" t="s">
        <v>79</v>
      </c>
      <c r="O964" t="s">
        <v>74</v>
      </c>
      <c r="P964" t="s">
        <v>74</v>
      </c>
      <c r="Q964" t="s">
        <v>74</v>
      </c>
      <c r="R964" t="s">
        <v>74</v>
      </c>
      <c r="S964" t="s">
        <v>74</v>
      </c>
      <c r="T964" t="s">
        <v>18804</v>
      </c>
      <c r="U964" t="s">
        <v>18805</v>
      </c>
      <c r="V964" t="s">
        <v>18806</v>
      </c>
      <c r="W964" t="s">
        <v>18807</v>
      </c>
      <c r="X964" t="s">
        <v>18808</v>
      </c>
      <c r="Y964" t="s">
        <v>18809</v>
      </c>
      <c r="Z964" t="s">
        <v>18810</v>
      </c>
      <c r="AA964" t="s">
        <v>18811</v>
      </c>
      <c r="AB964" t="s">
        <v>18812</v>
      </c>
      <c r="AC964" t="s">
        <v>18813</v>
      </c>
      <c r="AD964" t="s">
        <v>18814</v>
      </c>
      <c r="AE964" t="s">
        <v>18815</v>
      </c>
      <c r="AF964" t="s">
        <v>74</v>
      </c>
      <c r="AG964">
        <v>61</v>
      </c>
      <c r="AH964">
        <v>12</v>
      </c>
      <c r="AI964">
        <v>12</v>
      </c>
      <c r="AJ964">
        <v>0</v>
      </c>
      <c r="AK964">
        <v>7</v>
      </c>
      <c r="AL964" t="s">
        <v>2085</v>
      </c>
      <c r="AM964" t="s">
        <v>2086</v>
      </c>
      <c r="AN964" t="s">
        <v>2087</v>
      </c>
      <c r="AO964" t="s">
        <v>74</v>
      </c>
      <c r="AP964" t="s">
        <v>18816</v>
      </c>
      <c r="AQ964" t="s">
        <v>74</v>
      </c>
      <c r="AR964" t="s">
        <v>18803</v>
      </c>
      <c r="AS964" t="s">
        <v>18817</v>
      </c>
      <c r="AT964" t="s">
        <v>894</v>
      </c>
      <c r="AU964">
        <v>2020</v>
      </c>
      <c r="AV964">
        <v>9</v>
      </c>
      <c r="AW964">
        <v>8</v>
      </c>
      <c r="AX964" t="s">
        <v>74</v>
      </c>
      <c r="AY964" t="s">
        <v>74</v>
      </c>
      <c r="AZ964" t="s">
        <v>74</v>
      </c>
      <c r="BA964" t="s">
        <v>74</v>
      </c>
      <c r="BB964" t="s">
        <v>74</v>
      </c>
      <c r="BC964" t="s">
        <v>74</v>
      </c>
      <c r="BD964">
        <v>597</v>
      </c>
      <c r="BE964" t="s">
        <v>18818</v>
      </c>
      <c r="BF964" t="str">
        <f>HYPERLINK("http://dx.doi.org/10.3390/pathogens9080597","http://dx.doi.org/10.3390/pathogens9080597")</f>
        <v>http://dx.doi.org/10.3390/pathogens9080597</v>
      </c>
      <c r="BG964" t="s">
        <v>74</v>
      </c>
      <c r="BH964" t="s">
        <v>74</v>
      </c>
      <c r="BI964">
        <v>14</v>
      </c>
      <c r="BJ964" t="s">
        <v>229</v>
      </c>
      <c r="BK964" t="s">
        <v>100</v>
      </c>
      <c r="BL964" t="s">
        <v>229</v>
      </c>
      <c r="BM964" t="s">
        <v>18819</v>
      </c>
      <c r="BN964">
        <v>32707755</v>
      </c>
      <c r="BO964" t="s">
        <v>2113</v>
      </c>
      <c r="BP964" t="s">
        <v>74</v>
      </c>
      <c r="BQ964" t="s">
        <v>74</v>
      </c>
      <c r="BR964" t="s">
        <v>104</v>
      </c>
      <c r="BS964" t="s">
        <v>18820</v>
      </c>
      <c r="BT964" t="str">
        <f>HYPERLINK("https%3A%2F%2Fwww.webofscience.com%2Fwos%2Fwoscc%2Ffull-record%2FWOS:000564751100001","View Full Record in Web of Science")</f>
        <v>View Full Record in Web of Science</v>
      </c>
    </row>
    <row r="965" spans="1:72" x14ac:dyDescent="0.15">
      <c r="A965" t="s">
        <v>72</v>
      </c>
      <c r="B965" t="s">
        <v>18821</v>
      </c>
      <c r="C965" t="s">
        <v>74</v>
      </c>
      <c r="D965" t="s">
        <v>74</v>
      </c>
      <c r="E965" t="s">
        <v>74</v>
      </c>
      <c r="F965" t="s">
        <v>18822</v>
      </c>
      <c r="G965" t="s">
        <v>74</v>
      </c>
      <c r="H965" t="s">
        <v>74</v>
      </c>
      <c r="I965" t="s">
        <v>18823</v>
      </c>
      <c r="J965" t="s">
        <v>2074</v>
      </c>
      <c r="K965" t="s">
        <v>74</v>
      </c>
      <c r="L965" t="s">
        <v>74</v>
      </c>
      <c r="M965" t="s">
        <v>78</v>
      </c>
      <c r="N965" t="s">
        <v>138</v>
      </c>
      <c r="O965" t="s">
        <v>74</v>
      </c>
      <c r="P965" t="s">
        <v>74</v>
      </c>
      <c r="Q965" t="s">
        <v>74</v>
      </c>
      <c r="R965" t="s">
        <v>74</v>
      </c>
      <c r="S965" t="s">
        <v>74</v>
      </c>
      <c r="T965" t="s">
        <v>18824</v>
      </c>
      <c r="U965" t="s">
        <v>18825</v>
      </c>
      <c r="V965" t="s">
        <v>18826</v>
      </c>
      <c r="W965" t="s">
        <v>18827</v>
      </c>
      <c r="X965" t="s">
        <v>18828</v>
      </c>
      <c r="Y965" t="s">
        <v>18829</v>
      </c>
      <c r="Z965" t="s">
        <v>18830</v>
      </c>
      <c r="AA965" t="s">
        <v>18831</v>
      </c>
      <c r="AB965" t="s">
        <v>18832</v>
      </c>
      <c r="AC965" t="s">
        <v>18833</v>
      </c>
      <c r="AD965" t="s">
        <v>18834</v>
      </c>
      <c r="AE965" t="s">
        <v>18835</v>
      </c>
      <c r="AF965" t="s">
        <v>74</v>
      </c>
      <c r="AG965">
        <v>172</v>
      </c>
      <c r="AH965">
        <v>23</v>
      </c>
      <c r="AI965">
        <v>25</v>
      </c>
      <c r="AJ965">
        <v>13</v>
      </c>
      <c r="AK965">
        <v>84</v>
      </c>
      <c r="AL965" t="s">
        <v>2085</v>
      </c>
      <c r="AM965" t="s">
        <v>2086</v>
      </c>
      <c r="AN965" t="s">
        <v>2087</v>
      </c>
      <c r="AO965" t="s">
        <v>74</v>
      </c>
      <c r="AP965" t="s">
        <v>2088</v>
      </c>
      <c r="AQ965" t="s">
        <v>74</v>
      </c>
      <c r="AR965" t="s">
        <v>2089</v>
      </c>
      <c r="AS965" t="s">
        <v>2090</v>
      </c>
      <c r="AT965" t="s">
        <v>894</v>
      </c>
      <c r="AU965">
        <v>2020</v>
      </c>
      <c r="AV965">
        <v>12</v>
      </c>
      <c r="AW965">
        <v>16</v>
      </c>
      <c r="AX965" t="s">
        <v>74</v>
      </c>
      <c r="AY965" t="s">
        <v>74</v>
      </c>
      <c r="AZ965" t="s">
        <v>74</v>
      </c>
      <c r="BA965" t="s">
        <v>74</v>
      </c>
      <c r="BB965" t="s">
        <v>74</v>
      </c>
      <c r="BC965" t="s">
        <v>74</v>
      </c>
      <c r="BD965">
        <v>2588</v>
      </c>
      <c r="BE965" t="s">
        <v>18836</v>
      </c>
      <c r="BF965" t="str">
        <f>HYPERLINK("http://dx.doi.org/10.3390/rs12162588","http://dx.doi.org/10.3390/rs12162588")</f>
        <v>http://dx.doi.org/10.3390/rs12162588</v>
      </c>
      <c r="BG965" t="s">
        <v>74</v>
      </c>
      <c r="BH965" t="s">
        <v>74</v>
      </c>
      <c r="BI965">
        <v>30</v>
      </c>
      <c r="BJ965" t="s">
        <v>2092</v>
      </c>
      <c r="BK965" t="s">
        <v>100</v>
      </c>
      <c r="BL965" t="s">
        <v>2093</v>
      </c>
      <c r="BM965" t="s">
        <v>18837</v>
      </c>
      <c r="BN965" t="s">
        <v>74</v>
      </c>
      <c r="BO965" t="s">
        <v>152</v>
      </c>
      <c r="BP965" t="s">
        <v>74</v>
      </c>
      <c r="BQ965" t="s">
        <v>74</v>
      </c>
      <c r="BR965" t="s">
        <v>104</v>
      </c>
      <c r="BS965" t="s">
        <v>18838</v>
      </c>
      <c r="BT965" t="str">
        <f>HYPERLINK("https%3A%2F%2Fwww.webofscience.com%2Fwos%2Fwoscc%2Ffull-record%2FWOS:000565440800001","View Full Record in Web of Science")</f>
        <v>View Full Record in Web of Science</v>
      </c>
    </row>
    <row r="966" spans="1:72" x14ac:dyDescent="0.15">
      <c r="A966" t="s">
        <v>72</v>
      </c>
      <c r="B966" t="s">
        <v>18839</v>
      </c>
      <c r="C966" t="s">
        <v>74</v>
      </c>
      <c r="D966" t="s">
        <v>74</v>
      </c>
      <c r="E966" t="s">
        <v>74</v>
      </c>
      <c r="F966" t="s">
        <v>18840</v>
      </c>
      <c r="G966" t="s">
        <v>74</v>
      </c>
      <c r="H966" t="s">
        <v>74</v>
      </c>
      <c r="I966" t="s">
        <v>18841</v>
      </c>
      <c r="J966" t="s">
        <v>2343</v>
      </c>
      <c r="K966" t="s">
        <v>74</v>
      </c>
      <c r="L966" t="s">
        <v>74</v>
      </c>
      <c r="M966" t="s">
        <v>78</v>
      </c>
      <c r="N966" t="s">
        <v>79</v>
      </c>
      <c r="O966" t="s">
        <v>74</v>
      </c>
      <c r="P966" t="s">
        <v>74</v>
      </c>
      <c r="Q966" t="s">
        <v>74</v>
      </c>
      <c r="R966" t="s">
        <v>74</v>
      </c>
      <c r="S966" t="s">
        <v>74</v>
      </c>
      <c r="T966" t="s">
        <v>18842</v>
      </c>
      <c r="U966" t="s">
        <v>18843</v>
      </c>
      <c r="V966" t="s">
        <v>18844</v>
      </c>
      <c r="W966" t="s">
        <v>18845</v>
      </c>
      <c r="X966" t="s">
        <v>18846</v>
      </c>
      <c r="Y966" t="s">
        <v>18847</v>
      </c>
      <c r="Z966" t="s">
        <v>18848</v>
      </c>
      <c r="AA966" t="s">
        <v>18849</v>
      </c>
      <c r="AB966" t="s">
        <v>18850</v>
      </c>
      <c r="AC966" t="s">
        <v>18851</v>
      </c>
      <c r="AD966" t="s">
        <v>18852</v>
      </c>
      <c r="AE966" t="s">
        <v>18853</v>
      </c>
      <c r="AF966" t="s">
        <v>74</v>
      </c>
      <c r="AG966">
        <v>80</v>
      </c>
      <c r="AH966">
        <v>4</v>
      </c>
      <c r="AI966">
        <v>5</v>
      </c>
      <c r="AJ966">
        <v>0</v>
      </c>
      <c r="AK966">
        <v>11</v>
      </c>
      <c r="AL966" t="s">
        <v>2085</v>
      </c>
      <c r="AM966" t="s">
        <v>2086</v>
      </c>
      <c r="AN966" t="s">
        <v>2087</v>
      </c>
      <c r="AO966" t="s">
        <v>74</v>
      </c>
      <c r="AP966" t="s">
        <v>2356</v>
      </c>
      <c r="AQ966" t="s">
        <v>74</v>
      </c>
      <c r="AR966" t="s">
        <v>2357</v>
      </c>
      <c r="AS966" t="s">
        <v>2358</v>
      </c>
      <c r="AT966" t="s">
        <v>894</v>
      </c>
      <c r="AU966">
        <v>2020</v>
      </c>
      <c r="AV966">
        <v>11</v>
      </c>
      <c r="AW966">
        <v>8</v>
      </c>
      <c r="AX966" t="s">
        <v>74</v>
      </c>
      <c r="AY966" t="s">
        <v>74</v>
      </c>
      <c r="AZ966" t="s">
        <v>74</v>
      </c>
      <c r="BA966" t="s">
        <v>74</v>
      </c>
      <c r="BB966" t="s">
        <v>74</v>
      </c>
      <c r="BC966" t="s">
        <v>74</v>
      </c>
      <c r="BD966">
        <v>873</v>
      </c>
      <c r="BE966" t="s">
        <v>18854</v>
      </c>
      <c r="BF966" t="str">
        <f>HYPERLINK("http://dx.doi.org/10.3390/atmos11080873","http://dx.doi.org/10.3390/atmos11080873")</f>
        <v>http://dx.doi.org/10.3390/atmos11080873</v>
      </c>
      <c r="BG966" t="s">
        <v>74</v>
      </c>
      <c r="BH966" t="s">
        <v>74</v>
      </c>
      <c r="BI966">
        <v>20</v>
      </c>
      <c r="BJ966" t="s">
        <v>1027</v>
      </c>
      <c r="BK966" t="s">
        <v>100</v>
      </c>
      <c r="BL966" t="s">
        <v>1028</v>
      </c>
      <c r="BM966" t="s">
        <v>18855</v>
      </c>
      <c r="BN966" t="s">
        <v>74</v>
      </c>
      <c r="BO966" t="s">
        <v>202</v>
      </c>
      <c r="BP966" t="s">
        <v>74</v>
      </c>
      <c r="BQ966" t="s">
        <v>74</v>
      </c>
      <c r="BR966" t="s">
        <v>104</v>
      </c>
      <c r="BS966" t="s">
        <v>18856</v>
      </c>
      <c r="BT966" t="str">
        <f>HYPERLINK("https%3A%2F%2Fwww.webofscience.com%2Fwos%2Fwoscc%2Ffull-record%2FWOS:000564816500001","View Full Record in Web of Science")</f>
        <v>View Full Record in Web of Science</v>
      </c>
    </row>
    <row r="967" spans="1:72" x14ac:dyDescent="0.15">
      <c r="A967" t="s">
        <v>72</v>
      </c>
      <c r="B967" t="s">
        <v>18857</v>
      </c>
      <c r="C967" t="s">
        <v>74</v>
      </c>
      <c r="D967" t="s">
        <v>74</v>
      </c>
      <c r="E967" t="s">
        <v>74</v>
      </c>
      <c r="F967" t="s">
        <v>18858</v>
      </c>
      <c r="G967" t="s">
        <v>74</v>
      </c>
      <c r="H967" t="s">
        <v>74</v>
      </c>
      <c r="I967" t="s">
        <v>18859</v>
      </c>
      <c r="J967" t="s">
        <v>18860</v>
      </c>
      <c r="K967" t="s">
        <v>74</v>
      </c>
      <c r="L967" t="s">
        <v>74</v>
      </c>
      <c r="M967" t="s">
        <v>78</v>
      </c>
      <c r="N967" t="s">
        <v>79</v>
      </c>
      <c r="O967" t="s">
        <v>74</v>
      </c>
      <c r="P967" t="s">
        <v>74</v>
      </c>
      <c r="Q967" t="s">
        <v>74</v>
      </c>
      <c r="R967" t="s">
        <v>74</v>
      </c>
      <c r="S967" t="s">
        <v>74</v>
      </c>
      <c r="T967" t="s">
        <v>18861</v>
      </c>
      <c r="U967" t="s">
        <v>18862</v>
      </c>
      <c r="V967" t="s">
        <v>18863</v>
      </c>
      <c r="W967" t="s">
        <v>18864</v>
      </c>
      <c r="X967" t="s">
        <v>18865</v>
      </c>
      <c r="Y967" t="s">
        <v>18866</v>
      </c>
      <c r="Z967" t="s">
        <v>18867</v>
      </c>
      <c r="AA967" t="s">
        <v>74</v>
      </c>
      <c r="AB967" t="s">
        <v>18868</v>
      </c>
      <c r="AC967" t="s">
        <v>18869</v>
      </c>
      <c r="AD967" t="s">
        <v>18870</v>
      </c>
      <c r="AE967" t="s">
        <v>18871</v>
      </c>
      <c r="AF967" t="s">
        <v>74</v>
      </c>
      <c r="AG967">
        <v>54</v>
      </c>
      <c r="AH967">
        <v>10</v>
      </c>
      <c r="AI967">
        <v>10</v>
      </c>
      <c r="AJ967">
        <v>0</v>
      </c>
      <c r="AK967">
        <v>5</v>
      </c>
      <c r="AL967" t="s">
        <v>2085</v>
      </c>
      <c r="AM967" t="s">
        <v>2086</v>
      </c>
      <c r="AN967" t="s">
        <v>2087</v>
      </c>
      <c r="AO967" t="s">
        <v>74</v>
      </c>
      <c r="AP967" t="s">
        <v>18872</v>
      </c>
      <c r="AQ967" t="s">
        <v>74</v>
      </c>
      <c r="AR967" t="s">
        <v>18860</v>
      </c>
      <c r="AS967" t="s">
        <v>18873</v>
      </c>
      <c r="AT967" t="s">
        <v>894</v>
      </c>
      <c r="AU967">
        <v>2020</v>
      </c>
      <c r="AV967">
        <v>10</v>
      </c>
      <c r="AW967">
        <v>8</v>
      </c>
      <c r="AX967" t="s">
        <v>74</v>
      </c>
      <c r="AY967" t="s">
        <v>74</v>
      </c>
      <c r="AZ967" t="s">
        <v>74</v>
      </c>
      <c r="BA967" t="s">
        <v>74</v>
      </c>
      <c r="BB967" t="s">
        <v>74</v>
      </c>
      <c r="BC967" t="s">
        <v>74</v>
      </c>
      <c r="BD967">
        <v>130</v>
      </c>
      <c r="BE967" t="s">
        <v>18874</v>
      </c>
      <c r="BF967" t="str">
        <f>HYPERLINK("http://dx.doi.org/10.3390/life10080130","http://dx.doi.org/10.3390/life10080130")</f>
        <v>http://dx.doi.org/10.3390/life10080130</v>
      </c>
      <c r="BG967" t="s">
        <v>74</v>
      </c>
      <c r="BH967" t="s">
        <v>74</v>
      </c>
      <c r="BI967">
        <v>14</v>
      </c>
      <c r="BJ967" t="s">
        <v>18875</v>
      </c>
      <c r="BK967" t="s">
        <v>100</v>
      </c>
      <c r="BL967" t="s">
        <v>18876</v>
      </c>
      <c r="BM967" t="s">
        <v>18877</v>
      </c>
      <c r="BN967">
        <v>32752063</v>
      </c>
      <c r="BO967" t="s">
        <v>11396</v>
      </c>
      <c r="BP967" t="s">
        <v>74</v>
      </c>
      <c r="BQ967" t="s">
        <v>74</v>
      </c>
      <c r="BR967" t="s">
        <v>104</v>
      </c>
      <c r="BS967" t="s">
        <v>18878</v>
      </c>
      <c r="BT967" t="str">
        <f>HYPERLINK("https%3A%2F%2Fwww.webofscience.com%2Fwos%2Fwoscc%2Ffull-record%2FWOS:000564714100001","View Full Record in Web of Science")</f>
        <v>View Full Record in Web of Science</v>
      </c>
    </row>
    <row r="968" spans="1:72" x14ac:dyDescent="0.15">
      <c r="A968" t="s">
        <v>72</v>
      </c>
      <c r="B968" t="s">
        <v>18879</v>
      </c>
      <c r="C968" t="s">
        <v>74</v>
      </c>
      <c r="D968" t="s">
        <v>74</v>
      </c>
      <c r="E968" t="s">
        <v>74</v>
      </c>
      <c r="F968" t="s">
        <v>18880</v>
      </c>
      <c r="G968" t="s">
        <v>74</v>
      </c>
      <c r="H968" t="s">
        <v>74</v>
      </c>
      <c r="I968" t="s">
        <v>18881</v>
      </c>
      <c r="J968" t="s">
        <v>2259</v>
      </c>
      <c r="K968" t="s">
        <v>74</v>
      </c>
      <c r="L968" t="s">
        <v>74</v>
      </c>
      <c r="M968" t="s">
        <v>78</v>
      </c>
      <c r="N968" t="s">
        <v>79</v>
      </c>
      <c r="O968" t="s">
        <v>74</v>
      </c>
      <c r="P968" t="s">
        <v>74</v>
      </c>
      <c r="Q968" t="s">
        <v>74</v>
      </c>
      <c r="R968" t="s">
        <v>74</v>
      </c>
      <c r="S968" t="s">
        <v>74</v>
      </c>
      <c r="T968" t="s">
        <v>18882</v>
      </c>
      <c r="U968" t="s">
        <v>18883</v>
      </c>
      <c r="V968" t="s">
        <v>18884</v>
      </c>
      <c r="W968" t="s">
        <v>18885</v>
      </c>
      <c r="X968" t="s">
        <v>18886</v>
      </c>
      <c r="Y968" t="s">
        <v>18887</v>
      </c>
      <c r="Z968" t="s">
        <v>18888</v>
      </c>
      <c r="AA968" t="s">
        <v>74</v>
      </c>
      <c r="AB968" t="s">
        <v>74</v>
      </c>
      <c r="AC968" t="s">
        <v>18889</v>
      </c>
      <c r="AD968" t="s">
        <v>18890</v>
      </c>
      <c r="AE968" t="s">
        <v>18891</v>
      </c>
      <c r="AF968" t="s">
        <v>74</v>
      </c>
      <c r="AG968">
        <v>74</v>
      </c>
      <c r="AH968">
        <v>14</v>
      </c>
      <c r="AI968">
        <v>14</v>
      </c>
      <c r="AJ968">
        <v>3</v>
      </c>
      <c r="AK968">
        <v>16</v>
      </c>
      <c r="AL968" t="s">
        <v>2085</v>
      </c>
      <c r="AM968" t="s">
        <v>2086</v>
      </c>
      <c r="AN968" t="s">
        <v>2087</v>
      </c>
      <c r="AO968" t="s">
        <v>74</v>
      </c>
      <c r="AP968" t="s">
        <v>2272</v>
      </c>
      <c r="AQ968" t="s">
        <v>74</v>
      </c>
      <c r="AR968" t="s">
        <v>2259</v>
      </c>
      <c r="AS968" t="s">
        <v>2273</v>
      </c>
      <c r="AT968" t="s">
        <v>894</v>
      </c>
      <c r="AU968">
        <v>2020</v>
      </c>
      <c r="AV968">
        <v>8</v>
      </c>
      <c r="AW968">
        <v>8</v>
      </c>
      <c r="AX968" t="s">
        <v>74</v>
      </c>
      <c r="AY968" t="s">
        <v>74</v>
      </c>
      <c r="AZ968" t="s">
        <v>74</v>
      </c>
      <c r="BA968" t="s">
        <v>74</v>
      </c>
      <c r="BB968" t="s">
        <v>74</v>
      </c>
      <c r="BC968" t="s">
        <v>74</v>
      </c>
      <c r="BD968">
        <v>1183</v>
      </c>
      <c r="BE968" t="s">
        <v>18892</v>
      </c>
      <c r="BF968" t="str">
        <f>HYPERLINK("http://dx.doi.org/10.3390/microorganisms8081183","http://dx.doi.org/10.3390/microorganisms8081183")</f>
        <v>http://dx.doi.org/10.3390/microorganisms8081183</v>
      </c>
      <c r="BG968" t="s">
        <v>74</v>
      </c>
      <c r="BH968" t="s">
        <v>74</v>
      </c>
      <c r="BI968">
        <v>14</v>
      </c>
      <c r="BJ968" t="s">
        <v>229</v>
      </c>
      <c r="BK968" t="s">
        <v>100</v>
      </c>
      <c r="BL968" t="s">
        <v>229</v>
      </c>
      <c r="BM968" t="s">
        <v>18893</v>
      </c>
      <c r="BN968">
        <v>32756528</v>
      </c>
      <c r="BO968" t="s">
        <v>2113</v>
      </c>
      <c r="BP968" t="s">
        <v>74</v>
      </c>
      <c r="BQ968" t="s">
        <v>74</v>
      </c>
      <c r="BR968" t="s">
        <v>104</v>
      </c>
      <c r="BS968" t="s">
        <v>18894</v>
      </c>
      <c r="BT968" t="str">
        <f>HYPERLINK("https%3A%2F%2Fwww.webofscience.com%2Fwos%2Fwoscc%2Ffull-record%2FWOS:000564879200001","View Full Record in Web of Science")</f>
        <v>View Full Record in Web of Science</v>
      </c>
    </row>
    <row r="969" spans="1:72" x14ac:dyDescent="0.15">
      <c r="A969" t="s">
        <v>72</v>
      </c>
      <c r="B969" t="s">
        <v>18895</v>
      </c>
      <c r="C969" t="s">
        <v>74</v>
      </c>
      <c r="D969" t="s">
        <v>74</v>
      </c>
      <c r="E969" t="s">
        <v>74</v>
      </c>
      <c r="F969" t="s">
        <v>18896</v>
      </c>
      <c r="G969" t="s">
        <v>74</v>
      </c>
      <c r="H969" t="s">
        <v>74</v>
      </c>
      <c r="I969" t="s">
        <v>18897</v>
      </c>
      <c r="J969" t="s">
        <v>2074</v>
      </c>
      <c r="K969" t="s">
        <v>74</v>
      </c>
      <c r="L969" t="s">
        <v>74</v>
      </c>
      <c r="M969" t="s">
        <v>78</v>
      </c>
      <c r="N969" t="s">
        <v>79</v>
      </c>
      <c r="O969" t="s">
        <v>74</v>
      </c>
      <c r="P969" t="s">
        <v>74</v>
      </c>
      <c r="Q969" t="s">
        <v>74</v>
      </c>
      <c r="R969" t="s">
        <v>74</v>
      </c>
      <c r="S969" t="s">
        <v>74</v>
      </c>
      <c r="T969" t="s">
        <v>18898</v>
      </c>
      <c r="U969" t="s">
        <v>18899</v>
      </c>
      <c r="V969" t="s">
        <v>18900</v>
      </c>
      <c r="W969" t="s">
        <v>18901</v>
      </c>
      <c r="X969" t="s">
        <v>18902</v>
      </c>
      <c r="Y969" t="s">
        <v>18903</v>
      </c>
      <c r="Z969" t="s">
        <v>18904</v>
      </c>
      <c r="AA969" t="s">
        <v>18905</v>
      </c>
      <c r="AB969" t="s">
        <v>18906</v>
      </c>
      <c r="AC969" t="s">
        <v>18907</v>
      </c>
      <c r="AD969" t="s">
        <v>18908</v>
      </c>
      <c r="AE969" t="s">
        <v>18909</v>
      </c>
      <c r="AF969" t="s">
        <v>74</v>
      </c>
      <c r="AG969">
        <v>22</v>
      </c>
      <c r="AH969">
        <v>6</v>
      </c>
      <c r="AI969">
        <v>6</v>
      </c>
      <c r="AJ969">
        <v>5</v>
      </c>
      <c r="AK969">
        <v>21</v>
      </c>
      <c r="AL969" t="s">
        <v>2085</v>
      </c>
      <c r="AM969" t="s">
        <v>2086</v>
      </c>
      <c r="AN969" t="s">
        <v>2087</v>
      </c>
      <c r="AO969" t="s">
        <v>74</v>
      </c>
      <c r="AP969" t="s">
        <v>2088</v>
      </c>
      <c r="AQ969" t="s">
        <v>74</v>
      </c>
      <c r="AR969" t="s">
        <v>2089</v>
      </c>
      <c r="AS969" t="s">
        <v>2090</v>
      </c>
      <c r="AT969" t="s">
        <v>894</v>
      </c>
      <c r="AU969">
        <v>2020</v>
      </c>
      <c r="AV969">
        <v>12</v>
      </c>
      <c r="AW969">
        <v>16</v>
      </c>
      <c r="AX969" t="s">
        <v>74</v>
      </c>
      <c r="AY969" t="s">
        <v>74</v>
      </c>
      <c r="AZ969" t="s">
        <v>74</v>
      </c>
      <c r="BA969" t="s">
        <v>74</v>
      </c>
      <c r="BB969" t="s">
        <v>74</v>
      </c>
      <c r="BC969" t="s">
        <v>74</v>
      </c>
      <c r="BD969">
        <v>2658</v>
      </c>
      <c r="BE969" t="s">
        <v>18910</v>
      </c>
      <c r="BF969" t="str">
        <f>HYPERLINK("http://dx.doi.org/10.3390/rs12162658","http://dx.doi.org/10.3390/rs12162658")</f>
        <v>http://dx.doi.org/10.3390/rs12162658</v>
      </c>
      <c r="BG969" t="s">
        <v>74</v>
      </c>
      <c r="BH969" t="s">
        <v>74</v>
      </c>
      <c r="BI969">
        <v>15</v>
      </c>
      <c r="BJ969" t="s">
        <v>2092</v>
      </c>
      <c r="BK969" t="s">
        <v>100</v>
      </c>
      <c r="BL969" t="s">
        <v>2093</v>
      </c>
      <c r="BM969" t="s">
        <v>18911</v>
      </c>
      <c r="BN969" t="s">
        <v>74</v>
      </c>
      <c r="BO969" t="s">
        <v>202</v>
      </c>
      <c r="BP969" t="s">
        <v>74</v>
      </c>
      <c r="BQ969" t="s">
        <v>74</v>
      </c>
      <c r="BR969" t="s">
        <v>104</v>
      </c>
      <c r="BS969" t="s">
        <v>18912</v>
      </c>
      <c r="BT969" t="str">
        <f>HYPERLINK("https%3A%2F%2Fwww.webofscience.com%2Fwos%2Fwoscc%2Ffull-record%2FWOS:000565446800001","View Full Record in Web of Science")</f>
        <v>View Full Record in Web of Science</v>
      </c>
    </row>
    <row r="970" spans="1:72" x14ac:dyDescent="0.15">
      <c r="A970" t="s">
        <v>72</v>
      </c>
      <c r="B970" t="s">
        <v>18913</v>
      </c>
      <c r="C970" t="s">
        <v>74</v>
      </c>
      <c r="D970" t="s">
        <v>74</v>
      </c>
      <c r="E970" t="s">
        <v>74</v>
      </c>
      <c r="F970" t="s">
        <v>18914</v>
      </c>
      <c r="G970" t="s">
        <v>74</v>
      </c>
      <c r="H970" t="s">
        <v>74</v>
      </c>
      <c r="I970" t="s">
        <v>18915</v>
      </c>
      <c r="J970" t="s">
        <v>2218</v>
      </c>
      <c r="K970" t="s">
        <v>74</v>
      </c>
      <c r="L970" t="s">
        <v>74</v>
      </c>
      <c r="M970" t="s">
        <v>78</v>
      </c>
      <c r="N970" t="s">
        <v>138</v>
      </c>
      <c r="O970" t="s">
        <v>74</v>
      </c>
      <c r="P970" t="s">
        <v>74</v>
      </c>
      <c r="Q970" t="s">
        <v>74</v>
      </c>
      <c r="R970" t="s">
        <v>74</v>
      </c>
      <c r="S970" t="s">
        <v>74</v>
      </c>
      <c r="T970" t="s">
        <v>18916</v>
      </c>
      <c r="U970" t="s">
        <v>18917</v>
      </c>
      <c r="V970" t="s">
        <v>18918</v>
      </c>
      <c r="W970" t="s">
        <v>18919</v>
      </c>
      <c r="X970" t="s">
        <v>18920</v>
      </c>
      <c r="Y970" t="s">
        <v>18921</v>
      </c>
      <c r="Z970" t="s">
        <v>18922</v>
      </c>
      <c r="AA970" t="s">
        <v>18923</v>
      </c>
      <c r="AB970" t="s">
        <v>18924</v>
      </c>
      <c r="AC970" t="s">
        <v>18925</v>
      </c>
      <c r="AD970" t="s">
        <v>18926</v>
      </c>
      <c r="AE970" t="s">
        <v>18927</v>
      </c>
      <c r="AF970" t="s">
        <v>74</v>
      </c>
      <c r="AG970">
        <v>241</v>
      </c>
      <c r="AH970">
        <v>21</v>
      </c>
      <c r="AI970">
        <v>24</v>
      </c>
      <c r="AJ970">
        <v>5</v>
      </c>
      <c r="AK970">
        <v>43</v>
      </c>
      <c r="AL970" t="s">
        <v>2085</v>
      </c>
      <c r="AM970" t="s">
        <v>2086</v>
      </c>
      <c r="AN970" t="s">
        <v>2087</v>
      </c>
      <c r="AO970" t="s">
        <v>74</v>
      </c>
      <c r="AP970" t="s">
        <v>2230</v>
      </c>
      <c r="AQ970" t="s">
        <v>74</v>
      </c>
      <c r="AR970" t="s">
        <v>2231</v>
      </c>
      <c r="AS970" t="s">
        <v>2232</v>
      </c>
      <c r="AT970" t="s">
        <v>894</v>
      </c>
      <c r="AU970">
        <v>2020</v>
      </c>
      <c r="AV970">
        <v>18</v>
      </c>
      <c r="AW970">
        <v>8</v>
      </c>
      <c r="AX970" t="s">
        <v>74</v>
      </c>
      <c r="AY970" t="s">
        <v>74</v>
      </c>
      <c r="AZ970" t="s">
        <v>74</v>
      </c>
      <c r="BA970" t="s">
        <v>74</v>
      </c>
      <c r="BB970" t="s">
        <v>74</v>
      </c>
      <c r="BC970" t="s">
        <v>74</v>
      </c>
      <c r="BD970">
        <v>401</v>
      </c>
      <c r="BE970" t="s">
        <v>18928</v>
      </c>
      <c r="BF970" t="str">
        <f>HYPERLINK("http://dx.doi.org/10.3390/md18080401","http://dx.doi.org/10.3390/md18080401")</f>
        <v>http://dx.doi.org/10.3390/md18080401</v>
      </c>
      <c r="BG970" t="s">
        <v>74</v>
      </c>
      <c r="BH970" t="s">
        <v>74</v>
      </c>
      <c r="BI970">
        <v>45</v>
      </c>
      <c r="BJ970" t="s">
        <v>2234</v>
      </c>
      <c r="BK970" t="s">
        <v>100</v>
      </c>
      <c r="BL970" t="s">
        <v>2235</v>
      </c>
      <c r="BM970" t="s">
        <v>18929</v>
      </c>
      <c r="BN970">
        <v>32751369</v>
      </c>
      <c r="BO970" t="s">
        <v>332</v>
      </c>
      <c r="BP970" t="s">
        <v>74</v>
      </c>
      <c r="BQ970" t="s">
        <v>74</v>
      </c>
      <c r="BR970" t="s">
        <v>104</v>
      </c>
      <c r="BS970" t="s">
        <v>18930</v>
      </c>
      <c r="BT970" t="str">
        <f>HYPERLINK("https%3A%2F%2Fwww.webofscience.com%2Fwos%2Fwoscc%2Ffull-record%2FWOS:000564109900001","View Full Record in Web of Science")</f>
        <v>View Full Record in Web of Science</v>
      </c>
    </row>
    <row r="971" spans="1:72" x14ac:dyDescent="0.15">
      <c r="A971" t="s">
        <v>72</v>
      </c>
      <c r="B971" t="s">
        <v>18931</v>
      </c>
      <c r="C971" t="s">
        <v>74</v>
      </c>
      <c r="D971" t="s">
        <v>74</v>
      </c>
      <c r="E971" t="s">
        <v>74</v>
      </c>
      <c r="F971" t="s">
        <v>18932</v>
      </c>
      <c r="G971" t="s">
        <v>74</v>
      </c>
      <c r="H971" t="s">
        <v>74</v>
      </c>
      <c r="I971" t="s">
        <v>18933</v>
      </c>
      <c r="J971" t="s">
        <v>18934</v>
      </c>
      <c r="K971" t="s">
        <v>74</v>
      </c>
      <c r="L971" t="s">
        <v>74</v>
      </c>
      <c r="M971" t="s">
        <v>78</v>
      </c>
      <c r="N971" t="s">
        <v>79</v>
      </c>
      <c r="O971" t="s">
        <v>74</v>
      </c>
      <c r="P971" t="s">
        <v>74</v>
      </c>
      <c r="Q971" t="s">
        <v>74</v>
      </c>
      <c r="R971" t="s">
        <v>74</v>
      </c>
      <c r="S971" t="s">
        <v>74</v>
      </c>
      <c r="T971" t="s">
        <v>18935</v>
      </c>
      <c r="U971" t="s">
        <v>18936</v>
      </c>
      <c r="V971" t="s">
        <v>18937</v>
      </c>
      <c r="W971" t="s">
        <v>18938</v>
      </c>
      <c r="X971" t="s">
        <v>18939</v>
      </c>
      <c r="Y971" t="s">
        <v>18940</v>
      </c>
      <c r="Z971" t="s">
        <v>3717</v>
      </c>
      <c r="AA971" t="s">
        <v>18941</v>
      </c>
      <c r="AB971" t="s">
        <v>18942</v>
      </c>
      <c r="AC971" t="s">
        <v>18943</v>
      </c>
      <c r="AD971" t="s">
        <v>18944</v>
      </c>
      <c r="AE971" t="s">
        <v>18945</v>
      </c>
      <c r="AF971" t="s">
        <v>74</v>
      </c>
      <c r="AG971">
        <v>44</v>
      </c>
      <c r="AH971">
        <v>2</v>
      </c>
      <c r="AI971">
        <v>3</v>
      </c>
      <c r="AJ971">
        <v>3</v>
      </c>
      <c r="AK971">
        <v>14</v>
      </c>
      <c r="AL971" t="s">
        <v>18946</v>
      </c>
      <c r="AM971" t="s">
        <v>1638</v>
      </c>
      <c r="AN971" t="s">
        <v>18947</v>
      </c>
      <c r="AO971" t="s">
        <v>18948</v>
      </c>
      <c r="AP971" t="s">
        <v>18949</v>
      </c>
      <c r="AQ971" t="s">
        <v>74</v>
      </c>
      <c r="AR971" t="s">
        <v>18950</v>
      </c>
      <c r="AS971" t="s">
        <v>18951</v>
      </c>
      <c r="AT971" t="s">
        <v>894</v>
      </c>
      <c r="AU971">
        <v>2020</v>
      </c>
      <c r="AV971">
        <v>20</v>
      </c>
      <c r="AW971">
        <v>8</v>
      </c>
      <c r="AX971" t="s">
        <v>74</v>
      </c>
      <c r="AY971" t="s">
        <v>74</v>
      </c>
      <c r="AZ971" t="s">
        <v>74</v>
      </c>
      <c r="BA971" t="s">
        <v>74</v>
      </c>
      <c r="BB971" t="s">
        <v>74</v>
      </c>
      <c r="BC971" t="s">
        <v>74</v>
      </c>
      <c r="BD971">
        <v>127</v>
      </c>
      <c r="BE971" t="s">
        <v>18952</v>
      </c>
      <c r="BF971" t="str">
        <f>HYPERLINK("http://dx.doi.org/10.1088/1674-4527/20/8/127","http://dx.doi.org/10.1088/1674-4527/20/8/127")</f>
        <v>http://dx.doi.org/10.1088/1674-4527/20/8/127</v>
      </c>
      <c r="BG971" t="s">
        <v>74</v>
      </c>
      <c r="BH971" t="s">
        <v>74</v>
      </c>
      <c r="BI971">
        <v>15</v>
      </c>
      <c r="BJ971" t="s">
        <v>1849</v>
      </c>
      <c r="BK971" t="s">
        <v>100</v>
      </c>
      <c r="BL971" t="s">
        <v>1849</v>
      </c>
      <c r="BM971" t="s">
        <v>18953</v>
      </c>
      <c r="BN971" t="s">
        <v>74</v>
      </c>
      <c r="BO971" t="s">
        <v>74</v>
      </c>
      <c r="BP971" t="s">
        <v>74</v>
      </c>
      <c r="BQ971" t="s">
        <v>74</v>
      </c>
      <c r="BR971" t="s">
        <v>104</v>
      </c>
      <c r="BS971" t="s">
        <v>18954</v>
      </c>
      <c r="BT971" t="str">
        <f>HYPERLINK("https%3A%2F%2Fwww.webofscience.com%2Fwos%2Fwoscc%2Ffull-record%2FWOS:000563435200001","View Full Record in Web of Science")</f>
        <v>View Full Record in Web of Science</v>
      </c>
    </row>
    <row r="972" spans="1:72" x14ac:dyDescent="0.15">
      <c r="A972" t="s">
        <v>72</v>
      </c>
      <c r="B972" t="s">
        <v>18955</v>
      </c>
      <c r="C972" t="s">
        <v>74</v>
      </c>
      <c r="D972" t="s">
        <v>74</v>
      </c>
      <c r="E972" t="s">
        <v>74</v>
      </c>
      <c r="F972" t="s">
        <v>18956</v>
      </c>
      <c r="G972" t="s">
        <v>74</v>
      </c>
      <c r="H972" t="s">
        <v>74</v>
      </c>
      <c r="I972" t="s">
        <v>18957</v>
      </c>
      <c r="J972" t="s">
        <v>6569</v>
      </c>
      <c r="K972" t="s">
        <v>74</v>
      </c>
      <c r="L972" t="s">
        <v>74</v>
      </c>
      <c r="M972" t="s">
        <v>78</v>
      </c>
      <c r="N972" t="s">
        <v>79</v>
      </c>
      <c r="O972" t="s">
        <v>74</v>
      </c>
      <c r="P972" t="s">
        <v>74</v>
      </c>
      <c r="Q972" t="s">
        <v>74</v>
      </c>
      <c r="R972" t="s">
        <v>74</v>
      </c>
      <c r="S972" t="s">
        <v>74</v>
      </c>
      <c r="T972" t="s">
        <v>18958</v>
      </c>
      <c r="U972" t="s">
        <v>18959</v>
      </c>
      <c r="V972" t="s">
        <v>18960</v>
      </c>
      <c r="W972" t="s">
        <v>18961</v>
      </c>
      <c r="X972" t="s">
        <v>18962</v>
      </c>
      <c r="Y972" t="s">
        <v>18963</v>
      </c>
      <c r="Z972" t="s">
        <v>18964</v>
      </c>
      <c r="AA972" t="s">
        <v>18965</v>
      </c>
      <c r="AB972" t="s">
        <v>18966</v>
      </c>
      <c r="AC972" t="s">
        <v>18967</v>
      </c>
      <c r="AD972" t="s">
        <v>18968</v>
      </c>
      <c r="AE972" t="s">
        <v>18969</v>
      </c>
      <c r="AF972" t="s">
        <v>74</v>
      </c>
      <c r="AG972">
        <v>38</v>
      </c>
      <c r="AH972">
        <v>5</v>
      </c>
      <c r="AI972">
        <v>5</v>
      </c>
      <c r="AJ972">
        <v>1</v>
      </c>
      <c r="AK972">
        <v>5</v>
      </c>
      <c r="AL972" t="s">
        <v>3145</v>
      </c>
      <c r="AM972" t="s">
        <v>4452</v>
      </c>
      <c r="AN972" t="s">
        <v>6582</v>
      </c>
      <c r="AO972" t="s">
        <v>6583</v>
      </c>
      <c r="AP972" t="s">
        <v>6584</v>
      </c>
      <c r="AQ972" t="s">
        <v>74</v>
      </c>
      <c r="AR972" t="s">
        <v>6585</v>
      </c>
      <c r="AS972" t="s">
        <v>6586</v>
      </c>
      <c r="AT972" t="s">
        <v>894</v>
      </c>
      <c r="AU972">
        <v>2020</v>
      </c>
      <c r="AV972">
        <v>66</v>
      </c>
      <c r="AW972">
        <v>258</v>
      </c>
      <c r="AX972" t="s">
        <v>74</v>
      </c>
      <c r="AY972" t="s">
        <v>74</v>
      </c>
      <c r="AZ972" t="s">
        <v>74</v>
      </c>
      <c r="BA972" t="s">
        <v>74</v>
      </c>
      <c r="BB972">
        <v>523</v>
      </c>
      <c r="BC972">
        <v>529</v>
      </c>
      <c r="BD972" t="s">
        <v>74</v>
      </c>
      <c r="BE972" t="s">
        <v>18970</v>
      </c>
      <c r="BF972" t="str">
        <f>HYPERLINK("http://dx.doi.org/10.1017/jog.2020.18","http://dx.doi.org/10.1017/jog.2020.18")</f>
        <v>http://dx.doi.org/10.1017/jog.2020.18</v>
      </c>
      <c r="BG972" t="s">
        <v>74</v>
      </c>
      <c r="BH972" t="s">
        <v>74</v>
      </c>
      <c r="BI972">
        <v>7</v>
      </c>
      <c r="BJ972" t="s">
        <v>99</v>
      </c>
      <c r="BK972" t="s">
        <v>100</v>
      </c>
      <c r="BL972" t="s">
        <v>101</v>
      </c>
      <c r="BM972" t="s">
        <v>18971</v>
      </c>
      <c r="BN972" t="s">
        <v>74</v>
      </c>
      <c r="BO972" t="s">
        <v>332</v>
      </c>
      <c r="BP972" t="s">
        <v>74</v>
      </c>
      <c r="BQ972" t="s">
        <v>74</v>
      </c>
      <c r="BR972" t="s">
        <v>104</v>
      </c>
      <c r="BS972" t="s">
        <v>18972</v>
      </c>
      <c r="BT972" t="str">
        <f>HYPERLINK("https%3A%2F%2Fwww.webofscience.com%2Fwos%2Fwoscc%2Ffull-record%2FWOS:000562453600001","View Full Record in Web of Science")</f>
        <v>View Full Record in Web of Science</v>
      </c>
    </row>
    <row r="973" spans="1:72" x14ac:dyDescent="0.15">
      <c r="A973" t="s">
        <v>72</v>
      </c>
      <c r="B973" t="s">
        <v>18973</v>
      </c>
      <c r="C973" t="s">
        <v>74</v>
      </c>
      <c r="D973" t="s">
        <v>74</v>
      </c>
      <c r="E973" t="s">
        <v>74</v>
      </c>
      <c r="F973" t="s">
        <v>18974</v>
      </c>
      <c r="G973" t="s">
        <v>74</v>
      </c>
      <c r="H973" t="s">
        <v>74</v>
      </c>
      <c r="I973" t="s">
        <v>18975</v>
      </c>
      <c r="J973" t="s">
        <v>6569</v>
      </c>
      <c r="K973" t="s">
        <v>74</v>
      </c>
      <c r="L973" t="s">
        <v>74</v>
      </c>
      <c r="M973" t="s">
        <v>78</v>
      </c>
      <c r="N973" t="s">
        <v>79</v>
      </c>
      <c r="O973" t="s">
        <v>74</v>
      </c>
      <c r="P973" t="s">
        <v>74</v>
      </c>
      <c r="Q973" t="s">
        <v>74</v>
      </c>
      <c r="R973" t="s">
        <v>74</v>
      </c>
      <c r="S973" t="s">
        <v>74</v>
      </c>
      <c r="T973" t="s">
        <v>18976</v>
      </c>
      <c r="U973" t="s">
        <v>18977</v>
      </c>
      <c r="V973" t="s">
        <v>18978</v>
      </c>
      <c r="W973" t="s">
        <v>18979</v>
      </c>
      <c r="X973" t="s">
        <v>18980</v>
      </c>
      <c r="Y973" t="s">
        <v>18981</v>
      </c>
      <c r="Z973" t="s">
        <v>18982</v>
      </c>
      <c r="AA973" t="s">
        <v>74</v>
      </c>
      <c r="AB973" t="s">
        <v>18983</v>
      </c>
      <c r="AC973" t="s">
        <v>18984</v>
      </c>
      <c r="AD973" t="s">
        <v>18985</v>
      </c>
      <c r="AE973" t="s">
        <v>18986</v>
      </c>
      <c r="AF973" t="s">
        <v>74</v>
      </c>
      <c r="AG973">
        <v>57</v>
      </c>
      <c r="AH973">
        <v>10</v>
      </c>
      <c r="AI973">
        <v>11</v>
      </c>
      <c r="AJ973">
        <v>0</v>
      </c>
      <c r="AK973">
        <v>3</v>
      </c>
      <c r="AL973" t="s">
        <v>3145</v>
      </c>
      <c r="AM973" t="s">
        <v>4452</v>
      </c>
      <c r="AN973" t="s">
        <v>6582</v>
      </c>
      <c r="AO973" t="s">
        <v>6583</v>
      </c>
      <c r="AP973" t="s">
        <v>6584</v>
      </c>
      <c r="AQ973" t="s">
        <v>74</v>
      </c>
      <c r="AR973" t="s">
        <v>6585</v>
      </c>
      <c r="AS973" t="s">
        <v>6586</v>
      </c>
      <c r="AT973" t="s">
        <v>894</v>
      </c>
      <c r="AU973">
        <v>2020</v>
      </c>
      <c r="AV973">
        <v>66</v>
      </c>
      <c r="AW973">
        <v>258</v>
      </c>
      <c r="AX973" t="s">
        <v>74</v>
      </c>
      <c r="AY973" t="s">
        <v>74</v>
      </c>
      <c r="AZ973" t="s">
        <v>74</v>
      </c>
      <c r="BA973" t="s">
        <v>74</v>
      </c>
      <c r="BB973">
        <v>643</v>
      </c>
      <c r="BC973">
        <v>657</v>
      </c>
      <c r="BD973" t="s">
        <v>18987</v>
      </c>
      <c r="BE973" t="s">
        <v>18988</v>
      </c>
      <c r="BF973" t="str">
        <f>HYPERLINK("http://dx.doi.org/10.1017/jog.2020.35","http://dx.doi.org/10.1017/jog.2020.35")</f>
        <v>http://dx.doi.org/10.1017/jog.2020.35</v>
      </c>
      <c r="BG973" t="s">
        <v>74</v>
      </c>
      <c r="BH973" t="s">
        <v>74</v>
      </c>
      <c r="BI973">
        <v>15</v>
      </c>
      <c r="BJ973" t="s">
        <v>99</v>
      </c>
      <c r="BK973" t="s">
        <v>100</v>
      </c>
      <c r="BL973" t="s">
        <v>101</v>
      </c>
      <c r="BM973" t="s">
        <v>18971</v>
      </c>
      <c r="BN973" t="s">
        <v>74</v>
      </c>
      <c r="BO973" t="s">
        <v>202</v>
      </c>
      <c r="BP973" t="s">
        <v>74</v>
      </c>
      <c r="BQ973" t="s">
        <v>74</v>
      </c>
      <c r="BR973" t="s">
        <v>104</v>
      </c>
      <c r="BS973" t="s">
        <v>18989</v>
      </c>
      <c r="BT973" t="str">
        <f>HYPERLINK("https%3A%2F%2Fwww.webofscience.com%2Fwos%2Fwoscc%2Ffull-record%2FWOS:000562453600011","View Full Record in Web of Science")</f>
        <v>View Full Record in Web of Science</v>
      </c>
    </row>
    <row r="974" spans="1:72" x14ac:dyDescent="0.15">
      <c r="A974" t="s">
        <v>72</v>
      </c>
      <c r="B974" t="s">
        <v>18990</v>
      </c>
      <c r="C974" t="s">
        <v>74</v>
      </c>
      <c r="D974" t="s">
        <v>74</v>
      </c>
      <c r="E974" t="s">
        <v>74</v>
      </c>
      <c r="F974" t="s">
        <v>18991</v>
      </c>
      <c r="G974" t="s">
        <v>74</v>
      </c>
      <c r="H974" t="s">
        <v>74</v>
      </c>
      <c r="I974" t="s">
        <v>18992</v>
      </c>
      <c r="J974" t="s">
        <v>18993</v>
      </c>
      <c r="K974" t="s">
        <v>74</v>
      </c>
      <c r="L974" t="s">
        <v>74</v>
      </c>
      <c r="M974" t="s">
        <v>78</v>
      </c>
      <c r="N974" t="s">
        <v>79</v>
      </c>
      <c r="O974" t="s">
        <v>74</v>
      </c>
      <c r="P974" t="s">
        <v>74</v>
      </c>
      <c r="Q974" t="s">
        <v>74</v>
      </c>
      <c r="R974" t="s">
        <v>74</v>
      </c>
      <c r="S974" t="s">
        <v>74</v>
      </c>
      <c r="T974" t="s">
        <v>18994</v>
      </c>
      <c r="U974" t="s">
        <v>74</v>
      </c>
      <c r="V974" t="s">
        <v>18995</v>
      </c>
      <c r="W974" t="s">
        <v>18996</v>
      </c>
      <c r="X974" t="s">
        <v>18997</v>
      </c>
      <c r="Y974" t="s">
        <v>18998</v>
      </c>
      <c r="Z974" t="s">
        <v>18999</v>
      </c>
      <c r="AA974" t="s">
        <v>74</v>
      </c>
      <c r="AB974" t="s">
        <v>74</v>
      </c>
      <c r="AC974" t="s">
        <v>74</v>
      </c>
      <c r="AD974" t="s">
        <v>74</v>
      </c>
      <c r="AE974" t="s">
        <v>74</v>
      </c>
      <c r="AF974" t="s">
        <v>74</v>
      </c>
      <c r="AG974">
        <v>28</v>
      </c>
      <c r="AH974">
        <v>7</v>
      </c>
      <c r="AI974">
        <v>7</v>
      </c>
      <c r="AJ974">
        <v>2</v>
      </c>
      <c r="AK974">
        <v>25</v>
      </c>
      <c r="AL974" t="s">
        <v>19000</v>
      </c>
      <c r="AM974" t="s">
        <v>7370</v>
      </c>
      <c r="AN974" t="s">
        <v>19001</v>
      </c>
      <c r="AO974" t="s">
        <v>19002</v>
      </c>
      <c r="AP974" t="s">
        <v>19003</v>
      </c>
      <c r="AQ974" t="s">
        <v>74</v>
      </c>
      <c r="AR974" t="s">
        <v>19004</v>
      </c>
      <c r="AS974" t="s">
        <v>19005</v>
      </c>
      <c r="AT974" t="s">
        <v>894</v>
      </c>
      <c r="AU974">
        <v>2020</v>
      </c>
      <c r="AV974">
        <v>35</v>
      </c>
      <c r="AW974">
        <v>3</v>
      </c>
      <c r="AX974" t="s">
        <v>74</v>
      </c>
      <c r="AY974" t="s">
        <v>74</v>
      </c>
      <c r="AZ974" t="s">
        <v>489</v>
      </c>
      <c r="BA974" t="s">
        <v>74</v>
      </c>
      <c r="BB974">
        <v>533</v>
      </c>
      <c r="BC974">
        <v>569</v>
      </c>
      <c r="BD974" t="s">
        <v>74</v>
      </c>
      <c r="BE974" t="s">
        <v>19006</v>
      </c>
      <c r="BF974" t="str">
        <f>HYPERLINK("http://dx.doi.org/10.1163/15718085-BJA10033","http://dx.doi.org/10.1163/15718085-BJA10033")</f>
        <v>http://dx.doi.org/10.1163/15718085-BJA10033</v>
      </c>
      <c r="BG974" t="s">
        <v>74</v>
      </c>
      <c r="BH974" t="s">
        <v>74</v>
      </c>
      <c r="BI974">
        <v>37</v>
      </c>
      <c r="BJ974" t="s">
        <v>19007</v>
      </c>
      <c r="BK974" t="s">
        <v>1580</v>
      </c>
      <c r="BL974" t="s">
        <v>19008</v>
      </c>
      <c r="BM974" t="s">
        <v>19009</v>
      </c>
      <c r="BN974" t="s">
        <v>74</v>
      </c>
      <c r="BO974" t="s">
        <v>74</v>
      </c>
      <c r="BP974" t="s">
        <v>74</v>
      </c>
      <c r="BQ974" t="s">
        <v>74</v>
      </c>
      <c r="BR974" t="s">
        <v>104</v>
      </c>
      <c r="BS974" t="s">
        <v>19010</v>
      </c>
      <c r="BT974" t="str">
        <f>HYPERLINK("https%3A%2F%2Fwww.webofscience.com%2Fwos%2Fwoscc%2Ffull-record%2FWOS:000561277100005","View Full Record in Web of Science")</f>
        <v>View Full Record in Web of Science</v>
      </c>
    </row>
    <row r="975" spans="1:72" x14ac:dyDescent="0.15">
      <c r="A975" t="s">
        <v>72</v>
      </c>
      <c r="B975" t="s">
        <v>19011</v>
      </c>
      <c r="C975" t="s">
        <v>74</v>
      </c>
      <c r="D975" t="s">
        <v>74</v>
      </c>
      <c r="E975" t="s">
        <v>74</v>
      </c>
      <c r="F975" t="s">
        <v>19012</v>
      </c>
      <c r="G975" t="s">
        <v>74</v>
      </c>
      <c r="H975" t="s">
        <v>74</v>
      </c>
      <c r="I975" t="s">
        <v>19013</v>
      </c>
      <c r="J975" t="s">
        <v>19014</v>
      </c>
      <c r="K975" t="s">
        <v>74</v>
      </c>
      <c r="L975" t="s">
        <v>74</v>
      </c>
      <c r="M975" t="s">
        <v>78</v>
      </c>
      <c r="N975" t="s">
        <v>79</v>
      </c>
      <c r="O975" t="s">
        <v>74</v>
      </c>
      <c r="P975" t="s">
        <v>74</v>
      </c>
      <c r="Q975" t="s">
        <v>74</v>
      </c>
      <c r="R975" t="s">
        <v>74</v>
      </c>
      <c r="S975" t="s">
        <v>74</v>
      </c>
      <c r="T975" t="s">
        <v>74</v>
      </c>
      <c r="U975" t="s">
        <v>19015</v>
      </c>
      <c r="V975" t="s">
        <v>19016</v>
      </c>
      <c r="W975" t="s">
        <v>19017</v>
      </c>
      <c r="X975" t="s">
        <v>19018</v>
      </c>
      <c r="Y975" t="s">
        <v>19019</v>
      </c>
      <c r="Z975" t="s">
        <v>19020</v>
      </c>
      <c r="AA975" t="s">
        <v>19021</v>
      </c>
      <c r="AB975" t="s">
        <v>19022</v>
      </c>
      <c r="AC975" t="s">
        <v>19023</v>
      </c>
      <c r="AD975" t="s">
        <v>10628</v>
      </c>
      <c r="AE975" t="s">
        <v>19024</v>
      </c>
      <c r="AF975" t="s">
        <v>74</v>
      </c>
      <c r="AG975">
        <v>96</v>
      </c>
      <c r="AH975">
        <v>0</v>
      </c>
      <c r="AI975">
        <v>0</v>
      </c>
      <c r="AJ975">
        <v>1</v>
      </c>
      <c r="AK975">
        <v>9</v>
      </c>
      <c r="AL975" t="s">
        <v>19025</v>
      </c>
      <c r="AM975" t="s">
        <v>19026</v>
      </c>
      <c r="AN975" t="s">
        <v>19027</v>
      </c>
      <c r="AO975" t="s">
        <v>19028</v>
      </c>
      <c r="AP975" t="s">
        <v>19029</v>
      </c>
      <c r="AQ975" t="s">
        <v>74</v>
      </c>
      <c r="AR975" t="s">
        <v>19030</v>
      </c>
      <c r="AS975" t="s">
        <v>19031</v>
      </c>
      <c r="AT975" t="s">
        <v>17492</v>
      </c>
      <c r="AU975">
        <v>2020</v>
      </c>
      <c r="AV975">
        <v>239</v>
      </c>
      <c r="AW975">
        <v>1</v>
      </c>
      <c r="AX975" t="s">
        <v>74</v>
      </c>
      <c r="AY975" t="s">
        <v>74</v>
      </c>
      <c r="AZ975" t="s">
        <v>74</v>
      </c>
      <c r="BA975" t="s">
        <v>74</v>
      </c>
      <c r="BB975">
        <v>51</v>
      </c>
      <c r="BC975">
        <v>61</v>
      </c>
      <c r="BD975" t="s">
        <v>74</v>
      </c>
      <c r="BE975" t="s">
        <v>19032</v>
      </c>
      <c r="BF975" t="str">
        <f>HYPERLINK("http://dx.doi.org/10.1086/709831","http://dx.doi.org/10.1086/709831")</f>
        <v>http://dx.doi.org/10.1086/709831</v>
      </c>
      <c r="BG975" t="s">
        <v>74</v>
      </c>
      <c r="BH975" t="s">
        <v>74</v>
      </c>
      <c r="BI975">
        <v>11</v>
      </c>
      <c r="BJ975" t="s">
        <v>19033</v>
      </c>
      <c r="BK975" t="s">
        <v>100</v>
      </c>
      <c r="BL975" t="s">
        <v>19034</v>
      </c>
      <c r="BM975" t="s">
        <v>19035</v>
      </c>
      <c r="BN975">
        <v>32812815</v>
      </c>
      <c r="BO975" t="s">
        <v>74</v>
      </c>
      <c r="BP975" t="s">
        <v>74</v>
      </c>
      <c r="BQ975" t="s">
        <v>74</v>
      </c>
      <c r="BR975" t="s">
        <v>104</v>
      </c>
      <c r="BS975" t="s">
        <v>19036</v>
      </c>
      <c r="BT975" t="str">
        <f>HYPERLINK("https%3A%2F%2Fwww.webofscience.com%2Fwos%2Fwoscc%2Ffull-record%2FWOS:000560929900005","View Full Record in Web of Science")</f>
        <v>View Full Record in Web of Science</v>
      </c>
    </row>
    <row r="976" spans="1:72" x14ac:dyDescent="0.15">
      <c r="A976" t="s">
        <v>72</v>
      </c>
      <c r="B976" t="s">
        <v>19037</v>
      </c>
      <c r="C976" t="s">
        <v>74</v>
      </c>
      <c r="D976" t="s">
        <v>74</v>
      </c>
      <c r="E976" t="s">
        <v>74</v>
      </c>
      <c r="F976" t="s">
        <v>19038</v>
      </c>
      <c r="G976" t="s">
        <v>74</v>
      </c>
      <c r="H976" t="s">
        <v>74</v>
      </c>
      <c r="I976" t="s">
        <v>19039</v>
      </c>
      <c r="J976" t="s">
        <v>19040</v>
      </c>
      <c r="K976" t="s">
        <v>74</v>
      </c>
      <c r="L976" t="s">
        <v>74</v>
      </c>
      <c r="M976" t="s">
        <v>78</v>
      </c>
      <c r="N976" t="s">
        <v>79</v>
      </c>
      <c r="O976" t="s">
        <v>74</v>
      </c>
      <c r="P976" t="s">
        <v>74</v>
      </c>
      <c r="Q976" t="s">
        <v>74</v>
      </c>
      <c r="R976" t="s">
        <v>74</v>
      </c>
      <c r="S976" t="s">
        <v>74</v>
      </c>
      <c r="T976" t="s">
        <v>74</v>
      </c>
      <c r="U976" t="s">
        <v>19041</v>
      </c>
      <c r="V976" t="s">
        <v>19042</v>
      </c>
      <c r="W976" t="s">
        <v>19043</v>
      </c>
      <c r="X976" t="s">
        <v>19044</v>
      </c>
      <c r="Y976" t="s">
        <v>19045</v>
      </c>
      <c r="Z976" t="s">
        <v>19046</v>
      </c>
      <c r="AA976" t="s">
        <v>19047</v>
      </c>
      <c r="AB976" t="s">
        <v>19048</v>
      </c>
      <c r="AC976" t="s">
        <v>19049</v>
      </c>
      <c r="AD976" t="s">
        <v>5118</v>
      </c>
      <c r="AE976" t="s">
        <v>19050</v>
      </c>
      <c r="AF976" t="s">
        <v>74</v>
      </c>
      <c r="AG976">
        <v>34</v>
      </c>
      <c r="AH976">
        <v>15</v>
      </c>
      <c r="AI976">
        <v>17</v>
      </c>
      <c r="AJ976">
        <v>7</v>
      </c>
      <c r="AK976">
        <v>29</v>
      </c>
      <c r="AL976" t="s">
        <v>8016</v>
      </c>
      <c r="AM976" t="s">
        <v>4452</v>
      </c>
      <c r="AN976" t="s">
        <v>8017</v>
      </c>
      <c r="AO976" t="s">
        <v>19051</v>
      </c>
      <c r="AP976" t="s">
        <v>19052</v>
      </c>
      <c r="AQ976" t="s">
        <v>74</v>
      </c>
      <c r="AR976" t="s">
        <v>19053</v>
      </c>
      <c r="AS976" t="s">
        <v>19054</v>
      </c>
      <c r="AT976" t="s">
        <v>17492</v>
      </c>
      <c r="AU976">
        <v>2020</v>
      </c>
      <c r="AV976">
        <v>11</v>
      </c>
      <c r="AW976">
        <v>8</v>
      </c>
      <c r="AX976" t="s">
        <v>74</v>
      </c>
      <c r="AY976" t="s">
        <v>74</v>
      </c>
      <c r="AZ976" t="s">
        <v>74</v>
      </c>
      <c r="BA976" t="s">
        <v>74</v>
      </c>
      <c r="BB976">
        <v>7048</v>
      </c>
      <c r="BC976">
        <v>7060</v>
      </c>
      <c r="BD976" t="s">
        <v>74</v>
      </c>
      <c r="BE976" t="s">
        <v>19055</v>
      </c>
      <c r="BF976" t="str">
        <f>HYPERLINK("http://dx.doi.org/10.1039/d0fo00884b","http://dx.doi.org/10.1039/d0fo00884b")</f>
        <v>http://dx.doi.org/10.1039/d0fo00884b</v>
      </c>
      <c r="BG976" t="s">
        <v>74</v>
      </c>
      <c r="BH976" t="s">
        <v>74</v>
      </c>
      <c r="BI976">
        <v>13</v>
      </c>
      <c r="BJ976" t="s">
        <v>19056</v>
      </c>
      <c r="BK976" t="s">
        <v>100</v>
      </c>
      <c r="BL976" t="s">
        <v>19056</v>
      </c>
      <c r="BM976" t="s">
        <v>19057</v>
      </c>
      <c r="BN976">
        <v>32813003</v>
      </c>
      <c r="BO976" t="s">
        <v>74</v>
      </c>
      <c r="BP976" t="s">
        <v>74</v>
      </c>
      <c r="BQ976" t="s">
        <v>74</v>
      </c>
      <c r="BR976" t="s">
        <v>104</v>
      </c>
      <c r="BS976" t="s">
        <v>19058</v>
      </c>
      <c r="BT976" t="str">
        <f>HYPERLINK("https%3A%2F%2Fwww.webofscience.com%2Fwos%2Fwoscc%2Ffull-record%2FWOS:000560678100022","View Full Record in Web of Science")</f>
        <v>View Full Record in Web of Science</v>
      </c>
    </row>
    <row r="977" spans="1:72" x14ac:dyDescent="0.15">
      <c r="A977" t="s">
        <v>72</v>
      </c>
      <c r="B977" t="s">
        <v>19059</v>
      </c>
      <c r="C977" t="s">
        <v>74</v>
      </c>
      <c r="D977" t="s">
        <v>74</v>
      </c>
      <c r="E977" t="s">
        <v>74</v>
      </c>
      <c r="F977" t="s">
        <v>19060</v>
      </c>
      <c r="G977" t="s">
        <v>74</v>
      </c>
      <c r="H977" t="s">
        <v>74</v>
      </c>
      <c r="I977" t="s">
        <v>19061</v>
      </c>
      <c r="J977" t="s">
        <v>19062</v>
      </c>
      <c r="K977" t="s">
        <v>74</v>
      </c>
      <c r="L977" t="s">
        <v>74</v>
      </c>
      <c r="M977" t="s">
        <v>78</v>
      </c>
      <c r="N977" t="s">
        <v>79</v>
      </c>
      <c r="O977" t="s">
        <v>74</v>
      </c>
      <c r="P977" t="s">
        <v>74</v>
      </c>
      <c r="Q977" t="s">
        <v>74</v>
      </c>
      <c r="R977" t="s">
        <v>74</v>
      </c>
      <c r="S977" t="s">
        <v>74</v>
      </c>
      <c r="T977" t="s">
        <v>19063</v>
      </c>
      <c r="U977" t="s">
        <v>19064</v>
      </c>
      <c r="V977" t="s">
        <v>19065</v>
      </c>
      <c r="W977" t="s">
        <v>19066</v>
      </c>
      <c r="X977" t="s">
        <v>19067</v>
      </c>
      <c r="Y977" t="s">
        <v>19068</v>
      </c>
      <c r="Z977" t="s">
        <v>19069</v>
      </c>
      <c r="AA977" t="s">
        <v>19070</v>
      </c>
      <c r="AB977" t="s">
        <v>19071</v>
      </c>
      <c r="AC977" t="s">
        <v>19072</v>
      </c>
      <c r="AD977" t="s">
        <v>19073</v>
      </c>
      <c r="AE977" t="s">
        <v>19074</v>
      </c>
      <c r="AF977" t="s">
        <v>74</v>
      </c>
      <c r="AG977">
        <v>81</v>
      </c>
      <c r="AH977">
        <v>8</v>
      </c>
      <c r="AI977">
        <v>11</v>
      </c>
      <c r="AJ977">
        <v>0</v>
      </c>
      <c r="AK977">
        <v>3</v>
      </c>
      <c r="AL977" t="s">
        <v>17538</v>
      </c>
      <c r="AM977" t="s">
        <v>17539</v>
      </c>
      <c r="AN977" t="s">
        <v>17540</v>
      </c>
      <c r="AO977" t="s">
        <v>19075</v>
      </c>
      <c r="AP977" t="s">
        <v>74</v>
      </c>
      <c r="AQ977" t="s">
        <v>74</v>
      </c>
      <c r="AR977" t="s">
        <v>19076</v>
      </c>
      <c r="AS977" t="s">
        <v>19077</v>
      </c>
      <c r="AT977" t="s">
        <v>894</v>
      </c>
      <c r="AU977">
        <v>2020</v>
      </c>
      <c r="AV977">
        <v>10</v>
      </c>
      <c r="AW977">
        <v>8</v>
      </c>
      <c r="AX977" t="s">
        <v>74</v>
      </c>
      <c r="AY977" t="s">
        <v>74</v>
      </c>
      <c r="AZ977" t="s">
        <v>74</v>
      </c>
      <c r="BA977" t="s">
        <v>74</v>
      </c>
      <c r="BB977">
        <v>2787</v>
      </c>
      <c r="BC977">
        <v>2799</v>
      </c>
      <c r="BD977" t="s">
        <v>74</v>
      </c>
      <c r="BE977" t="s">
        <v>19078</v>
      </c>
      <c r="BF977" t="str">
        <f>HYPERLINK("http://dx.doi.org/10.1534/g3.120.401268","http://dx.doi.org/10.1534/g3.120.401268")</f>
        <v>http://dx.doi.org/10.1534/g3.120.401268</v>
      </c>
      <c r="BG977" t="s">
        <v>74</v>
      </c>
      <c r="BH977" t="s">
        <v>74</v>
      </c>
      <c r="BI977">
        <v>13</v>
      </c>
      <c r="BJ977" t="s">
        <v>1387</v>
      </c>
      <c r="BK977" t="s">
        <v>100</v>
      </c>
      <c r="BL977" t="s">
        <v>1387</v>
      </c>
      <c r="BM977" t="s">
        <v>19079</v>
      </c>
      <c r="BN977">
        <v>32540866</v>
      </c>
      <c r="BO977" t="s">
        <v>4681</v>
      </c>
      <c r="BP977" t="s">
        <v>74</v>
      </c>
      <c r="BQ977" t="s">
        <v>74</v>
      </c>
      <c r="BR977" t="s">
        <v>104</v>
      </c>
      <c r="BS977" t="s">
        <v>19080</v>
      </c>
      <c r="BT977" t="str">
        <f>HYPERLINK("https%3A%2F%2Fwww.webofscience.com%2Fwos%2Fwoscc%2Ffull-record%2FWOS:000560448200020","View Full Record in Web of Science")</f>
        <v>View Full Record in Web of Science</v>
      </c>
    </row>
    <row r="978" spans="1:72" x14ac:dyDescent="0.15">
      <c r="A978" t="s">
        <v>72</v>
      </c>
      <c r="B978" t="s">
        <v>19081</v>
      </c>
      <c r="C978" t="s">
        <v>74</v>
      </c>
      <c r="D978" t="s">
        <v>74</v>
      </c>
      <c r="E978" t="s">
        <v>74</v>
      </c>
      <c r="F978" t="s">
        <v>19082</v>
      </c>
      <c r="G978" t="s">
        <v>74</v>
      </c>
      <c r="H978" t="s">
        <v>74</v>
      </c>
      <c r="I978" t="s">
        <v>19083</v>
      </c>
      <c r="J978" t="s">
        <v>3046</v>
      </c>
      <c r="K978" t="s">
        <v>74</v>
      </c>
      <c r="L978" t="s">
        <v>74</v>
      </c>
      <c r="M978" t="s">
        <v>78</v>
      </c>
      <c r="N978" t="s">
        <v>79</v>
      </c>
      <c r="O978" t="s">
        <v>74</v>
      </c>
      <c r="P978" t="s">
        <v>74</v>
      </c>
      <c r="Q978" t="s">
        <v>74</v>
      </c>
      <c r="R978" t="s">
        <v>74</v>
      </c>
      <c r="S978" t="s">
        <v>74</v>
      </c>
      <c r="T978" t="s">
        <v>74</v>
      </c>
      <c r="U978" t="s">
        <v>19084</v>
      </c>
      <c r="V978" t="s">
        <v>19085</v>
      </c>
      <c r="W978" t="s">
        <v>19086</v>
      </c>
      <c r="X978" t="s">
        <v>19087</v>
      </c>
      <c r="Y978" t="s">
        <v>19088</v>
      </c>
      <c r="Z978" t="s">
        <v>19089</v>
      </c>
      <c r="AA978" t="s">
        <v>19090</v>
      </c>
      <c r="AB978" t="s">
        <v>19091</v>
      </c>
      <c r="AC978" t="s">
        <v>19092</v>
      </c>
      <c r="AD978" t="s">
        <v>19093</v>
      </c>
      <c r="AE978" t="s">
        <v>19094</v>
      </c>
      <c r="AF978" t="s">
        <v>74</v>
      </c>
      <c r="AG978">
        <v>40</v>
      </c>
      <c r="AH978">
        <v>23</v>
      </c>
      <c r="AI978">
        <v>24</v>
      </c>
      <c r="AJ978">
        <v>2</v>
      </c>
      <c r="AK978">
        <v>7</v>
      </c>
      <c r="AL978" t="s">
        <v>608</v>
      </c>
      <c r="AM978" t="s">
        <v>609</v>
      </c>
      <c r="AN978" t="s">
        <v>610</v>
      </c>
      <c r="AO978" t="s">
        <v>3058</v>
      </c>
      <c r="AP978" t="s">
        <v>74</v>
      </c>
      <c r="AQ978" t="s">
        <v>74</v>
      </c>
      <c r="AR978" t="s">
        <v>3059</v>
      </c>
      <c r="AS978" t="s">
        <v>3060</v>
      </c>
      <c r="AT978" t="s">
        <v>894</v>
      </c>
      <c r="AU978">
        <v>2020</v>
      </c>
      <c r="AV978">
        <v>6</v>
      </c>
      <c r="AW978">
        <v>32</v>
      </c>
      <c r="AX978" t="s">
        <v>74</v>
      </c>
      <c r="AY978" t="s">
        <v>74</v>
      </c>
      <c r="AZ978" t="s">
        <v>74</v>
      </c>
      <c r="BA978" t="s">
        <v>74</v>
      </c>
      <c r="BB978" t="s">
        <v>74</v>
      </c>
      <c r="BC978" t="s">
        <v>74</v>
      </c>
      <c r="BD978" t="s">
        <v>19095</v>
      </c>
      <c r="BE978" t="s">
        <v>19096</v>
      </c>
      <c r="BF978" t="str">
        <f>HYPERLINK("http://dx.doi.org/10.1126/sciadv.aba7573","http://dx.doi.org/10.1126/sciadv.aba7573")</f>
        <v>http://dx.doi.org/10.1126/sciadv.aba7573</v>
      </c>
      <c r="BG978" t="s">
        <v>74</v>
      </c>
      <c r="BH978" t="s">
        <v>74</v>
      </c>
      <c r="BI978">
        <v>6</v>
      </c>
      <c r="BJ978" t="s">
        <v>329</v>
      </c>
      <c r="BK978" t="s">
        <v>100</v>
      </c>
      <c r="BL978" t="s">
        <v>330</v>
      </c>
      <c r="BM978" t="s">
        <v>19097</v>
      </c>
      <c r="BN978">
        <v>32821826</v>
      </c>
      <c r="BO978" t="s">
        <v>19098</v>
      </c>
      <c r="BP978" t="s">
        <v>74</v>
      </c>
      <c r="BQ978" t="s">
        <v>74</v>
      </c>
      <c r="BR978" t="s">
        <v>104</v>
      </c>
      <c r="BS978" t="s">
        <v>19099</v>
      </c>
      <c r="BT978" t="str">
        <f>HYPERLINK("https%3A%2F%2Fwww.webofscience.com%2Fwos%2Fwoscc%2Ffull-record%2FWOS:000560452300014","View Full Record in Web of Science")</f>
        <v>View Full Record in Web of Science</v>
      </c>
    </row>
    <row r="979" spans="1:72" x14ac:dyDescent="0.15">
      <c r="A979" t="s">
        <v>72</v>
      </c>
      <c r="B979" t="s">
        <v>19100</v>
      </c>
      <c r="C979" t="s">
        <v>74</v>
      </c>
      <c r="D979" t="s">
        <v>74</v>
      </c>
      <c r="E979" t="s">
        <v>74</v>
      </c>
      <c r="F979" t="s">
        <v>19101</v>
      </c>
      <c r="G979" t="s">
        <v>74</v>
      </c>
      <c r="H979" t="s">
        <v>74</v>
      </c>
      <c r="I979" t="s">
        <v>19102</v>
      </c>
      <c r="J979" t="s">
        <v>2801</v>
      </c>
      <c r="K979" t="s">
        <v>74</v>
      </c>
      <c r="L979" t="s">
        <v>74</v>
      </c>
      <c r="M979" t="s">
        <v>78</v>
      </c>
      <c r="N979" t="s">
        <v>79</v>
      </c>
      <c r="O979" t="s">
        <v>74</v>
      </c>
      <c r="P979" t="s">
        <v>74</v>
      </c>
      <c r="Q979" t="s">
        <v>74</v>
      </c>
      <c r="R979" t="s">
        <v>74</v>
      </c>
      <c r="S979" t="s">
        <v>74</v>
      </c>
      <c r="T979" t="s">
        <v>19103</v>
      </c>
      <c r="U979" t="s">
        <v>19104</v>
      </c>
      <c r="V979" t="s">
        <v>19105</v>
      </c>
      <c r="W979" t="s">
        <v>19106</v>
      </c>
      <c r="X979" t="s">
        <v>19107</v>
      </c>
      <c r="Y979" t="s">
        <v>19108</v>
      </c>
      <c r="Z979" t="s">
        <v>19109</v>
      </c>
      <c r="AA979" t="s">
        <v>19110</v>
      </c>
      <c r="AB979" t="s">
        <v>19111</v>
      </c>
      <c r="AC979" t="s">
        <v>19112</v>
      </c>
      <c r="AD979" t="s">
        <v>19113</v>
      </c>
      <c r="AE979" t="s">
        <v>19114</v>
      </c>
      <c r="AF979" t="s">
        <v>74</v>
      </c>
      <c r="AG979">
        <v>112</v>
      </c>
      <c r="AH979">
        <v>8</v>
      </c>
      <c r="AI979">
        <v>8</v>
      </c>
      <c r="AJ979">
        <v>1</v>
      </c>
      <c r="AK979">
        <v>8</v>
      </c>
      <c r="AL979" t="s">
        <v>275</v>
      </c>
      <c r="AM979" t="s">
        <v>276</v>
      </c>
      <c r="AN979" t="s">
        <v>277</v>
      </c>
      <c r="AO979" t="s">
        <v>2814</v>
      </c>
      <c r="AP979" t="s">
        <v>2815</v>
      </c>
      <c r="AQ979" t="s">
        <v>74</v>
      </c>
      <c r="AR979" t="s">
        <v>2816</v>
      </c>
      <c r="AS979" t="s">
        <v>2817</v>
      </c>
      <c r="AT979" t="s">
        <v>894</v>
      </c>
      <c r="AU979">
        <v>2020</v>
      </c>
      <c r="AV979">
        <v>115</v>
      </c>
      <c r="AW979" t="s">
        <v>74</v>
      </c>
      <c r="AX979" t="s">
        <v>74</v>
      </c>
      <c r="AY979" t="s">
        <v>74</v>
      </c>
      <c r="AZ979" t="s">
        <v>74</v>
      </c>
      <c r="BA979" t="s">
        <v>74</v>
      </c>
      <c r="BB979" t="s">
        <v>74</v>
      </c>
      <c r="BC979" t="s">
        <v>74</v>
      </c>
      <c r="BD979">
        <v>106378</v>
      </c>
      <c r="BE979" t="s">
        <v>19115</v>
      </c>
      <c r="BF979" t="str">
        <f>HYPERLINK("http://dx.doi.org/10.1016/j.ecolind.2020.106378","http://dx.doi.org/10.1016/j.ecolind.2020.106378")</f>
        <v>http://dx.doi.org/10.1016/j.ecolind.2020.106378</v>
      </c>
      <c r="BG979" t="s">
        <v>74</v>
      </c>
      <c r="BH979" t="s">
        <v>74</v>
      </c>
      <c r="BI979">
        <v>12</v>
      </c>
      <c r="BJ979" t="s">
        <v>2819</v>
      </c>
      <c r="BK979" t="s">
        <v>100</v>
      </c>
      <c r="BL979" t="s">
        <v>256</v>
      </c>
      <c r="BM979" t="s">
        <v>19116</v>
      </c>
      <c r="BN979" t="s">
        <v>74</v>
      </c>
      <c r="BO979" t="s">
        <v>1259</v>
      </c>
      <c r="BP979" t="s">
        <v>74</v>
      </c>
      <c r="BQ979" t="s">
        <v>74</v>
      </c>
      <c r="BR979" t="s">
        <v>104</v>
      </c>
      <c r="BS979" t="s">
        <v>19117</v>
      </c>
      <c r="BT979" t="str">
        <f>HYPERLINK("https%3A%2F%2Fwww.webofscience.com%2Fwos%2Fwoscc%2Ffull-record%2FWOS:000560052500018","View Full Record in Web of Science")</f>
        <v>View Full Record in Web of Science</v>
      </c>
    </row>
    <row r="980" spans="1:72" x14ac:dyDescent="0.15">
      <c r="A980" t="s">
        <v>72</v>
      </c>
      <c r="B980" t="s">
        <v>19118</v>
      </c>
      <c r="C980" t="s">
        <v>74</v>
      </c>
      <c r="D980" t="s">
        <v>74</v>
      </c>
      <c r="E980" t="s">
        <v>74</v>
      </c>
      <c r="F980" t="s">
        <v>19119</v>
      </c>
      <c r="G980" t="s">
        <v>74</v>
      </c>
      <c r="H980" t="s">
        <v>74</v>
      </c>
      <c r="I980" t="s">
        <v>19120</v>
      </c>
      <c r="J980" t="s">
        <v>19121</v>
      </c>
      <c r="K980" t="s">
        <v>74</v>
      </c>
      <c r="L980" t="s">
        <v>74</v>
      </c>
      <c r="M980" t="s">
        <v>78</v>
      </c>
      <c r="N980" t="s">
        <v>79</v>
      </c>
      <c r="O980" t="s">
        <v>74</v>
      </c>
      <c r="P980" t="s">
        <v>74</v>
      </c>
      <c r="Q980" t="s">
        <v>74</v>
      </c>
      <c r="R980" t="s">
        <v>74</v>
      </c>
      <c r="S980" t="s">
        <v>74</v>
      </c>
      <c r="T980" t="s">
        <v>19122</v>
      </c>
      <c r="U980" t="s">
        <v>19123</v>
      </c>
      <c r="V980" t="s">
        <v>19124</v>
      </c>
      <c r="W980" t="s">
        <v>19125</v>
      </c>
      <c r="X980" t="s">
        <v>19126</v>
      </c>
      <c r="Y980" t="s">
        <v>19127</v>
      </c>
      <c r="Z980" t="s">
        <v>19128</v>
      </c>
      <c r="AA980" t="s">
        <v>74</v>
      </c>
      <c r="AB980" t="s">
        <v>74</v>
      </c>
      <c r="AC980" t="s">
        <v>19129</v>
      </c>
      <c r="AD980" t="s">
        <v>19130</v>
      </c>
      <c r="AE980" t="s">
        <v>19131</v>
      </c>
      <c r="AF980" t="s">
        <v>74</v>
      </c>
      <c r="AG980">
        <v>24</v>
      </c>
      <c r="AH980">
        <v>0</v>
      </c>
      <c r="AI980">
        <v>0</v>
      </c>
      <c r="AJ980">
        <v>2</v>
      </c>
      <c r="AK980">
        <v>5</v>
      </c>
      <c r="AL980" t="s">
        <v>19132</v>
      </c>
      <c r="AM980" t="s">
        <v>12647</v>
      </c>
      <c r="AN980" t="s">
        <v>19133</v>
      </c>
      <c r="AO980" t="s">
        <v>19134</v>
      </c>
      <c r="AP980" t="s">
        <v>19135</v>
      </c>
      <c r="AQ980" t="s">
        <v>74</v>
      </c>
      <c r="AR980" t="s">
        <v>19136</v>
      </c>
      <c r="AS980" t="s">
        <v>19137</v>
      </c>
      <c r="AT980" t="s">
        <v>894</v>
      </c>
      <c r="AU980">
        <v>2020</v>
      </c>
      <c r="AV980">
        <v>77</v>
      </c>
      <c r="AW980">
        <v>3</v>
      </c>
      <c r="AX980" t="s">
        <v>74</v>
      </c>
      <c r="AY980" t="s">
        <v>74</v>
      </c>
      <c r="AZ980" t="s">
        <v>74</v>
      </c>
      <c r="BA980" t="s">
        <v>74</v>
      </c>
      <c r="BB980">
        <v>217</v>
      </c>
      <c r="BC980">
        <v>222</v>
      </c>
      <c r="BD980" t="s">
        <v>74</v>
      </c>
      <c r="BE980" t="s">
        <v>19138</v>
      </c>
      <c r="BF980" t="str">
        <f>HYPERLINK("http://dx.doi.org/10.3938/jkps.77.217","http://dx.doi.org/10.3938/jkps.77.217")</f>
        <v>http://dx.doi.org/10.3938/jkps.77.217</v>
      </c>
      <c r="BG980" t="s">
        <v>74</v>
      </c>
      <c r="BH980" t="s">
        <v>74</v>
      </c>
      <c r="BI980">
        <v>6</v>
      </c>
      <c r="BJ980" t="s">
        <v>6105</v>
      </c>
      <c r="BK980" t="s">
        <v>100</v>
      </c>
      <c r="BL980" t="s">
        <v>6106</v>
      </c>
      <c r="BM980" t="s">
        <v>19139</v>
      </c>
      <c r="BN980" t="s">
        <v>74</v>
      </c>
      <c r="BO980" t="s">
        <v>74</v>
      </c>
      <c r="BP980" t="s">
        <v>74</v>
      </c>
      <c r="BQ980" t="s">
        <v>74</v>
      </c>
      <c r="BR980" t="s">
        <v>104</v>
      </c>
      <c r="BS980" t="s">
        <v>19140</v>
      </c>
      <c r="BT980" t="str">
        <f>HYPERLINK("https%3A%2F%2Fwww.webofscience.com%2Fwos%2Fwoscc%2Ffull-record%2FWOS:000558788800005","View Full Record in Web of Science")</f>
        <v>View Full Record in Web of Science</v>
      </c>
    </row>
    <row r="981" spans="1:72" x14ac:dyDescent="0.15">
      <c r="A981" t="s">
        <v>72</v>
      </c>
      <c r="B981" t="s">
        <v>19141</v>
      </c>
      <c r="C981" t="s">
        <v>74</v>
      </c>
      <c r="D981" t="s">
        <v>74</v>
      </c>
      <c r="E981" t="s">
        <v>74</v>
      </c>
      <c r="F981" t="s">
        <v>19142</v>
      </c>
      <c r="G981" t="s">
        <v>74</v>
      </c>
      <c r="H981" t="s">
        <v>74</v>
      </c>
      <c r="I981" t="s">
        <v>19143</v>
      </c>
      <c r="J981" t="s">
        <v>19144</v>
      </c>
      <c r="K981" t="s">
        <v>74</v>
      </c>
      <c r="L981" t="s">
        <v>74</v>
      </c>
      <c r="M981" t="s">
        <v>78</v>
      </c>
      <c r="N981" t="s">
        <v>79</v>
      </c>
      <c r="O981" t="s">
        <v>74</v>
      </c>
      <c r="P981" t="s">
        <v>74</v>
      </c>
      <c r="Q981" t="s">
        <v>74</v>
      </c>
      <c r="R981" t="s">
        <v>74</v>
      </c>
      <c r="S981" t="s">
        <v>74</v>
      </c>
      <c r="T981" t="s">
        <v>19145</v>
      </c>
      <c r="U981" t="s">
        <v>5158</v>
      </c>
      <c r="V981" t="s">
        <v>19146</v>
      </c>
      <c r="W981" t="s">
        <v>19147</v>
      </c>
      <c r="X981" t="s">
        <v>19148</v>
      </c>
      <c r="Y981" t="s">
        <v>19149</v>
      </c>
      <c r="Z981" t="s">
        <v>19150</v>
      </c>
      <c r="AA981" t="s">
        <v>15773</v>
      </c>
      <c r="AB981" t="s">
        <v>19151</v>
      </c>
      <c r="AC981" t="s">
        <v>19152</v>
      </c>
      <c r="AD981" t="s">
        <v>19153</v>
      </c>
      <c r="AE981" t="s">
        <v>19154</v>
      </c>
      <c r="AF981" t="s">
        <v>74</v>
      </c>
      <c r="AG981">
        <v>59</v>
      </c>
      <c r="AH981">
        <v>6</v>
      </c>
      <c r="AI981">
        <v>6</v>
      </c>
      <c r="AJ981">
        <v>5</v>
      </c>
      <c r="AK981">
        <v>28</v>
      </c>
      <c r="AL981" t="s">
        <v>5077</v>
      </c>
      <c r="AM981" t="s">
        <v>693</v>
      </c>
      <c r="AN981" t="s">
        <v>5078</v>
      </c>
      <c r="AO981" t="s">
        <v>19155</v>
      </c>
      <c r="AP981" t="s">
        <v>19156</v>
      </c>
      <c r="AQ981" t="s">
        <v>74</v>
      </c>
      <c r="AR981" t="s">
        <v>19157</v>
      </c>
      <c r="AS981" t="s">
        <v>19158</v>
      </c>
      <c r="AT981" t="s">
        <v>4432</v>
      </c>
      <c r="AU981">
        <v>2022</v>
      </c>
      <c r="AV981">
        <v>16</v>
      </c>
      <c r="AW981">
        <v>1</v>
      </c>
      <c r="AX981" t="s">
        <v>74</v>
      </c>
      <c r="AY981" t="s">
        <v>74</v>
      </c>
      <c r="AZ981" t="s">
        <v>74</v>
      </c>
      <c r="BA981" t="s">
        <v>74</v>
      </c>
      <c r="BB981">
        <v>19</v>
      </c>
      <c r="BC981">
        <v>34</v>
      </c>
      <c r="BD981" t="s">
        <v>74</v>
      </c>
      <c r="BE981" t="s">
        <v>19159</v>
      </c>
      <c r="BF981" t="str">
        <f>HYPERLINK("http://dx.doi.org/10.1080/17512786.2020.1798272","http://dx.doi.org/10.1080/17512786.2020.1798272")</f>
        <v>http://dx.doi.org/10.1080/17512786.2020.1798272</v>
      </c>
      <c r="BG981" t="s">
        <v>74</v>
      </c>
      <c r="BH981" t="s">
        <v>15048</v>
      </c>
      <c r="BI981">
        <v>16</v>
      </c>
      <c r="BJ981" t="s">
        <v>19160</v>
      </c>
      <c r="BK981" t="s">
        <v>1580</v>
      </c>
      <c r="BL981" t="s">
        <v>19160</v>
      </c>
      <c r="BM981" t="s">
        <v>19161</v>
      </c>
      <c r="BN981" t="s">
        <v>74</v>
      </c>
      <c r="BO981" t="s">
        <v>74</v>
      </c>
      <c r="BP981" t="s">
        <v>74</v>
      </c>
      <c r="BQ981" t="s">
        <v>74</v>
      </c>
      <c r="BR981" t="s">
        <v>104</v>
      </c>
      <c r="BS981" t="s">
        <v>19162</v>
      </c>
      <c r="BT981" t="str">
        <f>HYPERLINK("https%3A%2F%2Fwww.webofscience.com%2Fwos%2Fwoscc%2Ffull-record%2FWOS:000558439500001","View Full Record in Web of Science")</f>
        <v>View Full Record in Web of Science</v>
      </c>
    </row>
    <row r="982" spans="1:72" x14ac:dyDescent="0.15">
      <c r="A982" t="s">
        <v>72</v>
      </c>
      <c r="B982" t="s">
        <v>19163</v>
      </c>
      <c r="C982" t="s">
        <v>74</v>
      </c>
      <c r="D982" t="s">
        <v>74</v>
      </c>
      <c r="E982" t="s">
        <v>74</v>
      </c>
      <c r="F982" t="s">
        <v>19164</v>
      </c>
      <c r="G982" t="s">
        <v>74</v>
      </c>
      <c r="H982" t="s">
        <v>74</v>
      </c>
      <c r="I982" t="s">
        <v>19165</v>
      </c>
      <c r="J982" t="s">
        <v>19166</v>
      </c>
      <c r="K982" t="s">
        <v>74</v>
      </c>
      <c r="L982" t="s">
        <v>74</v>
      </c>
      <c r="M982" t="s">
        <v>78</v>
      </c>
      <c r="N982" t="s">
        <v>79</v>
      </c>
      <c r="O982" t="s">
        <v>74</v>
      </c>
      <c r="P982" t="s">
        <v>74</v>
      </c>
      <c r="Q982" t="s">
        <v>74</v>
      </c>
      <c r="R982" t="s">
        <v>74</v>
      </c>
      <c r="S982" t="s">
        <v>74</v>
      </c>
      <c r="T982" t="s">
        <v>19167</v>
      </c>
      <c r="U982" t="s">
        <v>74</v>
      </c>
      <c r="V982" t="s">
        <v>19168</v>
      </c>
      <c r="W982" t="s">
        <v>19169</v>
      </c>
      <c r="X982" t="s">
        <v>19170</v>
      </c>
      <c r="Y982" t="s">
        <v>19171</v>
      </c>
      <c r="Z982" t="s">
        <v>19172</v>
      </c>
      <c r="AA982" t="s">
        <v>19173</v>
      </c>
      <c r="AB982" t="s">
        <v>19174</v>
      </c>
      <c r="AC982" t="s">
        <v>19175</v>
      </c>
      <c r="AD982" t="s">
        <v>19176</v>
      </c>
      <c r="AE982" t="s">
        <v>19177</v>
      </c>
      <c r="AF982" t="s">
        <v>74</v>
      </c>
      <c r="AG982">
        <v>26</v>
      </c>
      <c r="AH982">
        <v>3</v>
      </c>
      <c r="AI982">
        <v>3</v>
      </c>
      <c r="AJ982">
        <v>0</v>
      </c>
      <c r="AK982">
        <v>6</v>
      </c>
      <c r="AL982" t="s">
        <v>1572</v>
      </c>
      <c r="AM982" t="s">
        <v>1407</v>
      </c>
      <c r="AN982" t="s">
        <v>1573</v>
      </c>
      <c r="AO982" t="s">
        <v>19178</v>
      </c>
      <c r="AP982" t="s">
        <v>74</v>
      </c>
      <c r="AQ982" t="s">
        <v>74</v>
      </c>
      <c r="AR982" t="s">
        <v>19179</v>
      </c>
      <c r="AS982" t="s">
        <v>19180</v>
      </c>
      <c r="AT982" t="s">
        <v>894</v>
      </c>
      <c r="AU982">
        <v>2020</v>
      </c>
      <c r="AV982">
        <v>38</v>
      </c>
      <c r="AW982" t="s">
        <v>74</v>
      </c>
      <c r="AX982" t="s">
        <v>74</v>
      </c>
      <c r="AY982" t="s">
        <v>74</v>
      </c>
      <c r="AZ982" t="s">
        <v>74</v>
      </c>
      <c r="BA982" t="s">
        <v>74</v>
      </c>
      <c r="BB982" t="s">
        <v>74</v>
      </c>
      <c r="BC982" t="s">
        <v>74</v>
      </c>
      <c r="BD982">
        <v>100456</v>
      </c>
      <c r="BE982" t="s">
        <v>19181</v>
      </c>
      <c r="BF982" t="str">
        <f>HYPERLINK("http://dx.doi.org/10.1016/j.spasta.2020.100456","http://dx.doi.org/10.1016/j.spasta.2020.100456")</f>
        <v>http://dx.doi.org/10.1016/j.spasta.2020.100456</v>
      </c>
      <c r="BG982" t="s">
        <v>74</v>
      </c>
      <c r="BH982" t="s">
        <v>74</v>
      </c>
      <c r="BI982">
        <v>16</v>
      </c>
      <c r="BJ982" t="s">
        <v>19182</v>
      </c>
      <c r="BK982" t="s">
        <v>100</v>
      </c>
      <c r="BL982" t="s">
        <v>19183</v>
      </c>
      <c r="BM982" t="s">
        <v>19184</v>
      </c>
      <c r="BN982" t="s">
        <v>74</v>
      </c>
      <c r="BO982" t="s">
        <v>74</v>
      </c>
      <c r="BP982" t="s">
        <v>74</v>
      </c>
      <c r="BQ982" t="s">
        <v>74</v>
      </c>
      <c r="BR982" t="s">
        <v>104</v>
      </c>
      <c r="BS982" t="s">
        <v>19185</v>
      </c>
      <c r="BT982" t="str">
        <f>HYPERLINK("https%3A%2F%2Fwww.webofscience.com%2Fwos%2Fwoscc%2Ffull-record%2FWOS:000559818300011","View Full Record in Web of Science")</f>
        <v>View Full Record in Web of Science</v>
      </c>
    </row>
    <row r="983" spans="1:72" x14ac:dyDescent="0.15">
      <c r="A983" t="s">
        <v>72</v>
      </c>
      <c r="B983" t="s">
        <v>19186</v>
      </c>
      <c r="C983" t="s">
        <v>74</v>
      </c>
      <c r="D983" t="s">
        <v>74</v>
      </c>
      <c r="E983" t="s">
        <v>74</v>
      </c>
      <c r="F983" t="s">
        <v>19187</v>
      </c>
      <c r="G983" t="s">
        <v>74</v>
      </c>
      <c r="H983" t="s">
        <v>74</v>
      </c>
      <c r="I983" t="s">
        <v>19188</v>
      </c>
      <c r="J983" t="s">
        <v>1628</v>
      </c>
      <c r="K983" t="s">
        <v>74</v>
      </c>
      <c r="L983" t="s">
        <v>74</v>
      </c>
      <c r="M983" t="s">
        <v>1629</v>
      </c>
      <c r="N983" t="s">
        <v>79</v>
      </c>
      <c r="O983" t="s">
        <v>74</v>
      </c>
      <c r="P983" t="s">
        <v>74</v>
      </c>
      <c r="Q983" t="s">
        <v>74</v>
      </c>
      <c r="R983" t="s">
        <v>74</v>
      </c>
      <c r="S983" t="s">
        <v>74</v>
      </c>
      <c r="T983" t="s">
        <v>19189</v>
      </c>
      <c r="U983" t="s">
        <v>19190</v>
      </c>
      <c r="V983" t="s">
        <v>19191</v>
      </c>
      <c r="W983" t="s">
        <v>19192</v>
      </c>
      <c r="X983" t="s">
        <v>16030</v>
      </c>
      <c r="Y983" t="s">
        <v>19193</v>
      </c>
      <c r="Z983" t="s">
        <v>19194</v>
      </c>
      <c r="AA983" t="s">
        <v>74</v>
      </c>
      <c r="AB983" t="s">
        <v>74</v>
      </c>
      <c r="AC983" t="s">
        <v>74</v>
      </c>
      <c r="AD983" t="s">
        <v>74</v>
      </c>
      <c r="AE983" t="s">
        <v>74</v>
      </c>
      <c r="AF983" t="s">
        <v>74</v>
      </c>
      <c r="AG983">
        <v>24</v>
      </c>
      <c r="AH983">
        <v>1</v>
      </c>
      <c r="AI983">
        <v>3</v>
      </c>
      <c r="AJ983">
        <v>0</v>
      </c>
      <c r="AK983">
        <v>23</v>
      </c>
      <c r="AL983" t="s">
        <v>1637</v>
      </c>
      <c r="AM983" t="s">
        <v>1638</v>
      </c>
      <c r="AN983" t="s">
        <v>1639</v>
      </c>
      <c r="AO983" t="s">
        <v>1640</v>
      </c>
      <c r="AP983" t="s">
        <v>74</v>
      </c>
      <c r="AQ983" t="s">
        <v>74</v>
      </c>
      <c r="AR983" t="s">
        <v>1641</v>
      </c>
      <c r="AS983" t="s">
        <v>1642</v>
      </c>
      <c r="AT983" t="s">
        <v>894</v>
      </c>
      <c r="AU983">
        <v>2020</v>
      </c>
      <c r="AV983">
        <v>63</v>
      </c>
      <c r="AW983">
        <v>8</v>
      </c>
      <c r="AX983" t="s">
        <v>74</v>
      </c>
      <c r="AY983" t="s">
        <v>74</v>
      </c>
      <c r="AZ983" t="s">
        <v>74</v>
      </c>
      <c r="BA983" t="s">
        <v>74</v>
      </c>
      <c r="BB983">
        <v>2893</v>
      </c>
      <c r="BC983">
        <v>2900</v>
      </c>
      <c r="BD983" t="s">
        <v>74</v>
      </c>
      <c r="BE983" t="s">
        <v>19195</v>
      </c>
      <c r="BF983" t="str">
        <f>HYPERLINK("http://dx.doi.org/10.6038/cjg2020N0311","http://dx.doi.org/10.6038/cjg2020N0311")</f>
        <v>http://dx.doi.org/10.6038/cjg2020N0311</v>
      </c>
      <c r="BG983" t="s">
        <v>74</v>
      </c>
      <c r="BH983" t="s">
        <v>74</v>
      </c>
      <c r="BI983">
        <v>8</v>
      </c>
      <c r="BJ983" t="s">
        <v>1361</v>
      </c>
      <c r="BK983" t="s">
        <v>100</v>
      </c>
      <c r="BL983" t="s">
        <v>1361</v>
      </c>
      <c r="BM983" t="s">
        <v>19196</v>
      </c>
      <c r="BN983" t="s">
        <v>74</v>
      </c>
      <c r="BO983" t="s">
        <v>74</v>
      </c>
      <c r="BP983" t="s">
        <v>74</v>
      </c>
      <c r="BQ983" t="s">
        <v>74</v>
      </c>
      <c r="BR983" t="s">
        <v>104</v>
      </c>
      <c r="BS983" t="s">
        <v>19197</v>
      </c>
      <c r="BT983" t="str">
        <f>HYPERLINK("https%3A%2F%2Fwww.webofscience.com%2Fwos%2Fwoscc%2Ffull-record%2FWOS:000557376400004","View Full Record in Web of Science")</f>
        <v>View Full Record in Web of Science</v>
      </c>
    </row>
    <row r="984" spans="1:72" x14ac:dyDescent="0.15">
      <c r="A984" t="s">
        <v>72</v>
      </c>
      <c r="B984" t="s">
        <v>19198</v>
      </c>
      <c r="C984" t="s">
        <v>74</v>
      </c>
      <c r="D984" t="s">
        <v>74</v>
      </c>
      <c r="E984" t="s">
        <v>74</v>
      </c>
      <c r="F984" t="s">
        <v>19199</v>
      </c>
      <c r="G984" t="s">
        <v>74</v>
      </c>
      <c r="H984" t="s">
        <v>74</v>
      </c>
      <c r="I984" t="s">
        <v>19200</v>
      </c>
      <c r="J984" t="s">
        <v>1628</v>
      </c>
      <c r="K984" t="s">
        <v>74</v>
      </c>
      <c r="L984" t="s">
        <v>74</v>
      </c>
      <c r="M984" t="s">
        <v>1629</v>
      </c>
      <c r="N984" t="s">
        <v>79</v>
      </c>
      <c r="O984" t="s">
        <v>74</v>
      </c>
      <c r="P984" t="s">
        <v>74</v>
      </c>
      <c r="Q984" t="s">
        <v>74</v>
      </c>
      <c r="R984" t="s">
        <v>74</v>
      </c>
      <c r="S984" t="s">
        <v>74</v>
      </c>
      <c r="T984" t="s">
        <v>19201</v>
      </c>
      <c r="U984" t="s">
        <v>19202</v>
      </c>
      <c r="V984" t="s">
        <v>19203</v>
      </c>
      <c r="W984" t="s">
        <v>19204</v>
      </c>
      <c r="X984" t="s">
        <v>19205</v>
      </c>
      <c r="Y984" t="s">
        <v>19206</v>
      </c>
      <c r="Z984" t="s">
        <v>19207</v>
      </c>
      <c r="AA984" t="s">
        <v>19208</v>
      </c>
      <c r="AB984" t="s">
        <v>74</v>
      </c>
      <c r="AC984" t="s">
        <v>74</v>
      </c>
      <c r="AD984" t="s">
        <v>74</v>
      </c>
      <c r="AE984" t="s">
        <v>74</v>
      </c>
      <c r="AF984" t="s">
        <v>74</v>
      </c>
      <c r="AG984">
        <v>54</v>
      </c>
      <c r="AH984">
        <v>3</v>
      </c>
      <c r="AI984">
        <v>4</v>
      </c>
      <c r="AJ984">
        <v>0</v>
      </c>
      <c r="AK984">
        <v>12</v>
      </c>
      <c r="AL984" t="s">
        <v>1637</v>
      </c>
      <c r="AM984" t="s">
        <v>1638</v>
      </c>
      <c r="AN984" t="s">
        <v>1639</v>
      </c>
      <c r="AO984" t="s">
        <v>1640</v>
      </c>
      <c r="AP984" t="s">
        <v>74</v>
      </c>
      <c r="AQ984" t="s">
        <v>74</v>
      </c>
      <c r="AR984" t="s">
        <v>1641</v>
      </c>
      <c r="AS984" t="s">
        <v>1642</v>
      </c>
      <c r="AT984" t="s">
        <v>894</v>
      </c>
      <c r="AU984">
        <v>2020</v>
      </c>
      <c r="AV984">
        <v>63</v>
      </c>
      <c r="AW984">
        <v>8</v>
      </c>
      <c r="AX984" t="s">
        <v>74</v>
      </c>
      <c r="AY984" t="s">
        <v>74</v>
      </c>
      <c r="AZ984" t="s">
        <v>74</v>
      </c>
      <c r="BA984" t="s">
        <v>74</v>
      </c>
      <c r="BB984">
        <v>2978</v>
      </c>
      <c r="BC984">
        <v>2998</v>
      </c>
      <c r="BD984" t="s">
        <v>74</v>
      </c>
      <c r="BE984" t="s">
        <v>19209</v>
      </c>
      <c r="BF984" t="str">
        <f>HYPERLINK("http://dx.doi.org/10.6038/cjg2020O0017","http://dx.doi.org/10.6038/cjg2020O0017")</f>
        <v>http://dx.doi.org/10.6038/cjg2020O0017</v>
      </c>
      <c r="BG984" t="s">
        <v>74</v>
      </c>
      <c r="BH984" t="s">
        <v>74</v>
      </c>
      <c r="BI984">
        <v>21</v>
      </c>
      <c r="BJ984" t="s">
        <v>1361</v>
      </c>
      <c r="BK984" t="s">
        <v>100</v>
      </c>
      <c r="BL984" t="s">
        <v>1361</v>
      </c>
      <c r="BM984" t="s">
        <v>19196</v>
      </c>
      <c r="BN984" t="s">
        <v>74</v>
      </c>
      <c r="BO984" t="s">
        <v>74</v>
      </c>
      <c r="BP984" t="s">
        <v>74</v>
      </c>
      <c r="BQ984" t="s">
        <v>74</v>
      </c>
      <c r="BR984" t="s">
        <v>104</v>
      </c>
      <c r="BS984" t="s">
        <v>19210</v>
      </c>
      <c r="BT984" t="str">
        <f>HYPERLINK("https%3A%2F%2Fwww.webofscience.com%2Fwos%2Fwoscc%2Ffull-record%2FWOS:000557376400011","View Full Record in Web of Science")</f>
        <v>View Full Record in Web of Science</v>
      </c>
    </row>
    <row r="985" spans="1:72" x14ac:dyDescent="0.15">
      <c r="A985" t="s">
        <v>72</v>
      </c>
      <c r="B985" t="s">
        <v>19211</v>
      </c>
      <c r="C985" t="s">
        <v>74</v>
      </c>
      <c r="D985" t="s">
        <v>74</v>
      </c>
      <c r="E985" t="s">
        <v>74</v>
      </c>
      <c r="F985" t="s">
        <v>19212</v>
      </c>
      <c r="G985" t="s">
        <v>74</v>
      </c>
      <c r="H985" t="s">
        <v>74</v>
      </c>
      <c r="I985" t="s">
        <v>19213</v>
      </c>
      <c r="J985" t="s">
        <v>19214</v>
      </c>
      <c r="K985" t="s">
        <v>74</v>
      </c>
      <c r="L985" t="s">
        <v>74</v>
      </c>
      <c r="M985" t="s">
        <v>78</v>
      </c>
      <c r="N985" t="s">
        <v>79</v>
      </c>
      <c r="O985" t="s">
        <v>74</v>
      </c>
      <c r="P985" t="s">
        <v>74</v>
      </c>
      <c r="Q985" t="s">
        <v>74</v>
      </c>
      <c r="R985" t="s">
        <v>74</v>
      </c>
      <c r="S985" t="s">
        <v>74</v>
      </c>
      <c r="T985" t="s">
        <v>19215</v>
      </c>
      <c r="U985" t="s">
        <v>19216</v>
      </c>
      <c r="V985" t="s">
        <v>19217</v>
      </c>
      <c r="W985" t="s">
        <v>19218</v>
      </c>
      <c r="X985" t="s">
        <v>19219</v>
      </c>
      <c r="Y985" t="s">
        <v>19220</v>
      </c>
      <c r="Z985" t="s">
        <v>19221</v>
      </c>
      <c r="AA985" t="s">
        <v>19222</v>
      </c>
      <c r="AB985" t="s">
        <v>19223</v>
      </c>
      <c r="AC985" t="s">
        <v>19224</v>
      </c>
      <c r="AD985" t="s">
        <v>19225</v>
      </c>
      <c r="AE985" t="s">
        <v>19226</v>
      </c>
      <c r="AF985" t="s">
        <v>74</v>
      </c>
      <c r="AG985">
        <v>82</v>
      </c>
      <c r="AH985">
        <v>14</v>
      </c>
      <c r="AI985">
        <v>15</v>
      </c>
      <c r="AJ985">
        <v>0</v>
      </c>
      <c r="AK985">
        <v>5</v>
      </c>
      <c r="AL985" t="s">
        <v>8247</v>
      </c>
      <c r="AM985" t="s">
        <v>8248</v>
      </c>
      <c r="AN985" t="s">
        <v>8249</v>
      </c>
      <c r="AO985" t="s">
        <v>19227</v>
      </c>
      <c r="AP985" t="s">
        <v>19228</v>
      </c>
      <c r="AQ985" t="s">
        <v>74</v>
      </c>
      <c r="AR985" t="s">
        <v>19229</v>
      </c>
      <c r="AS985" t="s">
        <v>19230</v>
      </c>
      <c r="AT985" t="s">
        <v>894</v>
      </c>
      <c r="AU985">
        <v>2020</v>
      </c>
      <c r="AV985">
        <v>57</v>
      </c>
      <c r="AW985">
        <v>8</v>
      </c>
      <c r="AX985" t="s">
        <v>74</v>
      </c>
      <c r="AY985" t="s">
        <v>74</v>
      </c>
      <c r="AZ985" t="s">
        <v>74</v>
      </c>
      <c r="BA985" t="s">
        <v>74</v>
      </c>
      <c r="BB985">
        <v>1130</v>
      </c>
      <c r="BC985">
        <v>1152</v>
      </c>
      <c r="BD985" t="s">
        <v>74</v>
      </c>
      <c r="BE985" t="s">
        <v>19231</v>
      </c>
      <c r="BF985" t="str">
        <f>HYPERLINK("http://dx.doi.org/10.1139/cgj-2018-0715","http://dx.doi.org/10.1139/cgj-2018-0715")</f>
        <v>http://dx.doi.org/10.1139/cgj-2018-0715</v>
      </c>
      <c r="BG985" t="s">
        <v>74</v>
      </c>
      <c r="BH985" t="s">
        <v>74</v>
      </c>
      <c r="BI985">
        <v>23</v>
      </c>
      <c r="BJ985" t="s">
        <v>12504</v>
      </c>
      <c r="BK985" t="s">
        <v>100</v>
      </c>
      <c r="BL985" t="s">
        <v>9161</v>
      </c>
      <c r="BM985" t="s">
        <v>19232</v>
      </c>
      <c r="BN985" t="s">
        <v>74</v>
      </c>
      <c r="BO985" t="s">
        <v>74</v>
      </c>
      <c r="BP985" t="s">
        <v>74</v>
      </c>
      <c r="BQ985" t="s">
        <v>74</v>
      </c>
      <c r="BR985" t="s">
        <v>104</v>
      </c>
      <c r="BS985" t="s">
        <v>19233</v>
      </c>
      <c r="BT985" t="str">
        <f>HYPERLINK("https%3A%2F%2Fwww.webofscience.com%2Fwos%2Fwoscc%2Ffull-record%2FWOS:000557352200003","View Full Record in Web of Science")</f>
        <v>View Full Record in Web of Science</v>
      </c>
    </row>
    <row r="986" spans="1:72" x14ac:dyDescent="0.15">
      <c r="A986" t="s">
        <v>72</v>
      </c>
      <c r="B986" t="s">
        <v>19234</v>
      </c>
      <c r="C986" t="s">
        <v>74</v>
      </c>
      <c r="D986" t="s">
        <v>74</v>
      </c>
      <c r="E986" t="s">
        <v>74</v>
      </c>
      <c r="F986" t="s">
        <v>19235</v>
      </c>
      <c r="G986" t="s">
        <v>74</v>
      </c>
      <c r="H986" t="s">
        <v>74</v>
      </c>
      <c r="I986" t="s">
        <v>19236</v>
      </c>
      <c r="J986" t="s">
        <v>10830</v>
      </c>
      <c r="K986" t="s">
        <v>74</v>
      </c>
      <c r="L986" t="s">
        <v>74</v>
      </c>
      <c r="M986" t="s">
        <v>78</v>
      </c>
      <c r="N986" t="s">
        <v>79</v>
      </c>
      <c r="O986" t="s">
        <v>74</v>
      </c>
      <c r="P986" t="s">
        <v>74</v>
      </c>
      <c r="Q986" t="s">
        <v>74</v>
      </c>
      <c r="R986" t="s">
        <v>74</v>
      </c>
      <c r="S986" t="s">
        <v>74</v>
      </c>
      <c r="T986" t="s">
        <v>74</v>
      </c>
      <c r="U986" t="s">
        <v>19237</v>
      </c>
      <c r="V986" t="s">
        <v>19238</v>
      </c>
      <c r="W986" t="s">
        <v>19239</v>
      </c>
      <c r="X986" t="s">
        <v>19240</v>
      </c>
      <c r="Y986" t="s">
        <v>19241</v>
      </c>
      <c r="Z986" t="s">
        <v>19242</v>
      </c>
      <c r="AA986" t="s">
        <v>19243</v>
      </c>
      <c r="AB986" t="s">
        <v>19244</v>
      </c>
      <c r="AC986" t="s">
        <v>19245</v>
      </c>
      <c r="AD986" t="s">
        <v>19246</v>
      </c>
      <c r="AE986" t="s">
        <v>19247</v>
      </c>
      <c r="AF986" t="s">
        <v>74</v>
      </c>
      <c r="AG986">
        <v>42</v>
      </c>
      <c r="AH986">
        <v>4</v>
      </c>
      <c r="AI986">
        <v>4</v>
      </c>
      <c r="AJ986">
        <v>0</v>
      </c>
      <c r="AK986">
        <v>3</v>
      </c>
      <c r="AL986" t="s">
        <v>482</v>
      </c>
      <c r="AM986" t="s">
        <v>483</v>
      </c>
      <c r="AN986" t="s">
        <v>484</v>
      </c>
      <c r="AO986" t="s">
        <v>10842</v>
      </c>
      <c r="AP986" t="s">
        <v>10843</v>
      </c>
      <c r="AQ986" t="s">
        <v>74</v>
      </c>
      <c r="AR986" t="s">
        <v>10844</v>
      </c>
      <c r="AS986" t="s">
        <v>10845</v>
      </c>
      <c r="AT986" t="s">
        <v>1212</v>
      </c>
      <c r="AU986">
        <v>2020</v>
      </c>
      <c r="AV986">
        <v>77</v>
      </c>
      <c r="AW986">
        <v>11</v>
      </c>
      <c r="AX986" t="s">
        <v>74</v>
      </c>
      <c r="AY986" t="s">
        <v>74</v>
      </c>
      <c r="AZ986" t="s">
        <v>74</v>
      </c>
      <c r="BA986" t="s">
        <v>74</v>
      </c>
      <c r="BB986">
        <v>3414</v>
      </c>
      <c r="BC986">
        <v>3421</v>
      </c>
      <c r="BD986" t="s">
        <v>74</v>
      </c>
      <c r="BE986" t="s">
        <v>19248</v>
      </c>
      <c r="BF986" t="str">
        <f>HYPERLINK("http://dx.doi.org/10.1007/s00284-020-02143-8","http://dx.doi.org/10.1007/s00284-020-02143-8")</f>
        <v>http://dx.doi.org/10.1007/s00284-020-02143-8</v>
      </c>
      <c r="BG986" t="s">
        <v>74</v>
      </c>
      <c r="BH986" t="s">
        <v>15048</v>
      </c>
      <c r="BI986">
        <v>8</v>
      </c>
      <c r="BJ986" t="s">
        <v>229</v>
      </c>
      <c r="BK986" t="s">
        <v>100</v>
      </c>
      <c r="BL986" t="s">
        <v>229</v>
      </c>
      <c r="BM986" t="s">
        <v>10847</v>
      </c>
      <c r="BN986">
        <v>32740715</v>
      </c>
      <c r="BO986" t="s">
        <v>74</v>
      </c>
      <c r="BP986" t="s">
        <v>74</v>
      </c>
      <c r="BQ986" t="s">
        <v>74</v>
      </c>
      <c r="BR986" t="s">
        <v>104</v>
      </c>
      <c r="BS986" t="s">
        <v>19249</v>
      </c>
      <c r="BT986" t="str">
        <f>HYPERLINK("https%3A%2F%2Fwww.webofscience.com%2Fwos%2Fwoscc%2Ffull-record%2FWOS:000554434700003","View Full Record in Web of Science")</f>
        <v>View Full Record in Web of Science</v>
      </c>
    </row>
    <row r="987" spans="1:72" x14ac:dyDescent="0.15">
      <c r="A987" t="s">
        <v>72</v>
      </c>
      <c r="B987" t="s">
        <v>19250</v>
      </c>
      <c r="C987" t="s">
        <v>74</v>
      </c>
      <c r="D987" t="s">
        <v>74</v>
      </c>
      <c r="E987" t="s">
        <v>74</v>
      </c>
      <c r="F987" t="s">
        <v>19251</v>
      </c>
      <c r="G987" t="s">
        <v>74</v>
      </c>
      <c r="H987" t="s">
        <v>74</v>
      </c>
      <c r="I987" t="s">
        <v>19252</v>
      </c>
      <c r="J987" t="s">
        <v>19253</v>
      </c>
      <c r="K987" t="s">
        <v>74</v>
      </c>
      <c r="L987" t="s">
        <v>74</v>
      </c>
      <c r="M987" t="s">
        <v>78</v>
      </c>
      <c r="N987" t="s">
        <v>79</v>
      </c>
      <c r="O987" t="s">
        <v>74</v>
      </c>
      <c r="P987" t="s">
        <v>74</v>
      </c>
      <c r="Q987" t="s">
        <v>74</v>
      </c>
      <c r="R987" t="s">
        <v>74</v>
      </c>
      <c r="S987" t="s">
        <v>74</v>
      </c>
      <c r="T987" t="s">
        <v>19254</v>
      </c>
      <c r="U987" t="s">
        <v>19255</v>
      </c>
      <c r="V987" t="s">
        <v>19256</v>
      </c>
      <c r="W987" t="s">
        <v>19257</v>
      </c>
      <c r="X987" t="s">
        <v>19258</v>
      </c>
      <c r="Y987" t="s">
        <v>19259</v>
      </c>
      <c r="Z987" t="s">
        <v>19260</v>
      </c>
      <c r="AA987" t="s">
        <v>74</v>
      </c>
      <c r="AB987" t="s">
        <v>19261</v>
      </c>
      <c r="AC987" t="s">
        <v>19262</v>
      </c>
      <c r="AD987" t="s">
        <v>19263</v>
      </c>
      <c r="AE987" t="s">
        <v>19264</v>
      </c>
      <c r="AF987" t="s">
        <v>74</v>
      </c>
      <c r="AG987">
        <v>27</v>
      </c>
      <c r="AH987">
        <v>5</v>
      </c>
      <c r="AI987">
        <v>6</v>
      </c>
      <c r="AJ987">
        <v>1</v>
      </c>
      <c r="AK987">
        <v>10</v>
      </c>
      <c r="AL987" t="s">
        <v>275</v>
      </c>
      <c r="AM987" t="s">
        <v>276</v>
      </c>
      <c r="AN987" t="s">
        <v>277</v>
      </c>
      <c r="AO987" t="s">
        <v>19265</v>
      </c>
      <c r="AP987" t="s">
        <v>19266</v>
      </c>
      <c r="AQ987" t="s">
        <v>74</v>
      </c>
      <c r="AR987" t="s">
        <v>19267</v>
      </c>
      <c r="AS987" t="s">
        <v>19268</v>
      </c>
      <c r="AT987" t="s">
        <v>894</v>
      </c>
      <c r="AU987">
        <v>2020</v>
      </c>
      <c r="AV987">
        <v>26</v>
      </c>
      <c r="AW987" t="s">
        <v>74</v>
      </c>
      <c r="AX987" t="s">
        <v>74</v>
      </c>
      <c r="AY987" t="s">
        <v>74</v>
      </c>
      <c r="AZ987" t="s">
        <v>74</v>
      </c>
      <c r="BA987" t="s">
        <v>74</v>
      </c>
      <c r="BB987">
        <v>1</v>
      </c>
      <c r="BC987">
        <v>9</v>
      </c>
      <c r="BD987" t="s">
        <v>74</v>
      </c>
      <c r="BE987" t="s">
        <v>19269</v>
      </c>
      <c r="BF987" t="str">
        <f>HYPERLINK("http://dx.doi.org/10.1016/j.lssr.2020.03.006","http://dx.doi.org/10.1016/j.lssr.2020.03.006")</f>
        <v>http://dx.doi.org/10.1016/j.lssr.2020.03.006</v>
      </c>
      <c r="BG987" t="s">
        <v>74</v>
      </c>
      <c r="BH987" t="s">
        <v>74</v>
      </c>
      <c r="BI987">
        <v>9</v>
      </c>
      <c r="BJ987" t="s">
        <v>19270</v>
      </c>
      <c r="BK987" t="s">
        <v>100</v>
      </c>
      <c r="BL987" t="s">
        <v>19271</v>
      </c>
      <c r="BM987" t="s">
        <v>19272</v>
      </c>
      <c r="BN987">
        <v>32718674</v>
      </c>
      <c r="BO987" t="s">
        <v>74</v>
      </c>
      <c r="BP987" t="s">
        <v>74</v>
      </c>
      <c r="BQ987" t="s">
        <v>74</v>
      </c>
      <c r="BR987" t="s">
        <v>104</v>
      </c>
      <c r="BS987" t="s">
        <v>19273</v>
      </c>
      <c r="BT987" t="str">
        <f>HYPERLINK("https%3A%2F%2Fwww.webofscience.com%2Fwos%2Fwoscc%2Ffull-record%2FWOS:000554557700001","View Full Record in Web of Science")</f>
        <v>View Full Record in Web of Science</v>
      </c>
    </row>
    <row r="988" spans="1:72" x14ac:dyDescent="0.15">
      <c r="A988" t="s">
        <v>72</v>
      </c>
      <c r="B988" t="s">
        <v>19274</v>
      </c>
      <c r="C988" t="s">
        <v>74</v>
      </c>
      <c r="D988" t="s">
        <v>74</v>
      </c>
      <c r="E988" t="s">
        <v>74</v>
      </c>
      <c r="F988" t="s">
        <v>19275</v>
      </c>
      <c r="G988" t="s">
        <v>74</v>
      </c>
      <c r="H988" t="s">
        <v>74</v>
      </c>
      <c r="I988" t="s">
        <v>19276</v>
      </c>
      <c r="J988" t="s">
        <v>2655</v>
      </c>
      <c r="K988" t="s">
        <v>74</v>
      </c>
      <c r="L988" t="s">
        <v>74</v>
      </c>
      <c r="M988" t="s">
        <v>78</v>
      </c>
      <c r="N988" t="s">
        <v>79</v>
      </c>
      <c r="O988" t="s">
        <v>74</v>
      </c>
      <c r="P988" t="s">
        <v>74</v>
      </c>
      <c r="Q988" t="s">
        <v>74</v>
      </c>
      <c r="R988" t="s">
        <v>74</v>
      </c>
      <c r="S988" t="s">
        <v>74</v>
      </c>
      <c r="T988" t="s">
        <v>19277</v>
      </c>
      <c r="U988" t="s">
        <v>19278</v>
      </c>
      <c r="V988" t="s">
        <v>19279</v>
      </c>
      <c r="W988" t="s">
        <v>19280</v>
      </c>
      <c r="X988" t="s">
        <v>19281</v>
      </c>
      <c r="Y988" t="s">
        <v>19282</v>
      </c>
      <c r="Z988" t="s">
        <v>19283</v>
      </c>
      <c r="AA988" t="s">
        <v>19284</v>
      </c>
      <c r="AB988" t="s">
        <v>19285</v>
      </c>
      <c r="AC988" t="s">
        <v>19286</v>
      </c>
      <c r="AD988" t="s">
        <v>19287</v>
      </c>
      <c r="AE988" t="s">
        <v>19288</v>
      </c>
      <c r="AF988" t="s">
        <v>74</v>
      </c>
      <c r="AG988">
        <v>223</v>
      </c>
      <c r="AH988">
        <v>42</v>
      </c>
      <c r="AI988">
        <v>43</v>
      </c>
      <c r="AJ988">
        <v>4</v>
      </c>
      <c r="AK988">
        <v>28</v>
      </c>
      <c r="AL988" t="s">
        <v>1522</v>
      </c>
      <c r="AM988" t="s">
        <v>1407</v>
      </c>
      <c r="AN988" t="s">
        <v>1523</v>
      </c>
      <c r="AO988" t="s">
        <v>2668</v>
      </c>
      <c r="AP988" t="s">
        <v>74</v>
      </c>
      <c r="AQ988" t="s">
        <v>74</v>
      </c>
      <c r="AR988" t="s">
        <v>2669</v>
      </c>
      <c r="AS988" t="s">
        <v>2670</v>
      </c>
      <c r="AT988" t="s">
        <v>17492</v>
      </c>
      <c r="AU988">
        <v>2020</v>
      </c>
      <c r="AV988">
        <v>241</v>
      </c>
      <c r="AW988" t="s">
        <v>74</v>
      </c>
      <c r="AX988" t="s">
        <v>74</v>
      </c>
      <c r="AY988" t="s">
        <v>74</v>
      </c>
      <c r="AZ988" t="s">
        <v>74</v>
      </c>
      <c r="BA988" t="s">
        <v>74</v>
      </c>
      <c r="BB988" t="s">
        <v>74</v>
      </c>
      <c r="BC988" t="s">
        <v>74</v>
      </c>
      <c r="BD988">
        <v>106396</v>
      </c>
      <c r="BE988" t="s">
        <v>19289</v>
      </c>
      <c r="BF988" t="str">
        <f>HYPERLINK("http://dx.doi.org/10.1016/j.quascirev.2020.106396","http://dx.doi.org/10.1016/j.quascirev.2020.106396")</f>
        <v>http://dx.doi.org/10.1016/j.quascirev.2020.106396</v>
      </c>
      <c r="BG988" t="s">
        <v>74</v>
      </c>
      <c r="BH988" t="s">
        <v>74</v>
      </c>
      <c r="BI988">
        <v>28</v>
      </c>
      <c r="BJ988" t="s">
        <v>99</v>
      </c>
      <c r="BK988" t="s">
        <v>100</v>
      </c>
      <c r="BL988" t="s">
        <v>101</v>
      </c>
      <c r="BM988" t="s">
        <v>19290</v>
      </c>
      <c r="BN988" t="s">
        <v>74</v>
      </c>
      <c r="BO988" t="s">
        <v>564</v>
      </c>
      <c r="BP988" t="s">
        <v>74</v>
      </c>
      <c r="BQ988" t="s">
        <v>74</v>
      </c>
      <c r="BR988" t="s">
        <v>104</v>
      </c>
      <c r="BS988" t="s">
        <v>19291</v>
      </c>
      <c r="BT988" t="str">
        <f>HYPERLINK("https%3A%2F%2Fwww.webofscience.com%2Fwos%2Fwoscc%2Ffull-record%2FWOS:000551471300006","View Full Record in Web of Science")</f>
        <v>View Full Record in Web of Science</v>
      </c>
    </row>
    <row r="989" spans="1:72" x14ac:dyDescent="0.15">
      <c r="A989" t="s">
        <v>72</v>
      </c>
      <c r="B989" t="s">
        <v>19292</v>
      </c>
      <c r="C989" t="s">
        <v>74</v>
      </c>
      <c r="D989" t="s">
        <v>74</v>
      </c>
      <c r="E989" t="s">
        <v>74</v>
      </c>
      <c r="F989" t="s">
        <v>19293</v>
      </c>
      <c r="G989" t="s">
        <v>74</v>
      </c>
      <c r="H989" t="s">
        <v>74</v>
      </c>
      <c r="I989" t="s">
        <v>19294</v>
      </c>
      <c r="J989" t="s">
        <v>1605</v>
      </c>
      <c r="K989" t="s">
        <v>74</v>
      </c>
      <c r="L989" t="s">
        <v>74</v>
      </c>
      <c r="M989" t="s">
        <v>78</v>
      </c>
      <c r="N989" t="s">
        <v>79</v>
      </c>
      <c r="O989" t="s">
        <v>74</v>
      </c>
      <c r="P989" t="s">
        <v>74</v>
      </c>
      <c r="Q989" t="s">
        <v>74</v>
      </c>
      <c r="R989" t="s">
        <v>74</v>
      </c>
      <c r="S989" t="s">
        <v>74</v>
      </c>
      <c r="T989" t="s">
        <v>19295</v>
      </c>
      <c r="U989" t="s">
        <v>19296</v>
      </c>
      <c r="V989" t="s">
        <v>19297</v>
      </c>
      <c r="W989" t="s">
        <v>19298</v>
      </c>
      <c r="X989" t="s">
        <v>19299</v>
      </c>
      <c r="Y989" t="s">
        <v>19300</v>
      </c>
      <c r="Z989" t="s">
        <v>19301</v>
      </c>
      <c r="AA989" t="s">
        <v>74</v>
      </c>
      <c r="AB989" t="s">
        <v>19302</v>
      </c>
      <c r="AC989" t="s">
        <v>19303</v>
      </c>
      <c r="AD989" t="s">
        <v>19304</v>
      </c>
      <c r="AE989" t="s">
        <v>19305</v>
      </c>
      <c r="AF989" t="s">
        <v>74</v>
      </c>
      <c r="AG989">
        <v>105</v>
      </c>
      <c r="AH989">
        <v>23</v>
      </c>
      <c r="AI989">
        <v>29</v>
      </c>
      <c r="AJ989">
        <v>9</v>
      </c>
      <c r="AK989">
        <v>57</v>
      </c>
      <c r="AL989" t="s">
        <v>1522</v>
      </c>
      <c r="AM989" t="s">
        <v>1407</v>
      </c>
      <c r="AN989" t="s">
        <v>1523</v>
      </c>
      <c r="AO989" t="s">
        <v>1618</v>
      </c>
      <c r="AP989" t="s">
        <v>1619</v>
      </c>
      <c r="AQ989" t="s">
        <v>74</v>
      </c>
      <c r="AR989" t="s">
        <v>1620</v>
      </c>
      <c r="AS989" t="s">
        <v>1621</v>
      </c>
      <c r="AT989" t="s">
        <v>894</v>
      </c>
      <c r="AU989">
        <v>2020</v>
      </c>
      <c r="AV989">
        <v>162</v>
      </c>
      <c r="AW989" t="s">
        <v>74</v>
      </c>
      <c r="AX989" t="s">
        <v>74</v>
      </c>
      <c r="AY989" t="s">
        <v>74</v>
      </c>
      <c r="AZ989" t="s">
        <v>74</v>
      </c>
      <c r="BA989" t="s">
        <v>74</v>
      </c>
      <c r="BB989" t="s">
        <v>74</v>
      </c>
      <c r="BC989" t="s">
        <v>74</v>
      </c>
      <c r="BD989">
        <v>103324</v>
      </c>
      <c r="BE989" t="s">
        <v>19306</v>
      </c>
      <c r="BF989" t="str">
        <f>HYPERLINK("http://dx.doi.org/10.1016/j.dsr.2020.103324","http://dx.doi.org/10.1016/j.dsr.2020.103324")</f>
        <v>http://dx.doi.org/10.1016/j.dsr.2020.103324</v>
      </c>
      <c r="BG989" t="s">
        <v>74</v>
      </c>
      <c r="BH989" t="s">
        <v>74</v>
      </c>
      <c r="BI989">
        <v>15</v>
      </c>
      <c r="BJ989" t="s">
        <v>1283</v>
      </c>
      <c r="BK989" t="s">
        <v>100</v>
      </c>
      <c r="BL989" t="s">
        <v>1283</v>
      </c>
      <c r="BM989" t="s">
        <v>19307</v>
      </c>
      <c r="BN989" t="s">
        <v>74</v>
      </c>
      <c r="BO989" t="s">
        <v>1259</v>
      </c>
      <c r="BP989" t="s">
        <v>74</v>
      </c>
      <c r="BQ989" t="s">
        <v>74</v>
      </c>
      <c r="BR989" t="s">
        <v>104</v>
      </c>
      <c r="BS989" t="s">
        <v>19308</v>
      </c>
      <c r="BT989" t="str">
        <f>HYPERLINK("https%3A%2F%2Fwww.webofscience.com%2Fwos%2Fwoscc%2Ffull-record%2FWOS:000551473200009","View Full Record in Web of Science")</f>
        <v>View Full Record in Web of Science</v>
      </c>
    </row>
    <row r="990" spans="1:72" x14ac:dyDescent="0.15">
      <c r="A990" t="s">
        <v>72</v>
      </c>
      <c r="B990" t="s">
        <v>19309</v>
      </c>
      <c r="C990" t="s">
        <v>74</v>
      </c>
      <c r="D990" t="s">
        <v>74</v>
      </c>
      <c r="E990" t="s">
        <v>74</v>
      </c>
      <c r="F990" t="s">
        <v>19310</v>
      </c>
      <c r="G990" t="s">
        <v>74</v>
      </c>
      <c r="H990" t="s">
        <v>74</v>
      </c>
      <c r="I990" t="s">
        <v>19311</v>
      </c>
      <c r="J990" t="s">
        <v>1605</v>
      </c>
      <c r="K990" t="s">
        <v>74</v>
      </c>
      <c r="L990" t="s">
        <v>74</v>
      </c>
      <c r="M990" t="s">
        <v>78</v>
      </c>
      <c r="N990" t="s">
        <v>79</v>
      </c>
      <c r="O990" t="s">
        <v>74</v>
      </c>
      <c r="P990" t="s">
        <v>74</v>
      </c>
      <c r="Q990" t="s">
        <v>74</v>
      </c>
      <c r="R990" t="s">
        <v>74</v>
      </c>
      <c r="S990" t="s">
        <v>74</v>
      </c>
      <c r="T990" t="s">
        <v>19312</v>
      </c>
      <c r="U990" t="s">
        <v>19313</v>
      </c>
      <c r="V990" t="s">
        <v>19314</v>
      </c>
      <c r="W990" t="s">
        <v>19315</v>
      </c>
      <c r="X990" t="s">
        <v>19316</v>
      </c>
      <c r="Y990" t="s">
        <v>19317</v>
      </c>
      <c r="Z990" t="s">
        <v>19318</v>
      </c>
      <c r="AA990" t="s">
        <v>74</v>
      </c>
      <c r="AB990" t="s">
        <v>74</v>
      </c>
      <c r="AC990" t="s">
        <v>19319</v>
      </c>
      <c r="AD990" t="s">
        <v>19320</v>
      </c>
      <c r="AE990" t="s">
        <v>19321</v>
      </c>
      <c r="AF990" t="s">
        <v>74</v>
      </c>
      <c r="AG990">
        <v>27</v>
      </c>
      <c r="AH990">
        <v>7</v>
      </c>
      <c r="AI990">
        <v>7</v>
      </c>
      <c r="AJ990">
        <v>1</v>
      </c>
      <c r="AK990">
        <v>4</v>
      </c>
      <c r="AL990" t="s">
        <v>1522</v>
      </c>
      <c r="AM990" t="s">
        <v>1407</v>
      </c>
      <c r="AN990" t="s">
        <v>1523</v>
      </c>
      <c r="AO990" t="s">
        <v>1618</v>
      </c>
      <c r="AP990" t="s">
        <v>1619</v>
      </c>
      <c r="AQ990" t="s">
        <v>74</v>
      </c>
      <c r="AR990" t="s">
        <v>1620</v>
      </c>
      <c r="AS990" t="s">
        <v>1621</v>
      </c>
      <c r="AT990" t="s">
        <v>894</v>
      </c>
      <c r="AU990">
        <v>2020</v>
      </c>
      <c r="AV990">
        <v>162</v>
      </c>
      <c r="AW990" t="s">
        <v>74</v>
      </c>
      <c r="AX990" t="s">
        <v>74</v>
      </c>
      <c r="AY990" t="s">
        <v>74</v>
      </c>
      <c r="AZ990" t="s">
        <v>74</v>
      </c>
      <c r="BA990" t="s">
        <v>74</v>
      </c>
      <c r="BB990" t="s">
        <v>74</v>
      </c>
      <c r="BC990" t="s">
        <v>74</v>
      </c>
      <c r="BD990">
        <v>103306</v>
      </c>
      <c r="BE990" t="s">
        <v>19322</v>
      </c>
      <c r="BF990" t="str">
        <f>HYPERLINK("http://dx.doi.org/10.1016/j.dsr.2020.103306","http://dx.doi.org/10.1016/j.dsr.2020.103306")</f>
        <v>http://dx.doi.org/10.1016/j.dsr.2020.103306</v>
      </c>
      <c r="BG990" t="s">
        <v>74</v>
      </c>
      <c r="BH990" t="s">
        <v>74</v>
      </c>
      <c r="BI990">
        <v>5</v>
      </c>
      <c r="BJ990" t="s">
        <v>1283</v>
      </c>
      <c r="BK990" t="s">
        <v>100</v>
      </c>
      <c r="BL990" t="s">
        <v>1283</v>
      </c>
      <c r="BM990" t="s">
        <v>19307</v>
      </c>
      <c r="BN990" t="s">
        <v>74</v>
      </c>
      <c r="BO990" t="s">
        <v>1188</v>
      </c>
      <c r="BP990" t="s">
        <v>74</v>
      </c>
      <c r="BQ990" t="s">
        <v>74</v>
      </c>
      <c r="BR990" t="s">
        <v>104</v>
      </c>
      <c r="BS990" t="s">
        <v>19323</v>
      </c>
      <c r="BT990" t="str">
        <f>HYPERLINK("https%3A%2F%2Fwww.webofscience.com%2Fwos%2Fwoscc%2Ffull-record%2FWOS:000551473200004","View Full Record in Web of Science")</f>
        <v>View Full Record in Web of Science</v>
      </c>
    </row>
    <row r="991" spans="1:72" x14ac:dyDescent="0.15">
      <c r="A991" t="s">
        <v>72</v>
      </c>
      <c r="B991" t="s">
        <v>19324</v>
      </c>
      <c r="C991" t="s">
        <v>74</v>
      </c>
      <c r="D991" t="s">
        <v>74</v>
      </c>
      <c r="E991" t="s">
        <v>74</v>
      </c>
      <c r="F991" t="s">
        <v>19325</v>
      </c>
      <c r="G991" t="s">
        <v>74</v>
      </c>
      <c r="H991" t="s">
        <v>74</v>
      </c>
      <c r="I991" t="s">
        <v>19326</v>
      </c>
      <c r="J991" t="s">
        <v>1605</v>
      </c>
      <c r="K991" t="s">
        <v>74</v>
      </c>
      <c r="L991" t="s">
        <v>74</v>
      </c>
      <c r="M991" t="s">
        <v>78</v>
      </c>
      <c r="N991" t="s">
        <v>79</v>
      </c>
      <c r="O991" t="s">
        <v>74</v>
      </c>
      <c r="P991" t="s">
        <v>74</v>
      </c>
      <c r="Q991" t="s">
        <v>74</v>
      </c>
      <c r="R991" t="s">
        <v>74</v>
      </c>
      <c r="S991" t="s">
        <v>74</v>
      </c>
      <c r="T991" t="s">
        <v>19327</v>
      </c>
      <c r="U991" t="s">
        <v>19328</v>
      </c>
      <c r="V991" t="s">
        <v>19329</v>
      </c>
      <c r="W991" t="s">
        <v>19330</v>
      </c>
      <c r="X991" t="s">
        <v>19331</v>
      </c>
      <c r="Y991" t="s">
        <v>19332</v>
      </c>
      <c r="Z991" t="s">
        <v>19333</v>
      </c>
      <c r="AA991" t="s">
        <v>74</v>
      </c>
      <c r="AB991" t="s">
        <v>19334</v>
      </c>
      <c r="AC991" t="s">
        <v>19335</v>
      </c>
      <c r="AD991" t="s">
        <v>19336</v>
      </c>
      <c r="AE991" t="s">
        <v>19337</v>
      </c>
      <c r="AF991" t="s">
        <v>74</v>
      </c>
      <c r="AG991">
        <v>129</v>
      </c>
      <c r="AH991">
        <v>27</v>
      </c>
      <c r="AI991">
        <v>30</v>
      </c>
      <c r="AJ991">
        <v>2</v>
      </c>
      <c r="AK991">
        <v>26</v>
      </c>
      <c r="AL991" t="s">
        <v>1522</v>
      </c>
      <c r="AM991" t="s">
        <v>1407</v>
      </c>
      <c r="AN991" t="s">
        <v>1523</v>
      </c>
      <c r="AO991" t="s">
        <v>1618</v>
      </c>
      <c r="AP991" t="s">
        <v>1619</v>
      </c>
      <c r="AQ991" t="s">
        <v>74</v>
      </c>
      <c r="AR991" t="s">
        <v>1620</v>
      </c>
      <c r="AS991" t="s">
        <v>1621</v>
      </c>
      <c r="AT991" t="s">
        <v>894</v>
      </c>
      <c r="AU991">
        <v>2020</v>
      </c>
      <c r="AV991">
        <v>162</v>
      </c>
      <c r="AW991" t="s">
        <v>74</v>
      </c>
      <c r="AX991" t="s">
        <v>74</v>
      </c>
      <c r="AY991" t="s">
        <v>74</v>
      </c>
      <c r="AZ991" t="s">
        <v>74</v>
      </c>
      <c r="BA991" t="s">
        <v>74</v>
      </c>
      <c r="BB991" t="s">
        <v>74</v>
      </c>
      <c r="BC991" t="s">
        <v>74</v>
      </c>
      <c r="BD991">
        <v>103303</v>
      </c>
      <c r="BE991" t="s">
        <v>19338</v>
      </c>
      <c r="BF991" t="str">
        <f>HYPERLINK("http://dx.doi.org/10.1016/j.dsr.2020.103303","http://dx.doi.org/10.1016/j.dsr.2020.103303")</f>
        <v>http://dx.doi.org/10.1016/j.dsr.2020.103303</v>
      </c>
      <c r="BG991" t="s">
        <v>74</v>
      </c>
      <c r="BH991" t="s">
        <v>74</v>
      </c>
      <c r="BI991">
        <v>18</v>
      </c>
      <c r="BJ991" t="s">
        <v>1283</v>
      </c>
      <c r="BK991" t="s">
        <v>100</v>
      </c>
      <c r="BL991" t="s">
        <v>1283</v>
      </c>
      <c r="BM991" t="s">
        <v>19307</v>
      </c>
      <c r="BN991" t="s">
        <v>74</v>
      </c>
      <c r="BO991" t="s">
        <v>1188</v>
      </c>
      <c r="BP991" t="s">
        <v>74</v>
      </c>
      <c r="BQ991" t="s">
        <v>74</v>
      </c>
      <c r="BR991" t="s">
        <v>104</v>
      </c>
      <c r="BS991" t="s">
        <v>19339</v>
      </c>
      <c r="BT991" t="str">
        <f>HYPERLINK("https%3A%2F%2Fwww.webofscience.com%2Fwos%2Fwoscc%2Ffull-record%2FWOS:000551473200002","View Full Record in Web of Science")</f>
        <v>View Full Record in Web of Science</v>
      </c>
    </row>
    <row r="992" spans="1:72" x14ac:dyDescent="0.15">
      <c r="A992" t="s">
        <v>72</v>
      </c>
      <c r="B992" t="s">
        <v>19340</v>
      </c>
      <c r="C992" t="s">
        <v>74</v>
      </c>
      <c r="D992" t="s">
        <v>74</v>
      </c>
      <c r="E992" t="s">
        <v>74</v>
      </c>
      <c r="F992" t="s">
        <v>19341</v>
      </c>
      <c r="G992" t="s">
        <v>74</v>
      </c>
      <c r="H992" t="s">
        <v>74</v>
      </c>
      <c r="I992" t="s">
        <v>19342</v>
      </c>
      <c r="J992" t="s">
        <v>8397</v>
      </c>
      <c r="K992" t="s">
        <v>74</v>
      </c>
      <c r="L992" t="s">
        <v>74</v>
      </c>
      <c r="M992" t="s">
        <v>78</v>
      </c>
      <c r="N992" t="s">
        <v>79</v>
      </c>
      <c r="O992" t="s">
        <v>74</v>
      </c>
      <c r="P992" t="s">
        <v>74</v>
      </c>
      <c r="Q992" t="s">
        <v>74</v>
      </c>
      <c r="R992" t="s">
        <v>74</v>
      </c>
      <c r="S992" t="s">
        <v>74</v>
      </c>
      <c r="T992" t="s">
        <v>19343</v>
      </c>
      <c r="U992" t="s">
        <v>19344</v>
      </c>
      <c r="V992" t="s">
        <v>19345</v>
      </c>
      <c r="W992" t="s">
        <v>19346</v>
      </c>
      <c r="X992" t="s">
        <v>19347</v>
      </c>
      <c r="Y992" t="s">
        <v>19348</v>
      </c>
      <c r="Z992" t="s">
        <v>452</v>
      </c>
      <c r="AA992" t="s">
        <v>19349</v>
      </c>
      <c r="AB992" t="s">
        <v>19350</v>
      </c>
      <c r="AC992" t="s">
        <v>19351</v>
      </c>
      <c r="AD992" t="s">
        <v>19352</v>
      </c>
      <c r="AE992" t="s">
        <v>19353</v>
      </c>
      <c r="AF992" t="s">
        <v>74</v>
      </c>
      <c r="AG992">
        <v>35</v>
      </c>
      <c r="AH992">
        <v>2</v>
      </c>
      <c r="AI992">
        <v>2</v>
      </c>
      <c r="AJ992">
        <v>0</v>
      </c>
      <c r="AK992">
        <v>6</v>
      </c>
      <c r="AL992" t="s">
        <v>3145</v>
      </c>
      <c r="AM992" t="s">
        <v>483</v>
      </c>
      <c r="AN992" t="s">
        <v>3146</v>
      </c>
      <c r="AO992" t="s">
        <v>8409</v>
      </c>
      <c r="AP992" t="s">
        <v>8410</v>
      </c>
      <c r="AQ992" t="s">
        <v>74</v>
      </c>
      <c r="AR992" t="s">
        <v>8411</v>
      </c>
      <c r="AS992" t="s">
        <v>8412</v>
      </c>
      <c r="AT992" t="s">
        <v>894</v>
      </c>
      <c r="AU992">
        <v>2020</v>
      </c>
      <c r="AV992">
        <v>32</v>
      </c>
      <c r="AW992">
        <v>4</v>
      </c>
      <c r="AX992" t="s">
        <v>74</v>
      </c>
      <c r="AY992" t="s">
        <v>74</v>
      </c>
      <c r="AZ992" t="s">
        <v>74</v>
      </c>
      <c r="BA992" t="s">
        <v>74</v>
      </c>
      <c r="BB992">
        <v>239</v>
      </c>
      <c r="BC992">
        <v>247</v>
      </c>
      <c r="BD992" t="s">
        <v>19354</v>
      </c>
      <c r="BE992" t="s">
        <v>19355</v>
      </c>
      <c r="BF992" t="str">
        <f>HYPERLINK("http://dx.doi.org/10.1017/S0954102020000140","http://dx.doi.org/10.1017/S0954102020000140")</f>
        <v>http://dx.doi.org/10.1017/S0954102020000140</v>
      </c>
      <c r="BG992" t="s">
        <v>74</v>
      </c>
      <c r="BH992" t="s">
        <v>74</v>
      </c>
      <c r="BI992">
        <v>9</v>
      </c>
      <c r="BJ992" t="s">
        <v>8415</v>
      </c>
      <c r="BK992" t="s">
        <v>100</v>
      </c>
      <c r="BL992" t="s">
        <v>8416</v>
      </c>
      <c r="BM992" t="s">
        <v>19356</v>
      </c>
      <c r="BN992" t="s">
        <v>74</v>
      </c>
      <c r="BO992" t="s">
        <v>13757</v>
      </c>
      <c r="BP992" t="s">
        <v>74</v>
      </c>
      <c r="BQ992" t="s">
        <v>74</v>
      </c>
      <c r="BR992" t="s">
        <v>104</v>
      </c>
      <c r="BS992" t="s">
        <v>19357</v>
      </c>
      <c r="BT992" t="str">
        <f>HYPERLINK("https%3A%2F%2Fwww.webofscience.com%2Fwos%2Fwoscc%2Ffull-record%2FWOS:000550781300001","View Full Record in Web of Science")</f>
        <v>View Full Record in Web of Science</v>
      </c>
    </row>
    <row r="993" spans="1:72" x14ac:dyDescent="0.15">
      <c r="A993" t="s">
        <v>72</v>
      </c>
      <c r="B993" t="s">
        <v>19358</v>
      </c>
      <c r="C993" t="s">
        <v>74</v>
      </c>
      <c r="D993" t="s">
        <v>74</v>
      </c>
      <c r="E993" t="s">
        <v>74</v>
      </c>
      <c r="F993" t="s">
        <v>19359</v>
      </c>
      <c r="G993" t="s">
        <v>74</v>
      </c>
      <c r="H993" t="s">
        <v>74</v>
      </c>
      <c r="I993" t="s">
        <v>19360</v>
      </c>
      <c r="J993" t="s">
        <v>8397</v>
      </c>
      <c r="K993" t="s">
        <v>74</v>
      </c>
      <c r="L993" t="s">
        <v>74</v>
      </c>
      <c r="M993" t="s">
        <v>78</v>
      </c>
      <c r="N993" t="s">
        <v>79</v>
      </c>
      <c r="O993" t="s">
        <v>74</v>
      </c>
      <c r="P993" t="s">
        <v>74</v>
      </c>
      <c r="Q993" t="s">
        <v>74</v>
      </c>
      <c r="R993" t="s">
        <v>74</v>
      </c>
      <c r="S993" t="s">
        <v>74</v>
      </c>
      <c r="T993" t="s">
        <v>19361</v>
      </c>
      <c r="U993" t="s">
        <v>19362</v>
      </c>
      <c r="V993" t="s">
        <v>19363</v>
      </c>
      <c r="W993" t="s">
        <v>19364</v>
      </c>
      <c r="X993" t="s">
        <v>574</v>
      </c>
      <c r="Y993" t="s">
        <v>19365</v>
      </c>
      <c r="Z993" t="s">
        <v>5493</v>
      </c>
      <c r="AA993" t="s">
        <v>5494</v>
      </c>
      <c r="AB993" t="s">
        <v>5495</v>
      </c>
      <c r="AC993" t="s">
        <v>19366</v>
      </c>
      <c r="AD993" t="s">
        <v>19367</v>
      </c>
      <c r="AE993" t="s">
        <v>19368</v>
      </c>
      <c r="AF993" t="s">
        <v>74</v>
      </c>
      <c r="AG993">
        <v>30</v>
      </c>
      <c r="AH993">
        <v>1</v>
      </c>
      <c r="AI993">
        <v>1</v>
      </c>
      <c r="AJ993">
        <v>0</v>
      </c>
      <c r="AK993">
        <v>1</v>
      </c>
      <c r="AL993" t="s">
        <v>3145</v>
      </c>
      <c r="AM993" t="s">
        <v>483</v>
      </c>
      <c r="AN993" t="s">
        <v>3146</v>
      </c>
      <c r="AO993" t="s">
        <v>8409</v>
      </c>
      <c r="AP993" t="s">
        <v>8410</v>
      </c>
      <c r="AQ993" t="s">
        <v>74</v>
      </c>
      <c r="AR993" t="s">
        <v>8411</v>
      </c>
      <c r="AS993" t="s">
        <v>8412</v>
      </c>
      <c r="AT993" t="s">
        <v>894</v>
      </c>
      <c r="AU993">
        <v>2020</v>
      </c>
      <c r="AV993">
        <v>32</v>
      </c>
      <c r="AW993">
        <v>4</v>
      </c>
      <c r="AX993" t="s">
        <v>74</v>
      </c>
      <c r="AY993" t="s">
        <v>74</v>
      </c>
      <c r="AZ993" t="s">
        <v>74</v>
      </c>
      <c r="BA993" t="s">
        <v>74</v>
      </c>
      <c r="BB993">
        <v>248</v>
      </c>
      <c r="BC993">
        <v>254</v>
      </c>
      <c r="BD993" t="s">
        <v>19369</v>
      </c>
      <c r="BE993" t="s">
        <v>19370</v>
      </c>
      <c r="BF993" t="str">
        <f>HYPERLINK("http://dx.doi.org/10.1017/S095410202000019X","http://dx.doi.org/10.1017/S095410202000019X")</f>
        <v>http://dx.doi.org/10.1017/S095410202000019X</v>
      </c>
      <c r="BG993" t="s">
        <v>74</v>
      </c>
      <c r="BH993" t="s">
        <v>74</v>
      </c>
      <c r="BI993">
        <v>7</v>
      </c>
      <c r="BJ993" t="s">
        <v>8415</v>
      </c>
      <c r="BK993" t="s">
        <v>100</v>
      </c>
      <c r="BL993" t="s">
        <v>8416</v>
      </c>
      <c r="BM993" t="s">
        <v>19356</v>
      </c>
      <c r="BN993" t="s">
        <v>74</v>
      </c>
      <c r="BO993" t="s">
        <v>74</v>
      </c>
      <c r="BP993" t="s">
        <v>74</v>
      </c>
      <c r="BQ993" t="s">
        <v>74</v>
      </c>
      <c r="BR993" t="s">
        <v>104</v>
      </c>
      <c r="BS993" t="s">
        <v>19371</v>
      </c>
      <c r="BT993" t="str">
        <f>HYPERLINK("https%3A%2F%2Fwww.webofscience.com%2Fwos%2Fwoscc%2Ffull-record%2FWOS:000550781300002","View Full Record in Web of Science")</f>
        <v>View Full Record in Web of Science</v>
      </c>
    </row>
    <row r="994" spans="1:72" x14ac:dyDescent="0.15">
      <c r="A994" t="s">
        <v>72</v>
      </c>
      <c r="B994" t="s">
        <v>19372</v>
      </c>
      <c r="C994" t="s">
        <v>74</v>
      </c>
      <c r="D994" t="s">
        <v>74</v>
      </c>
      <c r="E994" t="s">
        <v>74</v>
      </c>
      <c r="F994" t="s">
        <v>19373</v>
      </c>
      <c r="G994" t="s">
        <v>74</v>
      </c>
      <c r="H994" t="s">
        <v>74</v>
      </c>
      <c r="I994" t="s">
        <v>19374</v>
      </c>
      <c r="J994" t="s">
        <v>8397</v>
      </c>
      <c r="K994" t="s">
        <v>74</v>
      </c>
      <c r="L994" t="s">
        <v>74</v>
      </c>
      <c r="M994" t="s">
        <v>78</v>
      </c>
      <c r="N994" t="s">
        <v>79</v>
      </c>
      <c r="O994" t="s">
        <v>74</v>
      </c>
      <c r="P994" t="s">
        <v>74</v>
      </c>
      <c r="Q994" t="s">
        <v>74</v>
      </c>
      <c r="R994" t="s">
        <v>74</v>
      </c>
      <c r="S994" t="s">
        <v>74</v>
      </c>
      <c r="T994" t="s">
        <v>19375</v>
      </c>
      <c r="U994" t="s">
        <v>19376</v>
      </c>
      <c r="V994" t="s">
        <v>19377</v>
      </c>
      <c r="W994" t="s">
        <v>19378</v>
      </c>
      <c r="X994" t="s">
        <v>19379</v>
      </c>
      <c r="Y994" t="s">
        <v>19380</v>
      </c>
      <c r="Z994" t="s">
        <v>19381</v>
      </c>
      <c r="AA994" t="s">
        <v>19382</v>
      </c>
      <c r="AB994" t="s">
        <v>19383</v>
      </c>
      <c r="AC994" t="s">
        <v>19384</v>
      </c>
      <c r="AD994" t="s">
        <v>19385</v>
      </c>
      <c r="AE994" t="s">
        <v>19386</v>
      </c>
      <c r="AF994" t="s">
        <v>74</v>
      </c>
      <c r="AG994">
        <v>50</v>
      </c>
      <c r="AH994">
        <v>15</v>
      </c>
      <c r="AI994">
        <v>17</v>
      </c>
      <c r="AJ994">
        <v>0</v>
      </c>
      <c r="AK994">
        <v>6</v>
      </c>
      <c r="AL994" t="s">
        <v>3145</v>
      </c>
      <c r="AM994" t="s">
        <v>483</v>
      </c>
      <c r="AN994" t="s">
        <v>3146</v>
      </c>
      <c r="AO994" t="s">
        <v>8409</v>
      </c>
      <c r="AP994" t="s">
        <v>8410</v>
      </c>
      <c r="AQ994" t="s">
        <v>74</v>
      </c>
      <c r="AR994" t="s">
        <v>8411</v>
      </c>
      <c r="AS994" t="s">
        <v>8412</v>
      </c>
      <c r="AT994" t="s">
        <v>894</v>
      </c>
      <c r="AU994">
        <v>2020</v>
      </c>
      <c r="AV994">
        <v>32</v>
      </c>
      <c r="AW994">
        <v>4</v>
      </c>
      <c r="AX994" t="s">
        <v>74</v>
      </c>
      <c r="AY994" t="s">
        <v>74</v>
      </c>
      <c r="AZ994" t="s">
        <v>74</v>
      </c>
      <c r="BA994" t="s">
        <v>74</v>
      </c>
      <c r="BB994">
        <v>255</v>
      </c>
      <c r="BC994">
        <v>270</v>
      </c>
      <c r="BD994" t="s">
        <v>19387</v>
      </c>
      <c r="BE994" t="s">
        <v>19388</v>
      </c>
      <c r="BF994" t="str">
        <f>HYPERLINK("http://dx.doi.org/10.1017/S0954102020000176","http://dx.doi.org/10.1017/S0954102020000176")</f>
        <v>http://dx.doi.org/10.1017/S0954102020000176</v>
      </c>
      <c r="BG994" t="s">
        <v>74</v>
      </c>
      <c r="BH994" t="s">
        <v>74</v>
      </c>
      <c r="BI994">
        <v>16</v>
      </c>
      <c r="BJ994" t="s">
        <v>8415</v>
      </c>
      <c r="BK994" t="s">
        <v>100</v>
      </c>
      <c r="BL994" t="s">
        <v>8416</v>
      </c>
      <c r="BM994" t="s">
        <v>19356</v>
      </c>
      <c r="BN994" t="s">
        <v>74</v>
      </c>
      <c r="BO994" t="s">
        <v>74</v>
      </c>
      <c r="BP994" t="s">
        <v>74</v>
      </c>
      <c r="BQ994" t="s">
        <v>74</v>
      </c>
      <c r="BR994" t="s">
        <v>104</v>
      </c>
      <c r="BS994" t="s">
        <v>19389</v>
      </c>
      <c r="BT994" t="str">
        <f>HYPERLINK("https%3A%2F%2Fwww.webofscience.com%2Fwos%2Fwoscc%2Ffull-record%2FWOS:000550781300003","View Full Record in Web of Science")</f>
        <v>View Full Record in Web of Science</v>
      </c>
    </row>
    <row r="995" spans="1:72" x14ac:dyDescent="0.15">
      <c r="A995" t="s">
        <v>72</v>
      </c>
      <c r="B995" t="s">
        <v>19390</v>
      </c>
      <c r="C995" t="s">
        <v>74</v>
      </c>
      <c r="D995" t="s">
        <v>74</v>
      </c>
      <c r="E995" t="s">
        <v>74</v>
      </c>
      <c r="F995" t="s">
        <v>19391</v>
      </c>
      <c r="G995" t="s">
        <v>74</v>
      </c>
      <c r="H995" t="s">
        <v>74</v>
      </c>
      <c r="I995" t="s">
        <v>19392</v>
      </c>
      <c r="J995" t="s">
        <v>8397</v>
      </c>
      <c r="K995" t="s">
        <v>74</v>
      </c>
      <c r="L995" t="s">
        <v>74</v>
      </c>
      <c r="M995" t="s">
        <v>78</v>
      </c>
      <c r="N995" t="s">
        <v>79</v>
      </c>
      <c r="O995" t="s">
        <v>74</v>
      </c>
      <c r="P995" t="s">
        <v>74</v>
      </c>
      <c r="Q995" t="s">
        <v>74</v>
      </c>
      <c r="R995" t="s">
        <v>74</v>
      </c>
      <c r="S995" t="s">
        <v>74</v>
      </c>
      <c r="T995" t="s">
        <v>74</v>
      </c>
      <c r="U995" t="s">
        <v>19393</v>
      </c>
      <c r="V995" t="s">
        <v>74</v>
      </c>
      <c r="W995" t="s">
        <v>19394</v>
      </c>
      <c r="X995" t="s">
        <v>19395</v>
      </c>
      <c r="Y995" t="s">
        <v>19396</v>
      </c>
      <c r="Z995" t="s">
        <v>19397</v>
      </c>
      <c r="AA995" t="s">
        <v>74</v>
      </c>
      <c r="AB995" t="s">
        <v>19398</v>
      </c>
      <c r="AC995" t="s">
        <v>74</v>
      </c>
      <c r="AD995" t="s">
        <v>74</v>
      </c>
      <c r="AE995" t="s">
        <v>74</v>
      </c>
      <c r="AF995" t="s">
        <v>74</v>
      </c>
      <c r="AG995">
        <v>9</v>
      </c>
      <c r="AH995">
        <v>1</v>
      </c>
      <c r="AI995">
        <v>1</v>
      </c>
      <c r="AJ995">
        <v>0</v>
      </c>
      <c r="AK995">
        <v>0</v>
      </c>
      <c r="AL995" t="s">
        <v>3145</v>
      </c>
      <c r="AM995" t="s">
        <v>483</v>
      </c>
      <c r="AN995" t="s">
        <v>3146</v>
      </c>
      <c r="AO995" t="s">
        <v>8409</v>
      </c>
      <c r="AP995" t="s">
        <v>8410</v>
      </c>
      <c r="AQ995" t="s">
        <v>74</v>
      </c>
      <c r="AR995" t="s">
        <v>8411</v>
      </c>
      <c r="AS995" t="s">
        <v>8412</v>
      </c>
      <c r="AT995" t="s">
        <v>894</v>
      </c>
      <c r="AU995">
        <v>2020</v>
      </c>
      <c r="AV995">
        <v>32</v>
      </c>
      <c r="AW995">
        <v>4</v>
      </c>
      <c r="AX995" t="s">
        <v>74</v>
      </c>
      <c r="AY995" t="s">
        <v>74</v>
      </c>
      <c r="AZ995" t="s">
        <v>74</v>
      </c>
      <c r="BA995" t="s">
        <v>74</v>
      </c>
      <c r="BB995">
        <v>271</v>
      </c>
      <c r="BC995">
        <v>272</v>
      </c>
      <c r="BD995" t="s">
        <v>19399</v>
      </c>
      <c r="BE995" t="s">
        <v>19400</v>
      </c>
      <c r="BF995" t="str">
        <f>HYPERLINK("http://dx.doi.org/10.1017/S0954102020000127","http://dx.doi.org/10.1017/S0954102020000127")</f>
        <v>http://dx.doi.org/10.1017/S0954102020000127</v>
      </c>
      <c r="BG995" t="s">
        <v>74</v>
      </c>
      <c r="BH995" t="s">
        <v>74</v>
      </c>
      <c r="BI995">
        <v>2</v>
      </c>
      <c r="BJ995" t="s">
        <v>8415</v>
      </c>
      <c r="BK995" t="s">
        <v>100</v>
      </c>
      <c r="BL995" t="s">
        <v>8416</v>
      </c>
      <c r="BM995" t="s">
        <v>19356</v>
      </c>
      <c r="BN995" t="s">
        <v>74</v>
      </c>
      <c r="BO995" t="s">
        <v>74</v>
      </c>
      <c r="BP995" t="s">
        <v>74</v>
      </c>
      <c r="BQ995" t="s">
        <v>74</v>
      </c>
      <c r="BR995" t="s">
        <v>104</v>
      </c>
      <c r="BS995" t="s">
        <v>19401</v>
      </c>
      <c r="BT995" t="str">
        <f>HYPERLINK("https%3A%2F%2Fwww.webofscience.com%2Fwos%2Fwoscc%2Ffull-record%2FWOS:000550781300004","View Full Record in Web of Science")</f>
        <v>View Full Record in Web of Science</v>
      </c>
    </row>
    <row r="996" spans="1:72" x14ac:dyDescent="0.15">
      <c r="A996" t="s">
        <v>72</v>
      </c>
      <c r="B996" t="s">
        <v>19402</v>
      </c>
      <c r="C996" t="s">
        <v>74</v>
      </c>
      <c r="D996" t="s">
        <v>74</v>
      </c>
      <c r="E996" t="s">
        <v>74</v>
      </c>
      <c r="F996" t="s">
        <v>19403</v>
      </c>
      <c r="G996" t="s">
        <v>74</v>
      </c>
      <c r="H996" t="s">
        <v>74</v>
      </c>
      <c r="I996" t="s">
        <v>19404</v>
      </c>
      <c r="J996" t="s">
        <v>8397</v>
      </c>
      <c r="K996" t="s">
        <v>74</v>
      </c>
      <c r="L996" t="s">
        <v>74</v>
      </c>
      <c r="M996" t="s">
        <v>78</v>
      </c>
      <c r="N996" t="s">
        <v>79</v>
      </c>
      <c r="O996" t="s">
        <v>74</v>
      </c>
      <c r="P996" t="s">
        <v>74</v>
      </c>
      <c r="Q996" t="s">
        <v>74</v>
      </c>
      <c r="R996" t="s">
        <v>74</v>
      </c>
      <c r="S996" t="s">
        <v>74</v>
      </c>
      <c r="T996" t="s">
        <v>19405</v>
      </c>
      <c r="U996" t="s">
        <v>19406</v>
      </c>
      <c r="V996" t="s">
        <v>19407</v>
      </c>
      <c r="W996" t="s">
        <v>19408</v>
      </c>
      <c r="X996" t="s">
        <v>19409</v>
      </c>
      <c r="Y996" t="s">
        <v>19410</v>
      </c>
      <c r="Z996" t="s">
        <v>19411</v>
      </c>
      <c r="AA996" t="s">
        <v>19412</v>
      </c>
      <c r="AB996" t="s">
        <v>19413</v>
      </c>
      <c r="AC996" t="s">
        <v>19414</v>
      </c>
      <c r="AD996" t="s">
        <v>74</v>
      </c>
      <c r="AE996" t="s">
        <v>19415</v>
      </c>
      <c r="AF996" t="s">
        <v>74</v>
      </c>
      <c r="AG996">
        <v>40</v>
      </c>
      <c r="AH996">
        <v>2</v>
      </c>
      <c r="AI996">
        <v>4</v>
      </c>
      <c r="AJ996">
        <v>0</v>
      </c>
      <c r="AK996">
        <v>14</v>
      </c>
      <c r="AL996" t="s">
        <v>3145</v>
      </c>
      <c r="AM996" t="s">
        <v>483</v>
      </c>
      <c r="AN996" t="s">
        <v>3146</v>
      </c>
      <c r="AO996" t="s">
        <v>8409</v>
      </c>
      <c r="AP996" t="s">
        <v>8410</v>
      </c>
      <c r="AQ996" t="s">
        <v>74</v>
      </c>
      <c r="AR996" t="s">
        <v>8411</v>
      </c>
      <c r="AS996" t="s">
        <v>8412</v>
      </c>
      <c r="AT996" t="s">
        <v>894</v>
      </c>
      <c r="AU996">
        <v>2020</v>
      </c>
      <c r="AV996">
        <v>32</v>
      </c>
      <c r="AW996">
        <v>4</v>
      </c>
      <c r="AX996" t="s">
        <v>74</v>
      </c>
      <c r="AY996" t="s">
        <v>74</v>
      </c>
      <c r="AZ996" t="s">
        <v>74</v>
      </c>
      <c r="BA996" t="s">
        <v>74</v>
      </c>
      <c r="BB996">
        <v>273</v>
      </c>
      <c r="BC996">
        <v>287</v>
      </c>
      <c r="BD996" t="s">
        <v>19416</v>
      </c>
      <c r="BE996" t="s">
        <v>19417</v>
      </c>
      <c r="BF996" t="str">
        <f>HYPERLINK("http://dx.doi.org/10.1017/S0954102020000139","http://dx.doi.org/10.1017/S0954102020000139")</f>
        <v>http://dx.doi.org/10.1017/S0954102020000139</v>
      </c>
      <c r="BG996" t="s">
        <v>74</v>
      </c>
      <c r="BH996" t="s">
        <v>74</v>
      </c>
      <c r="BI996">
        <v>15</v>
      </c>
      <c r="BJ996" t="s">
        <v>8415</v>
      </c>
      <c r="BK996" t="s">
        <v>100</v>
      </c>
      <c r="BL996" t="s">
        <v>8416</v>
      </c>
      <c r="BM996" t="s">
        <v>19356</v>
      </c>
      <c r="BN996" t="s">
        <v>74</v>
      </c>
      <c r="BO996" t="s">
        <v>1233</v>
      </c>
      <c r="BP996" t="s">
        <v>74</v>
      </c>
      <c r="BQ996" t="s">
        <v>74</v>
      </c>
      <c r="BR996" t="s">
        <v>104</v>
      </c>
      <c r="BS996" t="s">
        <v>19418</v>
      </c>
      <c r="BT996" t="str">
        <f>HYPERLINK("https%3A%2F%2Fwww.webofscience.com%2Fwos%2Fwoscc%2Ffull-record%2FWOS:000550781300005","View Full Record in Web of Science")</f>
        <v>View Full Record in Web of Science</v>
      </c>
    </row>
    <row r="997" spans="1:72" x14ac:dyDescent="0.15">
      <c r="A997" t="s">
        <v>72</v>
      </c>
      <c r="B997" t="s">
        <v>19419</v>
      </c>
      <c r="C997" t="s">
        <v>74</v>
      </c>
      <c r="D997" t="s">
        <v>74</v>
      </c>
      <c r="E997" t="s">
        <v>74</v>
      </c>
      <c r="F997" t="s">
        <v>19420</v>
      </c>
      <c r="G997" t="s">
        <v>74</v>
      </c>
      <c r="H997" t="s">
        <v>74</v>
      </c>
      <c r="I997" t="s">
        <v>19421</v>
      </c>
      <c r="J997" t="s">
        <v>8397</v>
      </c>
      <c r="K997" t="s">
        <v>74</v>
      </c>
      <c r="L997" t="s">
        <v>74</v>
      </c>
      <c r="M997" t="s">
        <v>78</v>
      </c>
      <c r="N997" t="s">
        <v>79</v>
      </c>
      <c r="O997" t="s">
        <v>74</v>
      </c>
      <c r="P997" t="s">
        <v>74</v>
      </c>
      <c r="Q997" t="s">
        <v>74</v>
      </c>
      <c r="R997" t="s">
        <v>74</v>
      </c>
      <c r="S997" t="s">
        <v>74</v>
      </c>
      <c r="T997" t="s">
        <v>19422</v>
      </c>
      <c r="U997" t="s">
        <v>19423</v>
      </c>
      <c r="V997" t="s">
        <v>19424</v>
      </c>
      <c r="W997" t="s">
        <v>19425</v>
      </c>
      <c r="X997" t="s">
        <v>19426</v>
      </c>
      <c r="Y997" t="s">
        <v>19427</v>
      </c>
      <c r="Z997" t="s">
        <v>19428</v>
      </c>
      <c r="AA997" t="s">
        <v>19429</v>
      </c>
      <c r="AB997" t="s">
        <v>19430</v>
      </c>
      <c r="AC997" t="s">
        <v>19431</v>
      </c>
      <c r="AD997" t="s">
        <v>19432</v>
      </c>
      <c r="AE997" t="s">
        <v>19433</v>
      </c>
      <c r="AF997" t="s">
        <v>74</v>
      </c>
      <c r="AG997">
        <v>50</v>
      </c>
      <c r="AH997">
        <v>7</v>
      </c>
      <c r="AI997">
        <v>8</v>
      </c>
      <c r="AJ997">
        <v>0</v>
      </c>
      <c r="AK997">
        <v>4</v>
      </c>
      <c r="AL997" t="s">
        <v>3145</v>
      </c>
      <c r="AM997" t="s">
        <v>483</v>
      </c>
      <c r="AN997" t="s">
        <v>3146</v>
      </c>
      <c r="AO997" t="s">
        <v>8409</v>
      </c>
      <c r="AP997" t="s">
        <v>8410</v>
      </c>
      <c r="AQ997" t="s">
        <v>74</v>
      </c>
      <c r="AR997" t="s">
        <v>8411</v>
      </c>
      <c r="AS997" t="s">
        <v>8412</v>
      </c>
      <c r="AT997" t="s">
        <v>894</v>
      </c>
      <c r="AU997">
        <v>2020</v>
      </c>
      <c r="AV997">
        <v>32</v>
      </c>
      <c r="AW997">
        <v>4</v>
      </c>
      <c r="AX997" t="s">
        <v>74</v>
      </c>
      <c r="AY997" t="s">
        <v>74</v>
      </c>
      <c r="AZ997" t="s">
        <v>74</v>
      </c>
      <c r="BA997" t="s">
        <v>74</v>
      </c>
      <c r="BB997">
        <v>288</v>
      </c>
      <c r="BC997">
        <v>300</v>
      </c>
      <c r="BD997" t="s">
        <v>19434</v>
      </c>
      <c r="BE997" t="s">
        <v>19435</v>
      </c>
      <c r="BF997" t="str">
        <f>HYPERLINK("http://dx.doi.org/10.1017/S0954102020000188","http://dx.doi.org/10.1017/S0954102020000188")</f>
        <v>http://dx.doi.org/10.1017/S0954102020000188</v>
      </c>
      <c r="BG997" t="s">
        <v>74</v>
      </c>
      <c r="BH997" t="s">
        <v>74</v>
      </c>
      <c r="BI997">
        <v>13</v>
      </c>
      <c r="BJ997" t="s">
        <v>8415</v>
      </c>
      <c r="BK997" t="s">
        <v>100</v>
      </c>
      <c r="BL997" t="s">
        <v>8416</v>
      </c>
      <c r="BM997" t="s">
        <v>19356</v>
      </c>
      <c r="BN997" t="s">
        <v>74</v>
      </c>
      <c r="BO997" t="s">
        <v>74</v>
      </c>
      <c r="BP997" t="s">
        <v>74</v>
      </c>
      <c r="BQ997" t="s">
        <v>74</v>
      </c>
      <c r="BR997" t="s">
        <v>104</v>
      </c>
      <c r="BS997" t="s">
        <v>19436</v>
      </c>
      <c r="BT997" t="str">
        <f>HYPERLINK("https%3A%2F%2Fwww.webofscience.com%2Fwos%2Fwoscc%2Ffull-record%2FWOS:000550781300006","View Full Record in Web of Science")</f>
        <v>View Full Record in Web of Science</v>
      </c>
    </row>
    <row r="998" spans="1:72" x14ac:dyDescent="0.15">
      <c r="A998" t="s">
        <v>72</v>
      </c>
      <c r="B998" t="s">
        <v>19437</v>
      </c>
      <c r="C998" t="s">
        <v>74</v>
      </c>
      <c r="D998" t="s">
        <v>74</v>
      </c>
      <c r="E998" t="s">
        <v>74</v>
      </c>
      <c r="F998" t="s">
        <v>19438</v>
      </c>
      <c r="G998" t="s">
        <v>74</v>
      </c>
      <c r="H998" t="s">
        <v>74</v>
      </c>
      <c r="I998" t="s">
        <v>19439</v>
      </c>
      <c r="J998" t="s">
        <v>8397</v>
      </c>
      <c r="K998" t="s">
        <v>74</v>
      </c>
      <c r="L998" t="s">
        <v>74</v>
      </c>
      <c r="M998" t="s">
        <v>78</v>
      </c>
      <c r="N998" t="s">
        <v>79</v>
      </c>
      <c r="O998" t="s">
        <v>74</v>
      </c>
      <c r="P998" t="s">
        <v>74</v>
      </c>
      <c r="Q998" t="s">
        <v>74</v>
      </c>
      <c r="R998" t="s">
        <v>74</v>
      </c>
      <c r="S998" t="s">
        <v>74</v>
      </c>
      <c r="T998" t="s">
        <v>19440</v>
      </c>
      <c r="U998" t="s">
        <v>19441</v>
      </c>
      <c r="V998" t="s">
        <v>19442</v>
      </c>
      <c r="W998" t="s">
        <v>19443</v>
      </c>
      <c r="X998" t="s">
        <v>19444</v>
      </c>
      <c r="Y998" t="s">
        <v>19445</v>
      </c>
      <c r="Z998" t="s">
        <v>19446</v>
      </c>
      <c r="AA998" t="s">
        <v>19447</v>
      </c>
      <c r="AB998" t="s">
        <v>19448</v>
      </c>
      <c r="AC998" t="s">
        <v>19449</v>
      </c>
      <c r="AD998" t="s">
        <v>19450</v>
      </c>
      <c r="AE998" t="s">
        <v>19451</v>
      </c>
      <c r="AF998" t="s">
        <v>74</v>
      </c>
      <c r="AG998">
        <v>40</v>
      </c>
      <c r="AH998">
        <v>5</v>
      </c>
      <c r="AI998">
        <v>5</v>
      </c>
      <c r="AJ998">
        <v>0</v>
      </c>
      <c r="AK998">
        <v>5</v>
      </c>
      <c r="AL998" t="s">
        <v>3145</v>
      </c>
      <c r="AM998" t="s">
        <v>483</v>
      </c>
      <c r="AN998" t="s">
        <v>3146</v>
      </c>
      <c r="AO998" t="s">
        <v>8409</v>
      </c>
      <c r="AP998" t="s">
        <v>8410</v>
      </c>
      <c r="AQ998" t="s">
        <v>74</v>
      </c>
      <c r="AR998" t="s">
        <v>8411</v>
      </c>
      <c r="AS998" t="s">
        <v>8412</v>
      </c>
      <c r="AT998" t="s">
        <v>894</v>
      </c>
      <c r="AU998">
        <v>2020</v>
      </c>
      <c r="AV998">
        <v>32</v>
      </c>
      <c r="AW998">
        <v>4</v>
      </c>
      <c r="AX998" t="s">
        <v>74</v>
      </c>
      <c r="AY998" t="s">
        <v>74</v>
      </c>
      <c r="AZ998" t="s">
        <v>74</v>
      </c>
      <c r="BA998" t="s">
        <v>74</v>
      </c>
      <c r="BB998">
        <v>301</v>
      </c>
      <c r="BC998">
        <v>313</v>
      </c>
      <c r="BD998" t="s">
        <v>19452</v>
      </c>
      <c r="BE998" t="s">
        <v>19453</v>
      </c>
      <c r="BF998" t="str">
        <f>HYPERLINK("http://dx.doi.org/10.1017/S0954102020000103","http://dx.doi.org/10.1017/S0954102020000103")</f>
        <v>http://dx.doi.org/10.1017/S0954102020000103</v>
      </c>
      <c r="BG998" t="s">
        <v>74</v>
      </c>
      <c r="BH998" t="s">
        <v>74</v>
      </c>
      <c r="BI998">
        <v>13</v>
      </c>
      <c r="BJ998" t="s">
        <v>8415</v>
      </c>
      <c r="BK998" t="s">
        <v>100</v>
      </c>
      <c r="BL998" t="s">
        <v>8416</v>
      </c>
      <c r="BM998" t="s">
        <v>19356</v>
      </c>
      <c r="BN998" t="s">
        <v>74</v>
      </c>
      <c r="BO998" t="s">
        <v>1894</v>
      </c>
      <c r="BP998" t="s">
        <v>74</v>
      </c>
      <c r="BQ998" t="s">
        <v>74</v>
      </c>
      <c r="BR998" t="s">
        <v>104</v>
      </c>
      <c r="BS998" t="s">
        <v>19454</v>
      </c>
      <c r="BT998" t="str">
        <f>HYPERLINK("https%3A%2F%2Fwww.webofscience.com%2Fwos%2Fwoscc%2Ffull-record%2FWOS:000550781300007","View Full Record in Web of Science")</f>
        <v>View Full Record in Web of Science</v>
      </c>
    </row>
    <row r="999" spans="1:72" x14ac:dyDescent="0.15">
      <c r="A999" t="s">
        <v>72</v>
      </c>
      <c r="B999" t="s">
        <v>19455</v>
      </c>
      <c r="C999" t="s">
        <v>74</v>
      </c>
      <c r="D999" t="s">
        <v>74</v>
      </c>
      <c r="E999" t="s">
        <v>74</v>
      </c>
      <c r="F999" t="s">
        <v>19456</v>
      </c>
      <c r="G999" t="s">
        <v>74</v>
      </c>
      <c r="H999" t="s">
        <v>74</v>
      </c>
      <c r="I999" t="s">
        <v>19457</v>
      </c>
      <c r="J999" t="s">
        <v>2343</v>
      </c>
      <c r="K999" t="s">
        <v>74</v>
      </c>
      <c r="L999" t="s">
        <v>74</v>
      </c>
      <c r="M999" t="s">
        <v>78</v>
      </c>
      <c r="N999" t="s">
        <v>79</v>
      </c>
      <c r="O999" t="s">
        <v>74</v>
      </c>
      <c r="P999" t="s">
        <v>74</v>
      </c>
      <c r="Q999" t="s">
        <v>74</v>
      </c>
      <c r="R999" t="s">
        <v>74</v>
      </c>
      <c r="S999" t="s">
        <v>74</v>
      </c>
      <c r="T999" t="s">
        <v>19458</v>
      </c>
      <c r="U999" t="s">
        <v>19459</v>
      </c>
      <c r="V999" t="s">
        <v>19460</v>
      </c>
      <c r="W999" t="s">
        <v>19461</v>
      </c>
      <c r="X999" t="s">
        <v>19462</v>
      </c>
      <c r="Y999" t="s">
        <v>19463</v>
      </c>
      <c r="Z999" t="s">
        <v>19464</v>
      </c>
      <c r="AA999" t="s">
        <v>19465</v>
      </c>
      <c r="AB999" t="s">
        <v>19466</v>
      </c>
      <c r="AC999" t="s">
        <v>19467</v>
      </c>
      <c r="AD999" t="s">
        <v>19468</v>
      </c>
      <c r="AE999" t="s">
        <v>19469</v>
      </c>
      <c r="AF999" t="s">
        <v>74</v>
      </c>
      <c r="AG999">
        <v>39</v>
      </c>
      <c r="AH999">
        <v>5</v>
      </c>
      <c r="AI999">
        <v>5</v>
      </c>
      <c r="AJ999">
        <v>2</v>
      </c>
      <c r="AK999">
        <v>19</v>
      </c>
      <c r="AL999" t="s">
        <v>2085</v>
      </c>
      <c r="AM999" t="s">
        <v>2086</v>
      </c>
      <c r="AN999" t="s">
        <v>2087</v>
      </c>
      <c r="AO999" t="s">
        <v>74</v>
      </c>
      <c r="AP999" t="s">
        <v>2356</v>
      </c>
      <c r="AQ999" t="s">
        <v>74</v>
      </c>
      <c r="AR999" t="s">
        <v>2357</v>
      </c>
      <c r="AS999" t="s">
        <v>2358</v>
      </c>
      <c r="AT999" t="s">
        <v>894</v>
      </c>
      <c r="AU999">
        <v>2020</v>
      </c>
      <c r="AV999">
        <v>11</v>
      </c>
      <c r="AW999">
        <v>8</v>
      </c>
      <c r="AX999" t="s">
        <v>74</v>
      </c>
      <c r="AY999" t="s">
        <v>74</v>
      </c>
      <c r="AZ999" t="s">
        <v>74</v>
      </c>
      <c r="BA999" t="s">
        <v>74</v>
      </c>
      <c r="BB999" t="s">
        <v>74</v>
      </c>
      <c r="BC999" t="s">
        <v>74</v>
      </c>
      <c r="BD999">
        <v>844</v>
      </c>
      <c r="BE999" t="s">
        <v>19470</v>
      </c>
      <c r="BF999" t="str">
        <f>HYPERLINK("http://dx.doi.org/10.3390/atmos11080844","http://dx.doi.org/10.3390/atmos11080844")</f>
        <v>http://dx.doi.org/10.3390/atmos11080844</v>
      </c>
      <c r="BG999" t="s">
        <v>74</v>
      </c>
      <c r="BH999" t="s">
        <v>74</v>
      </c>
      <c r="BI999">
        <v>14</v>
      </c>
      <c r="BJ999" t="s">
        <v>1027</v>
      </c>
      <c r="BK999" t="s">
        <v>100</v>
      </c>
      <c r="BL999" t="s">
        <v>1028</v>
      </c>
      <c r="BM999" t="s">
        <v>19471</v>
      </c>
      <c r="BN999" t="s">
        <v>74</v>
      </c>
      <c r="BO999" t="s">
        <v>202</v>
      </c>
      <c r="BP999" t="s">
        <v>74</v>
      </c>
      <c r="BQ999" t="s">
        <v>74</v>
      </c>
      <c r="BR999" t="s">
        <v>104</v>
      </c>
      <c r="BS999" t="s">
        <v>19472</v>
      </c>
      <c r="BT999" t="str">
        <f>HYPERLINK("https%3A%2F%2Fwww.webofscience.com%2Fwos%2Fwoscc%2Ffull-record%2FWOS:000565687100001","View Full Record in Web of Science")</f>
        <v>View Full Record in Web of Science</v>
      </c>
    </row>
    <row r="1000" spans="1:72" x14ac:dyDescent="0.15">
      <c r="A1000" t="s">
        <v>72</v>
      </c>
      <c r="B1000" t="s">
        <v>19473</v>
      </c>
      <c r="C1000" t="s">
        <v>74</v>
      </c>
      <c r="D1000" t="s">
        <v>74</v>
      </c>
      <c r="E1000" t="s">
        <v>74</v>
      </c>
      <c r="F1000" t="s">
        <v>19474</v>
      </c>
      <c r="G1000" t="s">
        <v>74</v>
      </c>
      <c r="H1000" t="s">
        <v>74</v>
      </c>
      <c r="I1000" t="s">
        <v>19475</v>
      </c>
      <c r="J1000" t="s">
        <v>1483</v>
      </c>
      <c r="K1000" t="s">
        <v>74</v>
      </c>
      <c r="L1000" t="s">
        <v>74</v>
      </c>
      <c r="M1000" t="s">
        <v>78</v>
      </c>
      <c r="N1000" t="s">
        <v>79</v>
      </c>
      <c r="O1000" t="s">
        <v>74</v>
      </c>
      <c r="P1000" t="s">
        <v>74</v>
      </c>
      <c r="Q1000" t="s">
        <v>74</v>
      </c>
      <c r="R1000" t="s">
        <v>74</v>
      </c>
      <c r="S1000" t="s">
        <v>74</v>
      </c>
      <c r="T1000" t="s">
        <v>74</v>
      </c>
      <c r="U1000" t="s">
        <v>19476</v>
      </c>
      <c r="V1000" t="s">
        <v>74</v>
      </c>
      <c r="W1000" t="s">
        <v>19477</v>
      </c>
      <c r="X1000" t="s">
        <v>19478</v>
      </c>
      <c r="Y1000" t="s">
        <v>19479</v>
      </c>
      <c r="Z1000" t="s">
        <v>19480</v>
      </c>
      <c r="AA1000" t="s">
        <v>19481</v>
      </c>
      <c r="AB1000" t="s">
        <v>19482</v>
      </c>
      <c r="AC1000" t="s">
        <v>19483</v>
      </c>
      <c r="AD1000" t="s">
        <v>19484</v>
      </c>
      <c r="AE1000" t="s">
        <v>19485</v>
      </c>
      <c r="AF1000" t="s">
        <v>74</v>
      </c>
      <c r="AG1000">
        <v>104</v>
      </c>
      <c r="AH1000">
        <v>1</v>
      </c>
      <c r="AI1000">
        <v>1</v>
      </c>
      <c r="AJ1000">
        <v>1</v>
      </c>
      <c r="AK1000">
        <v>1</v>
      </c>
      <c r="AL1000" t="s">
        <v>1495</v>
      </c>
      <c r="AM1000" t="s">
        <v>1496</v>
      </c>
      <c r="AN1000" t="s">
        <v>5221</v>
      </c>
      <c r="AO1000" t="s">
        <v>1498</v>
      </c>
      <c r="AP1000" t="s">
        <v>1499</v>
      </c>
      <c r="AQ1000" t="s">
        <v>74</v>
      </c>
      <c r="AR1000" t="s">
        <v>1500</v>
      </c>
      <c r="AS1000" t="s">
        <v>1501</v>
      </c>
      <c r="AT1000" t="s">
        <v>894</v>
      </c>
      <c r="AU1000">
        <v>2020</v>
      </c>
      <c r="AV1000">
        <v>101</v>
      </c>
      <c r="AW1000">
        <v>8</v>
      </c>
      <c r="AX1000" t="s">
        <v>74</v>
      </c>
      <c r="AY1000" t="s">
        <v>74</v>
      </c>
      <c r="AZ1000" t="s">
        <v>74</v>
      </c>
      <c r="BA1000" t="s">
        <v>74</v>
      </c>
      <c r="BB1000" t="s">
        <v>19486</v>
      </c>
      <c r="BC1000" t="s">
        <v>19487</v>
      </c>
      <c r="BD1000" t="s">
        <v>74</v>
      </c>
      <c r="BE1000" t="s">
        <v>74</v>
      </c>
      <c r="BF1000" t="s">
        <v>74</v>
      </c>
      <c r="BG1000" t="s">
        <v>74</v>
      </c>
      <c r="BH1000" t="s">
        <v>74</v>
      </c>
      <c r="BI1000">
        <v>29</v>
      </c>
      <c r="BJ1000" t="s">
        <v>800</v>
      </c>
      <c r="BK1000" t="s">
        <v>100</v>
      </c>
      <c r="BL1000" t="s">
        <v>800</v>
      </c>
      <c r="BM1000" t="s">
        <v>19488</v>
      </c>
      <c r="BN1000" t="s">
        <v>74</v>
      </c>
      <c r="BO1000" t="s">
        <v>74</v>
      </c>
      <c r="BP1000" t="s">
        <v>74</v>
      </c>
      <c r="BQ1000" t="s">
        <v>74</v>
      </c>
      <c r="BR1000" t="s">
        <v>104</v>
      </c>
      <c r="BS1000" t="s">
        <v>19489</v>
      </c>
      <c r="BT1000" t="str">
        <f>HYPERLINK("https%3A%2F%2Fwww.webofscience.com%2Fwos%2Fwoscc%2Ffull-record%2FWOS:000589723000023","View Full Record in Web of Science")</f>
        <v>View Full Record in Web of Science</v>
      </c>
    </row>
    <row r="1001" spans="1:72" x14ac:dyDescent="0.15">
      <c r="A1001" t="s">
        <v>72</v>
      </c>
      <c r="B1001" t="s">
        <v>19490</v>
      </c>
      <c r="C1001" t="s">
        <v>74</v>
      </c>
      <c r="D1001" t="s">
        <v>74</v>
      </c>
      <c r="E1001" t="s">
        <v>74</v>
      </c>
      <c r="F1001" t="s">
        <v>19491</v>
      </c>
      <c r="G1001" t="s">
        <v>74</v>
      </c>
      <c r="H1001" t="s">
        <v>74</v>
      </c>
      <c r="I1001" t="s">
        <v>19492</v>
      </c>
      <c r="J1001" t="s">
        <v>1483</v>
      </c>
      <c r="K1001" t="s">
        <v>74</v>
      </c>
      <c r="L1001" t="s">
        <v>74</v>
      </c>
      <c r="M1001" t="s">
        <v>78</v>
      </c>
      <c r="N1001" t="s">
        <v>3481</v>
      </c>
      <c r="O1001" t="s">
        <v>74</v>
      </c>
      <c r="P1001" t="s">
        <v>74</v>
      </c>
      <c r="Q1001" t="s">
        <v>74</v>
      </c>
      <c r="R1001" t="s">
        <v>74</v>
      </c>
      <c r="S1001" t="s">
        <v>74</v>
      </c>
      <c r="T1001" t="s">
        <v>74</v>
      </c>
      <c r="U1001" t="s">
        <v>74</v>
      </c>
      <c r="V1001" t="s">
        <v>19493</v>
      </c>
      <c r="W1001" t="s">
        <v>74</v>
      </c>
      <c r="X1001" t="s">
        <v>74</v>
      </c>
      <c r="Y1001" t="s">
        <v>74</v>
      </c>
      <c r="Z1001" t="s">
        <v>74</v>
      </c>
      <c r="AA1001" t="s">
        <v>19494</v>
      </c>
      <c r="AB1001" t="s">
        <v>19495</v>
      </c>
      <c r="AC1001" t="s">
        <v>74</v>
      </c>
      <c r="AD1001" t="s">
        <v>74</v>
      </c>
      <c r="AE1001" t="s">
        <v>74</v>
      </c>
      <c r="AF1001" t="s">
        <v>74</v>
      </c>
      <c r="AG1001">
        <v>2</v>
      </c>
      <c r="AH1001">
        <v>4</v>
      </c>
      <c r="AI1001">
        <v>4</v>
      </c>
      <c r="AJ1001">
        <v>1</v>
      </c>
      <c r="AK1001">
        <v>18</v>
      </c>
      <c r="AL1001" t="s">
        <v>1495</v>
      </c>
      <c r="AM1001" t="s">
        <v>1496</v>
      </c>
      <c r="AN1001" t="s">
        <v>5221</v>
      </c>
      <c r="AO1001" t="s">
        <v>1498</v>
      </c>
      <c r="AP1001" t="s">
        <v>1499</v>
      </c>
      <c r="AQ1001" t="s">
        <v>74</v>
      </c>
      <c r="AR1001" t="s">
        <v>1500</v>
      </c>
      <c r="AS1001" t="s">
        <v>1501</v>
      </c>
      <c r="AT1001" t="s">
        <v>894</v>
      </c>
      <c r="AU1001">
        <v>2020</v>
      </c>
      <c r="AV1001">
        <v>101</v>
      </c>
      <c r="AW1001">
        <v>8</v>
      </c>
      <c r="AX1001" t="s">
        <v>74</v>
      </c>
      <c r="AY1001" t="s">
        <v>74</v>
      </c>
      <c r="AZ1001" t="s">
        <v>74</v>
      </c>
      <c r="BA1001" t="s">
        <v>74</v>
      </c>
      <c r="BB1001" t="s">
        <v>19496</v>
      </c>
      <c r="BC1001" t="s">
        <v>614</v>
      </c>
      <c r="BD1001" t="s">
        <v>74</v>
      </c>
      <c r="BE1001" t="s">
        <v>74</v>
      </c>
      <c r="BF1001" t="s">
        <v>74</v>
      </c>
      <c r="BG1001" t="s">
        <v>74</v>
      </c>
      <c r="BH1001" t="s">
        <v>74</v>
      </c>
      <c r="BI1001">
        <v>7</v>
      </c>
      <c r="BJ1001" t="s">
        <v>800</v>
      </c>
      <c r="BK1001" t="s">
        <v>100</v>
      </c>
      <c r="BL1001" t="s">
        <v>800</v>
      </c>
      <c r="BM1001" t="s">
        <v>19488</v>
      </c>
      <c r="BN1001" t="s">
        <v>74</v>
      </c>
      <c r="BO1001" t="s">
        <v>74</v>
      </c>
      <c r="BP1001" t="s">
        <v>74</v>
      </c>
      <c r="BQ1001" t="s">
        <v>74</v>
      </c>
      <c r="BR1001" t="s">
        <v>104</v>
      </c>
      <c r="BS1001" t="s">
        <v>19497</v>
      </c>
      <c r="BT1001" t="str">
        <f>HYPERLINK("https%3A%2F%2Fwww.webofscience.com%2Fwos%2Fwoscc%2Ffull-record%2FWOS:000589723000018","View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2024-07-28T15:23:41Z</dcterms:created>
  <dcterms:modified xsi:type="dcterms:W3CDTF">2024-07-28T15:23:41Z</dcterms:modified>
</cp:coreProperties>
</file>